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2" documentId="13_ncr:1_{0CBD79AB-B129-4D14-8B45-7506CF44554E}" xr6:coauthVersionLast="47" xr6:coauthVersionMax="47" xr10:uidLastSave="{22D61EDE-AD52-4639-BACD-7BA235813C67}"/>
  <bookViews>
    <workbookView xWindow="-110" yWindow="-110" windowWidth="19420" windowHeight="10420" tabRatio="889" firstSheet="1" activeTab="7" xr2:uid="{00000000-000D-0000-FFFF-FFFF00000000}"/>
  </bookViews>
  <sheets>
    <sheet name="Summary EFA SCPZ DIDS AF" sheetId="28" r:id="rId1"/>
    <sheet name="Investment_Cost" sheetId="22" r:id="rId2"/>
    <sheet name="Depreciation_Charges" sheetId="24" r:id="rId3"/>
    <sheet name="Operating_Costs" sheetId="23" r:id="rId4"/>
    <sheet name="Gross_Farm_Revenues" sheetId="25" r:id="rId5"/>
    <sheet name="Intermediate_Consumption" sheetId="26" r:id="rId6"/>
    <sheet name="EFA_DIDS" sheetId="16" r:id="rId7"/>
    <sheet name="EFA_Agroforestry" sheetId="27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7" l="1"/>
  <c r="K6" i="25"/>
  <c r="L6" i="25"/>
  <c r="E12" i="16"/>
  <c r="I26" i="16"/>
  <c r="B26" i="16"/>
  <c r="F13" i="22" l="1"/>
  <c r="B67" i="27" l="1"/>
  <c r="C19" i="28" s="1"/>
  <c r="B66" i="27"/>
  <c r="C18" i="28" s="1"/>
  <c r="D36" i="28"/>
  <c r="D37" i="28"/>
  <c r="D38" i="28"/>
  <c r="D34" i="28"/>
  <c r="C36" i="28"/>
  <c r="C37" i="28"/>
  <c r="C38" i="28"/>
  <c r="C34" i="28"/>
  <c r="C27" i="28"/>
  <c r="C28" i="28"/>
  <c r="C29" i="28"/>
  <c r="C25" i="28"/>
  <c r="C20" i="28"/>
  <c r="C21" i="28"/>
  <c r="C17" i="28"/>
  <c r="C5" i="28"/>
  <c r="B11" i="16"/>
  <c r="E11" i="16" l="1"/>
  <c r="C78" i="27" l="1"/>
  <c r="H132" i="27"/>
  <c r="I132" i="27"/>
  <c r="R130" i="27"/>
  <c r="R133" i="27" s="1"/>
  <c r="S130" i="27"/>
  <c r="S133" i="27" s="1"/>
  <c r="T130" i="27"/>
  <c r="T133" i="27" s="1"/>
  <c r="U130" i="27"/>
  <c r="U133" i="27" s="1"/>
  <c r="V130" i="27"/>
  <c r="V133" i="27" s="1"/>
  <c r="W130" i="27"/>
  <c r="W133" i="27" s="1"/>
  <c r="X130" i="27"/>
  <c r="X133" i="27" s="1"/>
  <c r="Y130" i="27"/>
  <c r="Y133" i="27" s="1"/>
  <c r="Z130" i="27"/>
  <c r="Z133" i="27" s="1"/>
  <c r="AA130" i="27"/>
  <c r="AA133" i="27" s="1"/>
  <c r="K130" i="27"/>
  <c r="L130" i="27"/>
  <c r="M130" i="27"/>
  <c r="M133" i="27" s="1"/>
  <c r="N130" i="27"/>
  <c r="N133" i="27" s="1"/>
  <c r="O130" i="27"/>
  <c r="O133" i="27" s="1"/>
  <c r="P130" i="27"/>
  <c r="P133" i="27" s="1"/>
  <c r="Q130" i="27"/>
  <c r="Q133" i="27" s="1"/>
  <c r="J130" i="27"/>
  <c r="H130" i="27"/>
  <c r="I130" i="27"/>
  <c r="I133" i="27" s="1"/>
  <c r="G130" i="27"/>
  <c r="F130" i="27"/>
  <c r="E130" i="27"/>
  <c r="D130" i="27"/>
  <c r="C130" i="27"/>
  <c r="C143" i="27"/>
  <c r="D143" i="27"/>
  <c r="E143" i="27"/>
  <c r="F143" i="27"/>
  <c r="G143" i="27"/>
  <c r="H143" i="27"/>
  <c r="I143" i="27"/>
  <c r="J143" i="27"/>
  <c r="K143" i="27"/>
  <c r="L143" i="27"/>
  <c r="M143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Z143" i="27"/>
  <c r="AA143" i="27"/>
  <c r="B141" i="27"/>
  <c r="B140" i="27"/>
  <c r="J170" i="27"/>
  <c r="J137" i="27" s="1"/>
  <c r="J142" i="27" s="1"/>
  <c r="K170" i="27"/>
  <c r="K137" i="27" s="1"/>
  <c r="K142" i="27" s="1"/>
  <c r="L170" i="27"/>
  <c r="M170" i="27"/>
  <c r="M137" i="27" s="1"/>
  <c r="M142" i="27" s="1"/>
  <c r="N170" i="27"/>
  <c r="N137" i="27" s="1"/>
  <c r="O170" i="27"/>
  <c r="O137" i="27" s="1"/>
  <c r="O142" i="27" s="1"/>
  <c r="P170" i="27"/>
  <c r="Q170" i="27"/>
  <c r="Q137" i="27" s="1"/>
  <c r="Q142" i="27" s="1"/>
  <c r="R170" i="27"/>
  <c r="R137" i="27" s="1"/>
  <c r="R142" i="27" s="1"/>
  <c r="S170" i="27"/>
  <c r="T170" i="27"/>
  <c r="T137" i="27" s="1"/>
  <c r="T142" i="27" s="1"/>
  <c r="U170" i="27"/>
  <c r="U137" i="27" s="1"/>
  <c r="U142" i="27" s="1"/>
  <c r="V170" i="27"/>
  <c r="V137" i="27" s="1"/>
  <c r="V142" i="27" s="1"/>
  <c r="W170" i="27"/>
  <c r="W137" i="27" s="1"/>
  <c r="W142" i="27" s="1"/>
  <c r="X170" i="27"/>
  <c r="Y170" i="27"/>
  <c r="Y137" i="27" s="1"/>
  <c r="Y142" i="27" s="1"/>
  <c r="Y172" i="27" s="1"/>
  <c r="Z170" i="27"/>
  <c r="AA170" i="27"/>
  <c r="B170" i="27"/>
  <c r="B138" i="27" s="1"/>
  <c r="B143" i="27" s="1"/>
  <c r="J169" i="27"/>
  <c r="K169" i="27"/>
  <c r="L169" i="27"/>
  <c r="M169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Z169" i="27"/>
  <c r="AA169" i="27"/>
  <c r="B169" i="27"/>
  <c r="B137" i="27" s="1"/>
  <c r="F128" i="27"/>
  <c r="E128" i="27"/>
  <c r="D128" i="27"/>
  <c r="C128" i="27"/>
  <c r="B128" i="27"/>
  <c r="B133" i="27" s="1"/>
  <c r="S173" i="27"/>
  <c r="C11" i="16"/>
  <c r="D11" i="16" s="1"/>
  <c r="D12" i="16" s="1"/>
  <c r="B12" i="16"/>
  <c r="B5" i="16"/>
  <c r="F127" i="27"/>
  <c r="E127" i="27"/>
  <c r="D127" i="27"/>
  <c r="C127" i="27"/>
  <c r="B127" i="27"/>
  <c r="B132" i="27" s="1"/>
  <c r="E6" i="24"/>
  <c r="K129" i="27"/>
  <c r="K132" i="27" s="1"/>
  <c r="L129" i="27"/>
  <c r="L132" i="27" s="1"/>
  <c r="M129" i="27"/>
  <c r="M132" i="27" s="1"/>
  <c r="N129" i="27"/>
  <c r="N132" i="27" s="1"/>
  <c r="O129" i="27"/>
  <c r="O132" i="27"/>
  <c r="P129" i="27"/>
  <c r="P132" i="27" s="1"/>
  <c r="Q129" i="27"/>
  <c r="Q132" i="27" s="1"/>
  <c r="R129" i="27"/>
  <c r="R132" i="27" s="1"/>
  <c r="S129" i="27"/>
  <c r="S132" i="27" s="1"/>
  <c r="T129" i="27"/>
  <c r="T132" i="27" s="1"/>
  <c r="U129" i="27"/>
  <c r="U132" i="27" s="1"/>
  <c r="V129" i="27"/>
  <c r="V132" i="27" s="1"/>
  <c r="W129" i="27"/>
  <c r="W132" i="27" s="1"/>
  <c r="X129" i="27"/>
  <c r="X132" i="27" s="1"/>
  <c r="Y129" i="27"/>
  <c r="Y132" i="27" s="1"/>
  <c r="Z129" i="27"/>
  <c r="Z132" i="27" s="1"/>
  <c r="AA129" i="27"/>
  <c r="AA132" i="27" s="1"/>
  <c r="J129" i="27"/>
  <c r="J132" i="27" s="1"/>
  <c r="G129" i="27"/>
  <c r="G132" i="27" s="1"/>
  <c r="F129" i="27"/>
  <c r="E129" i="27"/>
  <c r="D129" i="27"/>
  <c r="D132" i="27" s="1"/>
  <c r="C129" i="27"/>
  <c r="E109" i="27"/>
  <c r="F109" i="27" s="1"/>
  <c r="G109" i="27" s="1"/>
  <c r="H109" i="27" s="1"/>
  <c r="I109" i="27" s="1"/>
  <c r="J109" i="27" s="1"/>
  <c r="K109" i="27" s="1"/>
  <c r="L109" i="27" s="1"/>
  <c r="M109" i="27" s="1"/>
  <c r="N109" i="27" s="1"/>
  <c r="O109" i="27" s="1"/>
  <c r="P109" i="27" s="1"/>
  <c r="Q109" i="27" s="1"/>
  <c r="R109" i="27" s="1"/>
  <c r="S109" i="27" s="1"/>
  <c r="T109" i="27" s="1"/>
  <c r="U109" i="27" s="1"/>
  <c r="V109" i="27" s="1"/>
  <c r="W109" i="27" s="1"/>
  <c r="X109" i="27" s="1"/>
  <c r="Y109" i="27" s="1"/>
  <c r="Z109" i="27" s="1"/>
  <c r="AA109" i="27" s="1"/>
  <c r="J23" i="27"/>
  <c r="K23" i="27"/>
  <c r="G23" i="27"/>
  <c r="G25" i="27" s="1"/>
  <c r="H23" i="27"/>
  <c r="H25" i="27" s="1"/>
  <c r="I23" i="27"/>
  <c r="I25" i="27" s="1"/>
  <c r="F23" i="27"/>
  <c r="F25" i="27" s="1"/>
  <c r="E23" i="27"/>
  <c r="E25" i="27"/>
  <c r="D23" i="27"/>
  <c r="D25" i="27" s="1"/>
  <c r="B98" i="27"/>
  <c r="B97" i="27"/>
  <c r="B96" i="27"/>
  <c r="B94" i="27"/>
  <c r="B92" i="27"/>
  <c r="B84" i="27" s="1"/>
  <c r="B91" i="27"/>
  <c r="B90" i="27"/>
  <c r="B37" i="27"/>
  <c r="B36" i="27"/>
  <c r="B44" i="27"/>
  <c r="B43" i="27"/>
  <c r="B45" i="27"/>
  <c r="B38" i="27"/>
  <c r="B31" i="27" s="1"/>
  <c r="C161" i="27"/>
  <c r="K136" i="27"/>
  <c r="J136" i="27"/>
  <c r="I136" i="27"/>
  <c r="H136" i="27"/>
  <c r="G136" i="27"/>
  <c r="F136" i="27"/>
  <c r="E136" i="27"/>
  <c r="L131" i="27"/>
  <c r="K131" i="27"/>
  <c r="J131" i="27"/>
  <c r="I131" i="27"/>
  <c r="H131" i="27"/>
  <c r="H133" i="27" s="1"/>
  <c r="G131" i="27"/>
  <c r="F131" i="27"/>
  <c r="M78" i="27"/>
  <c r="G77" i="27"/>
  <c r="G78" i="27" s="1"/>
  <c r="H77" i="27"/>
  <c r="H78" i="27" s="1"/>
  <c r="I77" i="27"/>
  <c r="I78" i="27" s="1"/>
  <c r="J77" i="27"/>
  <c r="J78" i="27" s="1"/>
  <c r="K77" i="27"/>
  <c r="K78" i="27" s="1"/>
  <c r="L77" i="27"/>
  <c r="L78" i="27" s="1"/>
  <c r="F77" i="27"/>
  <c r="S76" i="27"/>
  <c r="S78" i="27" s="1"/>
  <c r="T76" i="27"/>
  <c r="T78" i="27" s="1"/>
  <c r="U76" i="27"/>
  <c r="U78" i="27" s="1"/>
  <c r="V76" i="27"/>
  <c r="V78" i="27" s="1"/>
  <c r="W76" i="27"/>
  <c r="W78" i="27" s="1"/>
  <c r="X76" i="27"/>
  <c r="X78" i="27" s="1"/>
  <c r="Y76" i="27"/>
  <c r="Y78" i="27" s="1"/>
  <c r="Z76" i="27"/>
  <c r="Z78" i="27" s="1"/>
  <c r="AA76" i="27"/>
  <c r="AA78" i="27" s="1"/>
  <c r="R76" i="27"/>
  <c r="R78" i="27"/>
  <c r="F76" i="27"/>
  <c r="E76" i="27"/>
  <c r="E78" i="27"/>
  <c r="H105" i="27"/>
  <c r="J105" i="27"/>
  <c r="L105" i="27"/>
  <c r="N105" i="27"/>
  <c r="P105" i="27"/>
  <c r="R105" i="27"/>
  <c r="T105" i="27"/>
  <c r="V105" i="27"/>
  <c r="X105" i="27"/>
  <c r="Z105" i="27"/>
  <c r="F105" i="27"/>
  <c r="D105" i="27"/>
  <c r="B99" i="27"/>
  <c r="C99" i="27" s="1"/>
  <c r="C91" i="27"/>
  <c r="C106" i="27"/>
  <c r="D106" i="27" s="1"/>
  <c r="E106" i="27" s="1"/>
  <c r="F106" i="27" s="1"/>
  <c r="G106" i="27" s="1"/>
  <c r="H106" i="27" s="1"/>
  <c r="I106" i="27" s="1"/>
  <c r="J106" i="27" s="1"/>
  <c r="K106" i="27" s="1"/>
  <c r="L106" i="27" s="1"/>
  <c r="M106" i="27" s="1"/>
  <c r="N106" i="27" s="1"/>
  <c r="O106" i="27" s="1"/>
  <c r="P106" i="27" s="1"/>
  <c r="Q106" i="27" s="1"/>
  <c r="R106" i="27" s="1"/>
  <c r="S106" i="27" s="1"/>
  <c r="T106" i="27" s="1"/>
  <c r="U106" i="27" s="1"/>
  <c r="V106" i="27" s="1"/>
  <c r="W106" i="27" s="1"/>
  <c r="X106" i="27" s="1"/>
  <c r="Y106" i="27" s="1"/>
  <c r="Z106" i="27" s="1"/>
  <c r="AA106" i="27" s="1"/>
  <c r="C104" i="27"/>
  <c r="D104" i="27" s="1"/>
  <c r="E104" i="27" s="1"/>
  <c r="F104" i="27" s="1"/>
  <c r="G104" i="27" s="1"/>
  <c r="H104" i="27" s="1"/>
  <c r="I104" i="27" s="1"/>
  <c r="J104" i="27" s="1"/>
  <c r="K104" i="27" s="1"/>
  <c r="L104" i="27" s="1"/>
  <c r="M104" i="27" s="1"/>
  <c r="N104" i="27" s="1"/>
  <c r="O104" i="27" s="1"/>
  <c r="P104" i="27" s="1"/>
  <c r="Q104" i="27" s="1"/>
  <c r="R104" i="27" s="1"/>
  <c r="S104" i="27" s="1"/>
  <c r="T104" i="27" s="1"/>
  <c r="U104" i="27" s="1"/>
  <c r="V104" i="27" s="1"/>
  <c r="W104" i="27" s="1"/>
  <c r="X104" i="27" s="1"/>
  <c r="Y104" i="27" s="1"/>
  <c r="Z104" i="27" s="1"/>
  <c r="AA104" i="27" s="1"/>
  <c r="C103" i="27"/>
  <c r="D103" i="27" s="1"/>
  <c r="E103" i="27" s="1"/>
  <c r="F103" i="27" s="1"/>
  <c r="G103" i="27" s="1"/>
  <c r="H103" i="27" s="1"/>
  <c r="I103" i="27" s="1"/>
  <c r="J103" i="27" s="1"/>
  <c r="K103" i="27" s="1"/>
  <c r="L103" i="27" s="1"/>
  <c r="M103" i="27" s="1"/>
  <c r="N103" i="27" s="1"/>
  <c r="O103" i="27" s="1"/>
  <c r="P103" i="27" s="1"/>
  <c r="Q103" i="27" s="1"/>
  <c r="R103" i="27" s="1"/>
  <c r="S103" i="27" s="1"/>
  <c r="T103" i="27" s="1"/>
  <c r="U103" i="27" s="1"/>
  <c r="V103" i="27" s="1"/>
  <c r="W103" i="27" s="1"/>
  <c r="X103" i="27" s="1"/>
  <c r="Y103" i="27" s="1"/>
  <c r="Z103" i="27" s="1"/>
  <c r="AA103" i="27" s="1"/>
  <c r="C102" i="27"/>
  <c r="D102" i="27" s="1"/>
  <c r="E102" i="27" s="1"/>
  <c r="K81" i="27"/>
  <c r="J81" i="27"/>
  <c r="I81" i="27"/>
  <c r="H81" i="27"/>
  <c r="G81" i="27"/>
  <c r="F81" i="27"/>
  <c r="E81" i="27"/>
  <c r="B78" i="27"/>
  <c r="B25" i="27"/>
  <c r="C52" i="27"/>
  <c r="D52" i="27"/>
  <c r="E52" i="27"/>
  <c r="F52" i="27" s="1"/>
  <c r="G52" i="27" s="1"/>
  <c r="H52" i="27" s="1"/>
  <c r="I52" i="27" s="1"/>
  <c r="J52" i="27" s="1"/>
  <c r="K52" i="27" s="1"/>
  <c r="C53" i="27"/>
  <c r="D53" i="27"/>
  <c r="E53" i="27"/>
  <c r="C37" i="27"/>
  <c r="C54" i="27"/>
  <c r="C51" i="27"/>
  <c r="D51" i="27" s="1"/>
  <c r="E51" i="27" s="1"/>
  <c r="F51" i="27" s="1"/>
  <c r="G51" i="27" s="1"/>
  <c r="H51" i="27" s="1"/>
  <c r="I51" i="27" s="1"/>
  <c r="J51" i="27" s="1"/>
  <c r="K51" i="27" s="1"/>
  <c r="L51" i="27" s="1"/>
  <c r="M51" i="27" s="1"/>
  <c r="N51" i="27" s="1"/>
  <c r="O51" i="27" s="1"/>
  <c r="P51" i="27" s="1"/>
  <c r="Q51" i="27" s="1"/>
  <c r="R51" i="27" s="1"/>
  <c r="S51" i="27" s="1"/>
  <c r="T51" i="27" s="1"/>
  <c r="U51" i="27" s="1"/>
  <c r="V51" i="27" s="1"/>
  <c r="W51" i="27" s="1"/>
  <c r="X51" i="27" s="1"/>
  <c r="Y51" i="27" s="1"/>
  <c r="Z51" i="27" s="1"/>
  <c r="AA51" i="27" s="1"/>
  <c r="C50" i="27"/>
  <c r="D50" i="27"/>
  <c r="E50" i="27" s="1"/>
  <c r="F50" i="27" s="1"/>
  <c r="G50" i="27" s="1"/>
  <c r="H50" i="27" s="1"/>
  <c r="I50" i="27" s="1"/>
  <c r="J50" i="27" s="1"/>
  <c r="K50" i="27" s="1"/>
  <c r="L50" i="27" s="1"/>
  <c r="M50" i="27" s="1"/>
  <c r="N50" i="27" s="1"/>
  <c r="O50" i="27" s="1"/>
  <c r="P50" i="27" s="1"/>
  <c r="Q50" i="27" s="1"/>
  <c r="R50" i="27" s="1"/>
  <c r="S50" i="27" s="1"/>
  <c r="T50" i="27" s="1"/>
  <c r="U50" i="27" s="1"/>
  <c r="V50" i="27" s="1"/>
  <c r="W50" i="27" s="1"/>
  <c r="X50" i="27" s="1"/>
  <c r="Y50" i="27" s="1"/>
  <c r="Z50" i="27" s="1"/>
  <c r="AA50" i="27" s="1"/>
  <c r="C49" i="27"/>
  <c r="D49" i="27" s="1"/>
  <c r="E49" i="27" s="1"/>
  <c r="C46" i="27"/>
  <c r="D46" i="27" s="1"/>
  <c r="C41" i="27"/>
  <c r="D41" i="27" s="1"/>
  <c r="C40" i="27"/>
  <c r="D40" i="27" s="1"/>
  <c r="E5" i="24"/>
  <c r="H5" i="24" s="1"/>
  <c r="J5" i="24" s="1"/>
  <c r="L5" i="24" s="1"/>
  <c r="N5" i="24" s="1"/>
  <c r="P5" i="24" s="1"/>
  <c r="Q78" i="27"/>
  <c r="N78" i="27"/>
  <c r="H7" i="25"/>
  <c r="L7" i="25" s="1"/>
  <c r="M7" i="25" s="1"/>
  <c r="H6" i="25"/>
  <c r="I6" i="25" s="1"/>
  <c r="D22" i="16"/>
  <c r="O78" i="27"/>
  <c r="P78" i="27"/>
  <c r="K166" i="27"/>
  <c r="L166" i="27" s="1"/>
  <c r="L137" i="27"/>
  <c r="L142" i="27" s="1"/>
  <c r="N166" i="27"/>
  <c r="O166" i="27" s="1"/>
  <c r="P166" i="27" s="1"/>
  <c r="Q166" i="27" s="1"/>
  <c r="R166" i="27" s="1"/>
  <c r="S166" i="27" s="1"/>
  <c r="T166" i="27" s="1"/>
  <c r="U166" i="27" s="1"/>
  <c r="V166" i="27" s="1"/>
  <c r="W166" i="27" s="1"/>
  <c r="X166" i="27" s="1"/>
  <c r="Y166" i="27" s="1"/>
  <c r="Z166" i="27" s="1"/>
  <c r="AA166" i="27" s="1"/>
  <c r="M6" i="25"/>
  <c r="D15" i="25"/>
  <c r="F8" i="23"/>
  <c r="F9" i="23"/>
  <c r="F7" i="23"/>
  <c r="F5" i="23"/>
  <c r="F4" i="23"/>
  <c r="F3" i="23" s="1"/>
  <c r="F2" i="23"/>
  <c r="F8" i="22"/>
  <c r="E3" i="24"/>
  <c r="G3" i="24" s="1"/>
  <c r="H3" i="24" s="1"/>
  <c r="J3" i="24" s="1"/>
  <c r="L3" i="24" s="1"/>
  <c r="N3" i="24" s="1"/>
  <c r="P3" i="24" s="1"/>
  <c r="H15" i="16"/>
  <c r="B15" i="16"/>
  <c r="F4" i="26"/>
  <c r="C19" i="25"/>
  <c r="G18" i="25"/>
  <c r="K8" i="25"/>
  <c r="K9" i="25"/>
  <c r="K10" i="25"/>
  <c r="K11" i="25"/>
  <c r="K13" i="25"/>
  <c r="K14" i="25"/>
  <c r="K7" i="25"/>
  <c r="J15" i="25"/>
  <c r="H13" i="25"/>
  <c r="I13" i="25" s="1"/>
  <c r="G17" i="25"/>
  <c r="H8" i="25"/>
  <c r="L8" i="25" s="1"/>
  <c r="M8" i="25" s="1"/>
  <c r="H9" i="25"/>
  <c r="L9" i="25" s="1"/>
  <c r="H10" i="25"/>
  <c r="L10" i="25" s="1"/>
  <c r="M10" i="25" s="1"/>
  <c r="H11" i="25"/>
  <c r="I11" i="25" s="1"/>
  <c r="H14" i="25"/>
  <c r="I14" i="25" s="1"/>
  <c r="E4" i="24"/>
  <c r="G4" i="24"/>
  <c r="I4" i="24" s="1"/>
  <c r="K4" i="24" s="1"/>
  <c r="F11" i="23"/>
  <c r="F7" i="22"/>
  <c r="E2" i="24"/>
  <c r="G2" i="24" s="1"/>
  <c r="F6" i="22"/>
  <c r="F24" i="16"/>
  <c r="G24" i="16" s="1"/>
  <c r="H24" i="16" s="1"/>
  <c r="I24" i="16" s="1"/>
  <c r="J24" i="16" s="1"/>
  <c r="K24" i="16" s="1"/>
  <c r="C15" i="16"/>
  <c r="D15" i="16"/>
  <c r="G15" i="16"/>
  <c r="F15" i="16"/>
  <c r="I15" i="16"/>
  <c r="E15" i="16"/>
  <c r="J15" i="16"/>
  <c r="C7" i="24"/>
  <c r="H4" i="24"/>
  <c r="J4" i="24" s="1"/>
  <c r="L4" i="24" s="1"/>
  <c r="N142" i="27"/>
  <c r="H6" i="24"/>
  <c r="N6" i="24"/>
  <c r="J6" i="24"/>
  <c r="L6" i="24" s="1"/>
  <c r="O6" i="24"/>
  <c r="G6" i="24"/>
  <c r="I6" i="24"/>
  <c r="K6" i="24" s="1"/>
  <c r="M6" i="24"/>
  <c r="P6" i="24"/>
  <c r="K15" i="16"/>
  <c r="B18" i="16"/>
  <c r="M9" i="25"/>
  <c r="Q25" i="27"/>
  <c r="R24" i="27"/>
  <c r="S24" i="27" s="1"/>
  <c r="B29" i="16"/>
  <c r="B85" i="27"/>
  <c r="C85" i="27" s="1"/>
  <c r="D85" i="27" s="1"/>
  <c r="E85" i="27" s="1"/>
  <c r="F85" i="27" s="1"/>
  <c r="J12" i="16"/>
  <c r="H12" i="16"/>
  <c r="H16" i="16" s="1"/>
  <c r="G12" i="16"/>
  <c r="I12" i="16"/>
  <c r="J24" i="27"/>
  <c r="J25" i="27" s="1"/>
  <c r="K24" i="27"/>
  <c r="L24" i="27" s="1"/>
  <c r="P137" i="27"/>
  <c r="P142" i="27" s="1"/>
  <c r="K12" i="16"/>
  <c r="D29" i="16"/>
  <c r="C26" i="16"/>
  <c r="C29" i="16"/>
  <c r="F29" i="16"/>
  <c r="E29" i="16"/>
  <c r="G29" i="16"/>
  <c r="J29" i="16"/>
  <c r="H29" i="16"/>
  <c r="I29" i="16"/>
  <c r="K29" i="16"/>
  <c r="D161" i="27"/>
  <c r="D170" i="27" s="1"/>
  <c r="D137" i="27" s="1"/>
  <c r="D142" i="27" s="1"/>
  <c r="C170" i="27"/>
  <c r="C169" i="27"/>
  <c r="D84" i="27"/>
  <c r="C137" i="27"/>
  <c r="C142" i="27" s="1"/>
  <c r="S137" i="27"/>
  <c r="S142" i="27" s="1"/>
  <c r="X137" i="27"/>
  <c r="X142" i="27" s="1"/>
  <c r="Z137" i="27"/>
  <c r="Z142" i="27" s="1"/>
  <c r="AA137" i="27"/>
  <c r="AA142" i="27" s="1"/>
  <c r="K16" i="16" l="1"/>
  <c r="J16" i="16"/>
  <c r="D169" i="27"/>
  <c r="U173" i="27"/>
  <c r="B142" i="27"/>
  <c r="Q173" i="27"/>
  <c r="B172" i="27"/>
  <c r="P173" i="27"/>
  <c r="AA172" i="27"/>
  <c r="T172" i="27"/>
  <c r="F133" i="27"/>
  <c r="T173" i="27"/>
  <c r="O172" i="27"/>
  <c r="M172" i="27"/>
  <c r="N172" i="27"/>
  <c r="Y173" i="27"/>
  <c r="K25" i="27"/>
  <c r="K133" i="27"/>
  <c r="K173" i="27" s="1"/>
  <c r="F132" i="27"/>
  <c r="O173" i="27"/>
  <c r="X173" i="27"/>
  <c r="F78" i="27"/>
  <c r="R172" i="27"/>
  <c r="E133" i="27"/>
  <c r="D172" i="27"/>
  <c r="C110" i="27"/>
  <c r="C82" i="27" s="1"/>
  <c r="Z172" i="27"/>
  <c r="R25" i="27"/>
  <c r="E132" i="27"/>
  <c r="X172" i="27"/>
  <c r="I16" i="16"/>
  <c r="B58" i="27"/>
  <c r="B29" i="27" s="1"/>
  <c r="B32" i="27" s="1"/>
  <c r="B62" i="27" s="1"/>
  <c r="B174" i="27"/>
  <c r="U172" i="27"/>
  <c r="T24" i="27"/>
  <c r="U24" i="27" s="1"/>
  <c r="S25" i="27"/>
  <c r="I7" i="25"/>
  <c r="G16" i="16"/>
  <c r="G133" i="27"/>
  <c r="E84" i="27"/>
  <c r="S172" i="27"/>
  <c r="D16" i="16"/>
  <c r="D133" i="27"/>
  <c r="D173" i="27" s="1"/>
  <c r="Q172" i="27"/>
  <c r="J172" i="27"/>
  <c r="C132" i="27"/>
  <c r="C172" i="27" s="1"/>
  <c r="E161" i="27"/>
  <c r="E170" i="27" s="1"/>
  <c r="E137" i="27" s="1"/>
  <c r="E142" i="27" s="1"/>
  <c r="G5" i="24"/>
  <c r="I5" i="24" s="1"/>
  <c r="K5" i="24" s="1"/>
  <c r="M5" i="24" s="1"/>
  <c r="O5" i="24" s="1"/>
  <c r="L14" i="25"/>
  <c r="M14" i="25" s="1"/>
  <c r="F6" i="23"/>
  <c r="M173" i="27"/>
  <c r="C84" i="27"/>
  <c r="E7" i="24"/>
  <c r="L13" i="25"/>
  <c r="M13" i="25" s="1"/>
  <c r="K172" i="27"/>
  <c r="J133" i="27"/>
  <c r="J173" i="27" s="1"/>
  <c r="L133" i="27"/>
  <c r="L173" i="27" s="1"/>
  <c r="V172" i="27"/>
  <c r="L11" i="25"/>
  <c r="M11" i="25" s="1"/>
  <c r="V173" i="27"/>
  <c r="F14" i="23"/>
  <c r="B173" i="27"/>
  <c r="D58" i="27"/>
  <c r="D29" i="27" s="1"/>
  <c r="D32" i="27" s="1"/>
  <c r="D60" i="27" s="1"/>
  <c r="B16" i="16"/>
  <c r="B27" i="16" s="1"/>
  <c r="B30" i="16" s="1"/>
  <c r="B31" i="16" s="1"/>
  <c r="C133" i="27"/>
  <c r="C173" i="27" s="1"/>
  <c r="C175" i="27" s="1"/>
  <c r="D174" i="27"/>
  <c r="C174" i="27"/>
  <c r="W172" i="27"/>
  <c r="F102" i="27"/>
  <c r="E110" i="27"/>
  <c r="E82" i="27" s="1"/>
  <c r="L172" i="27"/>
  <c r="B60" i="27"/>
  <c r="H2" i="24"/>
  <c r="I2" i="24"/>
  <c r="G7" i="24"/>
  <c r="M24" i="27"/>
  <c r="L25" i="27"/>
  <c r="E22" i="16"/>
  <c r="D26" i="16"/>
  <c r="D62" i="27"/>
  <c r="B175" i="27"/>
  <c r="C58" i="27"/>
  <c r="C29" i="27" s="1"/>
  <c r="C32" i="27" s="1"/>
  <c r="I8" i="25"/>
  <c r="N173" i="27"/>
  <c r="I9" i="25"/>
  <c r="I10" i="25"/>
  <c r="R173" i="27"/>
  <c r="K15" i="25"/>
  <c r="F49" i="27"/>
  <c r="E58" i="27"/>
  <c r="E29" i="27" s="1"/>
  <c r="E32" i="27" s="1"/>
  <c r="P172" i="27"/>
  <c r="W173" i="27"/>
  <c r="C12" i="16"/>
  <c r="C16" i="16" s="1"/>
  <c r="C27" i="16" s="1"/>
  <c r="C30" i="16" s="1"/>
  <c r="B110" i="27"/>
  <c r="AA173" i="27"/>
  <c r="I3" i="24"/>
  <c r="K3" i="24" s="1"/>
  <c r="M3" i="24" s="1"/>
  <c r="O3" i="24" s="1"/>
  <c r="H12" i="25"/>
  <c r="H15" i="25" s="1"/>
  <c r="I15" i="25" s="1"/>
  <c r="D99" i="27"/>
  <c r="D110" i="27" s="1"/>
  <c r="D82" i="27" s="1"/>
  <c r="D86" i="27" s="1"/>
  <c r="D112" i="27" s="1"/>
  <c r="Z173" i="27"/>
  <c r="E86" i="27" l="1"/>
  <c r="E112" i="27" s="1"/>
  <c r="E114" i="27" s="1"/>
  <c r="T25" i="27"/>
  <c r="C34" i="27"/>
  <c r="C86" i="27"/>
  <c r="C112" i="27" s="1"/>
  <c r="C114" i="27" s="1"/>
  <c r="B32" i="16"/>
  <c r="B34" i="16" s="1"/>
  <c r="D27" i="16"/>
  <c r="D30" i="16" s="1"/>
  <c r="D31" i="16" s="1"/>
  <c r="D32" i="16" s="1"/>
  <c r="D34" i="16" s="1"/>
  <c r="D36" i="16" s="1"/>
  <c r="D51" i="16" s="1"/>
  <c r="E169" i="27"/>
  <c r="E172" i="27" s="1"/>
  <c r="F161" i="27"/>
  <c r="F169" i="27" s="1"/>
  <c r="D119" i="27"/>
  <c r="B82" i="27"/>
  <c r="B86" i="27" s="1"/>
  <c r="G102" i="27"/>
  <c r="F110" i="27"/>
  <c r="F82" i="27" s="1"/>
  <c r="F86" i="27" s="1"/>
  <c r="F112" i="27" s="1"/>
  <c r="F114" i="27" s="1"/>
  <c r="E60" i="27"/>
  <c r="E62" i="27"/>
  <c r="B61" i="27"/>
  <c r="D175" i="27"/>
  <c r="C62" i="27"/>
  <c r="C60" i="27"/>
  <c r="D61" i="27" s="1"/>
  <c r="G49" i="27"/>
  <c r="F58" i="27"/>
  <c r="F29" i="27" s="1"/>
  <c r="F32" i="27" s="1"/>
  <c r="E26" i="16"/>
  <c r="F22" i="16"/>
  <c r="U25" i="27"/>
  <c r="V24" i="27"/>
  <c r="E173" i="27"/>
  <c r="D114" i="27"/>
  <c r="C31" i="16"/>
  <c r="C32" i="16" s="1"/>
  <c r="I12" i="25"/>
  <c r="L12" i="25"/>
  <c r="M25" i="27"/>
  <c r="N24" i="27"/>
  <c r="I7" i="24"/>
  <c r="K2" i="24"/>
  <c r="H7" i="24"/>
  <c r="J2" i="24"/>
  <c r="F170" i="27"/>
  <c r="G161" i="27"/>
  <c r="B33" i="16" l="1"/>
  <c r="E174" i="27"/>
  <c r="B69" i="27"/>
  <c r="C34" i="16"/>
  <c r="C36" i="16" s="1"/>
  <c r="D50" i="16" s="1"/>
  <c r="C33" i="16"/>
  <c r="D33" i="16"/>
  <c r="H102" i="27"/>
  <c r="G110" i="27"/>
  <c r="G82" i="27" s="1"/>
  <c r="G86" i="27" s="1"/>
  <c r="G112" i="27" s="1"/>
  <c r="F26" i="16"/>
  <c r="G22" i="16"/>
  <c r="O24" i="27"/>
  <c r="N25" i="27"/>
  <c r="B36" i="16"/>
  <c r="D35" i="16"/>
  <c r="C51" i="16" s="1"/>
  <c r="B35" i="16"/>
  <c r="C49" i="16" s="1"/>
  <c r="D120" i="27"/>
  <c r="B112" i="27"/>
  <c r="F60" i="27"/>
  <c r="F61" i="27" s="1"/>
  <c r="F62" i="27"/>
  <c r="G169" i="27"/>
  <c r="G170" i="27"/>
  <c r="H161" i="27"/>
  <c r="H49" i="27"/>
  <c r="G58" i="27"/>
  <c r="G29" i="27" s="1"/>
  <c r="G32" i="27" s="1"/>
  <c r="E61" i="27"/>
  <c r="F137" i="27"/>
  <c r="F142" i="27" s="1"/>
  <c r="F172" i="27" s="1"/>
  <c r="F173" i="27"/>
  <c r="M12" i="25"/>
  <c r="L15" i="25"/>
  <c r="E175" i="27"/>
  <c r="C182" i="27" s="1"/>
  <c r="K7" i="24"/>
  <c r="M2" i="24"/>
  <c r="L2" i="24"/>
  <c r="J7" i="24"/>
  <c r="V25" i="27"/>
  <c r="W24" i="27"/>
  <c r="C61" i="27"/>
  <c r="C35" i="16" l="1"/>
  <c r="C50" i="16" s="1"/>
  <c r="H22" i="16"/>
  <c r="G26" i="16"/>
  <c r="G27" i="16" s="1"/>
  <c r="G30" i="16" s="1"/>
  <c r="W25" i="27"/>
  <c r="X24" i="27"/>
  <c r="F175" i="27"/>
  <c r="G114" i="27"/>
  <c r="F174" i="27"/>
  <c r="G62" i="27"/>
  <c r="G60" i="27"/>
  <c r="D49" i="16"/>
  <c r="H110" i="27"/>
  <c r="H82" i="27" s="1"/>
  <c r="H86" i="27" s="1"/>
  <c r="H112" i="27" s="1"/>
  <c r="H114" i="27" s="1"/>
  <c r="I102" i="27"/>
  <c r="H170" i="27"/>
  <c r="I161" i="27"/>
  <c r="H169" i="27"/>
  <c r="I49" i="27"/>
  <c r="H58" i="27"/>
  <c r="H29" i="27" s="1"/>
  <c r="H32" i="27" s="1"/>
  <c r="G137" i="27"/>
  <c r="G142" i="27" s="1"/>
  <c r="G172" i="27" s="1"/>
  <c r="G173" i="27"/>
  <c r="B113" i="27"/>
  <c r="B114" i="27"/>
  <c r="D113" i="27"/>
  <c r="B121" i="27" s="1"/>
  <c r="E113" i="27"/>
  <c r="F113" i="27"/>
  <c r="C113" i="27"/>
  <c r="G113" i="27"/>
  <c r="N2" i="24"/>
  <c r="L7" i="24"/>
  <c r="M7" i="24"/>
  <c r="O2" i="24"/>
  <c r="O7" i="24" s="1"/>
  <c r="M15" i="25"/>
  <c r="F11" i="16"/>
  <c r="E16" i="16"/>
  <c r="E27" i="16" s="1"/>
  <c r="E30" i="16" s="1"/>
  <c r="F12" i="16"/>
  <c r="F16" i="16" s="1"/>
  <c r="F27" i="16" s="1"/>
  <c r="F30" i="16" s="1"/>
  <c r="P24" i="27"/>
  <c r="P25" i="27" s="1"/>
  <c r="O25" i="27"/>
  <c r="H113" i="27" l="1"/>
  <c r="G175" i="27"/>
  <c r="I58" i="27"/>
  <c r="I29" i="27" s="1"/>
  <c r="I32" i="27" s="1"/>
  <c r="J49" i="27"/>
  <c r="F31" i="16"/>
  <c r="F32" i="16" s="1"/>
  <c r="F34" i="16" s="1"/>
  <c r="F36" i="16" s="1"/>
  <c r="D53" i="16" s="1"/>
  <c r="E31" i="16"/>
  <c r="E32" i="16" s="1"/>
  <c r="I169" i="27"/>
  <c r="I170" i="27"/>
  <c r="X25" i="27"/>
  <c r="Y24" i="27"/>
  <c r="H137" i="27"/>
  <c r="H142" i="27" s="1"/>
  <c r="H172" i="27" s="1"/>
  <c r="H173" i="27"/>
  <c r="N7" i="24"/>
  <c r="P2" i="24"/>
  <c r="P7" i="24" s="1"/>
  <c r="J102" i="27"/>
  <c r="I110" i="27"/>
  <c r="I82" i="27" s="1"/>
  <c r="I86" i="27" s="1"/>
  <c r="I112" i="27" s="1"/>
  <c r="G61" i="27"/>
  <c r="G174" i="27"/>
  <c r="G31" i="16"/>
  <c r="G32" i="16" s="1"/>
  <c r="G34" i="16" s="1"/>
  <c r="G36" i="16" s="1"/>
  <c r="H60" i="27"/>
  <c r="H62" i="27"/>
  <c r="I22" i="16"/>
  <c r="H26" i="16"/>
  <c r="H27" i="16" s="1"/>
  <c r="H30" i="16" s="1"/>
  <c r="I114" i="27" l="1"/>
  <c r="I113" i="27"/>
  <c r="R175" i="27"/>
  <c r="P175" i="27"/>
  <c r="AA175" i="27"/>
  <c r="Q175" i="27"/>
  <c r="T175" i="27"/>
  <c r="I137" i="27"/>
  <c r="I142" i="27" s="1"/>
  <c r="I172" i="27" s="1"/>
  <c r="B178" i="27" s="1"/>
  <c r="I173" i="27"/>
  <c r="B185" i="27" s="1"/>
  <c r="C178" i="27" s="1"/>
  <c r="J58" i="27"/>
  <c r="J29" i="27" s="1"/>
  <c r="J32" i="27" s="1"/>
  <c r="K49" i="27"/>
  <c r="W175" i="27"/>
  <c r="K102" i="27"/>
  <c r="J110" i="27"/>
  <c r="J82" i="27" s="1"/>
  <c r="J86" i="27" s="1"/>
  <c r="J112" i="27" s="1"/>
  <c r="J114" i="27" s="1"/>
  <c r="B181" i="27"/>
  <c r="I62" i="27"/>
  <c r="I60" i="27"/>
  <c r="Z175" i="27"/>
  <c r="Y25" i="27"/>
  <c r="Z24" i="27"/>
  <c r="Y175" i="27"/>
  <c r="N175" i="27"/>
  <c r="J175" i="27"/>
  <c r="U175" i="27"/>
  <c r="J22" i="16"/>
  <c r="I27" i="16"/>
  <c r="I30" i="16" s="1"/>
  <c r="B180" i="27"/>
  <c r="H175" i="27"/>
  <c r="H31" i="16"/>
  <c r="H32" i="16" s="1"/>
  <c r="E34" i="16"/>
  <c r="G33" i="16"/>
  <c r="E33" i="16"/>
  <c r="F33" i="16"/>
  <c r="H61" i="27"/>
  <c r="H174" i="27"/>
  <c r="B186" i="27"/>
  <c r="C179" i="27" s="1"/>
  <c r="D35" i="28" s="1"/>
  <c r="K174" i="27" l="1"/>
  <c r="I174" i="27"/>
  <c r="N174" i="27"/>
  <c r="H34" i="16"/>
  <c r="H36" i="16" s="1"/>
  <c r="H33" i="16"/>
  <c r="K58" i="27"/>
  <c r="K29" i="27" s="1"/>
  <c r="K32" i="27" s="1"/>
  <c r="L49" i="27"/>
  <c r="Y174" i="27"/>
  <c r="R174" i="27"/>
  <c r="Z174" i="27"/>
  <c r="J62" i="27"/>
  <c r="J60" i="27"/>
  <c r="L174" i="27"/>
  <c r="AA174" i="27"/>
  <c r="X175" i="27"/>
  <c r="O175" i="27"/>
  <c r="I175" i="27"/>
  <c r="S174" i="27"/>
  <c r="L102" i="27"/>
  <c r="K110" i="27"/>
  <c r="K82" i="27" s="1"/>
  <c r="K86" i="27" s="1"/>
  <c r="K112" i="27" s="1"/>
  <c r="K113" i="27" s="1"/>
  <c r="C180" i="27"/>
  <c r="S175" i="27"/>
  <c r="J174" i="27"/>
  <c r="I61" i="27"/>
  <c r="AA24" i="27"/>
  <c r="AA25" i="27" s="1"/>
  <c r="Z25" i="27"/>
  <c r="U174" i="27"/>
  <c r="C181" i="27"/>
  <c r="E36" i="16"/>
  <c r="H35" i="16"/>
  <c r="G35" i="16"/>
  <c r="F35" i="16"/>
  <c r="C53" i="16" s="1"/>
  <c r="E35" i="16"/>
  <c r="C52" i="16" s="1"/>
  <c r="I31" i="16"/>
  <c r="I32" i="16" s="1"/>
  <c r="J113" i="27"/>
  <c r="T174" i="27"/>
  <c r="V174" i="27"/>
  <c r="B179" i="27"/>
  <c r="C35" i="28" s="1"/>
  <c r="O174" i="27"/>
  <c r="Q174" i="27"/>
  <c r="M174" i="27"/>
  <c r="P174" i="27"/>
  <c r="W174" i="27"/>
  <c r="K22" i="16"/>
  <c r="K26" i="16" s="1"/>
  <c r="K27" i="16" s="1"/>
  <c r="K30" i="16" s="1"/>
  <c r="J26" i="16"/>
  <c r="J27" i="16" s="1"/>
  <c r="J30" i="16" s="1"/>
  <c r="K175" i="27"/>
  <c r="V175" i="27"/>
  <c r="X174" i="27"/>
  <c r="M175" i="27"/>
  <c r="L175" i="27"/>
  <c r="I34" i="16" l="1"/>
  <c r="I33" i="16"/>
  <c r="K60" i="27"/>
  <c r="K62" i="27"/>
  <c r="L58" i="27"/>
  <c r="L29" i="27" s="1"/>
  <c r="L32" i="27" s="1"/>
  <c r="M49" i="27"/>
  <c r="J31" i="16"/>
  <c r="J32" i="16" s="1"/>
  <c r="M102" i="27"/>
  <c r="L110" i="27"/>
  <c r="L82" i="27" s="1"/>
  <c r="L86" i="27" s="1"/>
  <c r="L112" i="27" s="1"/>
  <c r="K31" i="16"/>
  <c r="K32" i="16" s="1"/>
  <c r="K34" i="16" s="1"/>
  <c r="K36" i="16" s="1"/>
  <c r="J61" i="27"/>
  <c r="D52" i="16"/>
  <c r="B44" i="16" s="1"/>
  <c r="K114" i="27"/>
  <c r="C44" i="16" l="1"/>
  <c r="C11" i="28"/>
  <c r="J34" i="16"/>
  <c r="J36" i="16" s="1"/>
  <c r="J33" i="16"/>
  <c r="N49" i="27"/>
  <c r="M58" i="27"/>
  <c r="M29" i="27" s="1"/>
  <c r="M32" i="27" s="1"/>
  <c r="L62" i="27"/>
  <c r="L60" i="27"/>
  <c r="L114" i="27"/>
  <c r="L113" i="27"/>
  <c r="K33" i="16"/>
  <c r="M110" i="27"/>
  <c r="M82" i="27" s="1"/>
  <c r="M86" i="27" s="1"/>
  <c r="M112" i="27" s="1"/>
  <c r="N102" i="27"/>
  <c r="K61" i="27"/>
  <c r="I36" i="16"/>
  <c r="B40" i="16" s="1"/>
  <c r="C7" i="28" s="1"/>
  <c r="K35" i="16"/>
  <c r="J35" i="16"/>
  <c r="I35" i="16"/>
  <c r="B43" i="16" l="1"/>
  <c r="C10" i="28" s="1"/>
  <c r="B41" i="16"/>
  <c r="C8" i="28" s="1"/>
  <c r="B42" i="16"/>
  <c r="C9" i="28" s="1"/>
  <c r="N110" i="27"/>
  <c r="N82" i="27" s="1"/>
  <c r="N86" i="27" s="1"/>
  <c r="N112" i="27" s="1"/>
  <c r="O102" i="27"/>
  <c r="M60" i="27"/>
  <c r="M61" i="27" s="1"/>
  <c r="M62" i="27"/>
  <c r="M114" i="27"/>
  <c r="M113" i="27"/>
  <c r="N58" i="27"/>
  <c r="N29" i="27" s="1"/>
  <c r="N32" i="27" s="1"/>
  <c r="O49" i="27"/>
  <c r="L61" i="27"/>
  <c r="N114" i="27" l="1"/>
  <c r="N113" i="27"/>
  <c r="P102" i="27"/>
  <c r="O110" i="27"/>
  <c r="O82" i="27" s="1"/>
  <c r="O86" i="27" s="1"/>
  <c r="O112" i="27" s="1"/>
  <c r="N62" i="27"/>
  <c r="N60" i="27"/>
  <c r="N61" i="27" s="1"/>
  <c r="O58" i="27"/>
  <c r="O29" i="27" s="1"/>
  <c r="O32" i="27" s="1"/>
  <c r="P49" i="27"/>
  <c r="Q102" i="27" l="1"/>
  <c r="P110" i="27"/>
  <c r="P82" i="27" s="1"/>
  <c r="P86" i="27" s="1"/>
  <c r="P112" i="27" s="1"/>
  <c r="Q49" i="27"/>
  <c r="P58" i="27"/>
  <c r="P29" i="27" s="1"/>
  <c r="P32" i="27" s="1"/>
  <c r="O114" i="27"/>
  <c r="O113" i="27"/>
  <c r="O60" i="27"/>
  <c r="O61" i="27" s="1"/>
  <c r="O62" i="27"/>
  <c r="P62" i="27" l="1"/>
  <c r="P60" i="27"/>
  <c r="P61" i="27" s="1"/>
  <c r="Q58" i="27"/>
  <c r="Q29" i="27" s="1"/>
  <c r="Q32" i="27" s="1"/>
  <c r="R49" i="27"/>
  <c r="P114" i="27"/>
  <c r="P113" i="27"/>
  <c r="Q110" i="27"/>
  <c r="Q82" i="27" s="1"/>
  <c r="Q86" i="27" s="1"/>
  <c r="Q112" i="27" s="1"/>
  <c r="R102" i="27"/>
  <c r="S102" i="27" l="1"/>
  <c r="R110" i="27"/>
  <c r="R82" i="27" s="1"/>
  <c r="R86" i="27" s="1"/>
  <c r="R112" i="27" s="1"/>
  <c r="S49" i="27"/>
  <c r="R58" i="27"/>
  <c r="R29" i="27" s="1"/>
  <c r="R32" i="27" s="1"/>
  <c r="Q114" i="27"/>
  <c r="Q113" i="27"/>
  <c r="Q60" i="27"/>
  <c r="Q61" i="27" s="1"/>
  <c r="Q62" i="27"/>
  <c r="R62" i="27" l="1"/>
  <c r="R60" i="27"/>
  <c r="R61" i="27" s="1"/>
  <c r="R114" i="27"/>
  <c r="R113" i="27"/>
  <c r="T49" i="27"/>
  <c r="S58" i="27"/>
  <c r="S29" i="27" s="1"/>
  <c r="S32" i="27" s="1"/>
  <c r="T102" i="27"/>
  <c r="S110" i="27"/>
  <c r="S82" i="27" s="1"/>
  <c r="S86" i="27" s="1"/>
  <c r="S112" i="27" s="1"/>
  <c r="T110" i="27" l="1"/>
  <c r="T82" i="27" s="1"/>
  <c r="T86" i="27" s="1"/>
  <c r="T112" i="27" s="1"/>
  <c r="U102" i="27"/>
  <c r="S60" i="27"/>
  <c r="S61" i="27" s="1"/>
  <c r="S62" i="27"/>
  <c r="U49" i="27"/>
  <c r="T58" i="27"/>
  <c r="T29" i="27" s="1"/>
  <c r="T32" i="27" s="1"/>
  <c r="S114" i="27"/>
  <c r="S113" i="27"/>
  <c r="V49" i="27" l="1"/>
  <c r="U58" i="27"/>
  <c r="U29" i="27" s="1"/>
  <c r="U32" i="27" s="1"/>
  <c r="T62" i="27"/>
  <c r="T60" i="27"/>
  <c r="T61" i="27" s="1"/>
  <c r="U110" i="27"/>
  <c r="U82" i="27" s="1"/>
  <c r="U86" i="27" s="1"/>
  <c r="U112" i="27" s="1"/>
  <c r="V102" i="27"/>
  <c r="T114" i="27"/>
  <c r="T113" i="27"/>
  <c r="U114" i="27" l="1"/>
  <c r="U113" i="27"/>
  <c r="W102" i="27"/>
  <c r="V110" i="27"/>
  <c r="V82" i="27" s="1"/>
  <c r="V86" i="27" s="1"/>
  <c r="V112" i="27" s="1"/>
  <c r="U62" i="27"/>
  <c r="U60" i="27"/>
  <c r="U61" i="27" s="1"/>
  <c r="W49" i="27"/>
  <c r="V58" i="27"/>
  <c r="V29" i="27" s="1"/>
  <c r="V32" i="27" s="1"/>
  <c r="V60" i="27" l="1"/>
  <c r="V61" i="27" s="1"/>
  <c r="V62" i="27"/>
  <c r="V114" i="27"/>
  <c r="V113" i="27"/>
  <c r="W110" i="27"/>
  <c r="W82" i="27" s="1"/>
  <c r="W86" i="27" s="1"/>
  <c r="W112" i="27" s="1"/>
  <c r="X102" i="27"/>
  <c r="X49" i="27"/>
  <c r="W58" i="27"/>
  <c r="W29" i="27" s="1"/>
  <c r="W32" i="27" s="1"/>
  <c r="W60" i="27" l="1"/>
  <c r="W61" i="27" s="1"/>
  <c r="W62" i="27"/>
  <c r="W114" i="27"/>
  <c r="W113" i="27"/>
  <c r="X110" i="27"/>
  <c r="X82" i="27" s="1"/>
  <c r="X86" i="27" s="1"/>
  <c r="X112" i="27" s="1"/>
  <c r="Y102" i="27"/>
  <c r="Y49" i="27"/>
  <c r="X58" i="27"/>
  <c r="X29" i="27" s="1"/>
  <c r="X32" i="27" s="1"/>
  <c r="Z102" i="27" l="1"/>
  <c r="Y110" i="27"/>
  <c r="Y82" i="27" s="1"/>
  <c r="Y86" i="27" s="1"/>
  <c r="Y112" i="27" s="1"/>
  <c r="X60" i="27"/>
  <c r="X61" i="27" s="1"/>
  <c r="X62" i="27"/>
  <c r="X114" i="27"/>
  <c r="X113" i="27"/>
  <c r="Z49" i="27"/>
  <c r="Y58" i="27"/>
  <c r="Y29" i="27" s="1"/>
  <c r="Y32" i="27" s="1"/>
  <c r="Y62" i="27" l="1"/>
  <c r="Y60" i="27"/>
  <c r="Y61" i="27" s="1"/>
  <c r="Z58" i="27"/>
  <c r="Z29" i="27" s="1"/>
  <c r="Z32" i="27" s="1"/>
  <c r="AA49" i="27"/>
  <c r="AA58" i="27" s="1"/>
  <c r="AA29" i="27" s="1"/>
  <c r="AA32" i="27" s="1"/>
  <c r="Y114" i="27"/>
  <c r="Y113" i="27"/>
  <c r="Z110" i="27"/>
  <c r="Z82" i="27" s="1"/>
  <c r="Z86" i="27" s="1"/>
  <c r="Z112" i="27" s="1"/>
  <c r="AA102" i="27"/>
  <c r="AA110" i="27" s="1"/>
  <c r="AA82" i="27" s="1"/>
  <c r="AA86" i="27" s="1"/>
  <c r="AA112" i="27" s="1"/>
  <c r="Z114" i="27" l="1"/>
  <c r="Z113" i="27"/>
  <c r="AA114" i="27"/>
  <c r="AA113" i="27"/>
  <c r="Z60" i="27"/>
  <c r="Z61" i="27" s="1"/>
  <c r="Z62" i="27"/>
  <c r="AA60" i="27"/>
  <c r="AA61" i="27" s="1"/>
  <c r="AA62" i="27"/>
  <c r="B65" i="27" l="1"/>
  <c r="B120" i="27"/>
  <c r="B118" i="27"/>
  <c r="C26" i="28" s="1"/>
  <c r="B119" i="27"/>
  <c r="B117" i="27"/>
  <c r="B68" i="27"/>
</calcChain>
</file>

<file path=xl/sharedStrings.xml><?xml version="1.0" encoding="utf-8"?>
<sst xmlns="http://schemas.openxmlformats.org/spreadsheetml/2006/main" count="397" uniqueCount="263">
  <si>
    <t>Iniatial Investment Per Hectare (F CFA) - DIDS</t>
  </si>
  <si>
    <t>Exchange rate</t>
  </si>
  <si>
    <t>XAF /USD</t>
  </si>
  <si>
    <t>ETB /USD</t>
  </si>
  <si>
    <t>Ref</t>
  </si>
  <si>
    <t>Designation</t>
  </si>
  <si>
    <t>Unit</t>
  </si>
  <si>
    <t>Quantity</t>
  </si>
  <si>
    <t>Unit Price</t>
  </si>
  <si>
    <t>Total Price</t>
  </si>
  <si>
    <t>Irrigation kit 500 m2 (2 -inche)</t>
  </si>
  <si>
    <t>500 m2</t>
  </si>
  <si>
    <t xml:space="preserve">Irrigation kit accessories 100 m2 </t>
  </si>
  <si>
    <t>100 m2</t>
  </si>
  <si>
    <t>Solar-powered pump (Pumping)</t>
  </si>
  <si>
    <t>kW/ha</t>
  </si>
  <si>
    <t>Water tower (metalic scaffold + a reservoir of 5 m3 of capacity)</t>
  </si>
  <si>
    <t>5 m3</t>
  </si>
  <si>
    <t>Small agricultural tool kits</t>
  </si>
  <si>
    <t>Labor (plot installation)</t>
  </si>
  <si>
    <t>Ha</t>
  </si>
  <si>
    <t>Contigencies (Farm fencing)</t>
  </si>
  <si>
    <t>Total Initial Investment</t>
  </si>
  <si>
    <t>Investment</t>
  </si>
  <si>
    <t>Number of depreciation years</t>
  </si>
  <si>
    <t>Maximal annual depreciation charge</t>
  </si>
  <si>
    <t>Year1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</si>
  <si>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</si>
  <si>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</si>
  <si>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</si>
  <si>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</si>
  <si>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</si>
  <si>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</si>
  <si>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</si>
  <si>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</si>
  <si>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</si>
  <si>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Irrigation kits</t>
  </si>
  <si>
    <t>Fence on farm</t>
  </si>
  <si>
    <t>Total</t>
  </si>
  <si>
    <t>Seed costs</t>
  </si>
  <si>
    <t>Season</t>
  </si>
  <si>
    <t>1.0 kg</t>
  </si>
  <si>
    <t>Fertilization (Standard Application)</t>
  </si>
  <si>
    <t>Compound S</t>
  </si>
  <si>
    <t>Kg</t>
  </si>
  <si>
    <t>Ammonium nitrate</t>
  </si>
  <si>
    <t>Control of disease vectors and pests: Chemicals</t>
  </si>
  <si>
    <t>Endosulfan 35MO</t>
  </si>
  <si>
    <t>Litre</t>
  </si>
  <si>
    <t>Dichlorvos</t>
  </si>
  <si>
    <t>Dimethoate</t>
  </si>
  <si>
    <t>Land preparations</t>
  </si>
  <si>
    <t>Permanent labor (daily labor and follow-up)</t>
  </si>
  <si>
    <t>Days</t>
  </si>
  <si>
    <t>Season Interest rate (@ 6% per season)</t>
  </si>
  <si>
    <t>6 months</t>
  </si>
  <si>
    <t>Contigencies (10% of OC)</t>
  </si>
  <si>
    <t>Ref.</t>
  </si>
  <si>
    <t>Crop</t>
  </si>
  <si>
    <t>Crop Duration  (Day)</t>
  </si>
  <si>
    <t>Yield Per Hectare (Ton)</t>
  </si>
  <si>
    <t>Average Price Per Kg during the Rainy Season -RS   (FCFA)</t>
  </si>
  <si>
    <t>Average Price Per Kg during the Dry Season-DS   (FCFA)</t>
  </si>
  <si>
    <t>Possible Number of Cycles over the RS or DS and under Irrigation</t>
  </si>
  <si>
    <t xml:space="preserve">Annual Gross Income Per Hectare under Irrigation (FCFA) </t>
  </si>
  <si>
    <t xml:space="preserve">Annual Gross Income Per Hectare under Irrigation (USD) </t>
  </si>
  <si>
    <r>
      <t>Planned Plot Size (m</t>
    </r>
    <r>
      <rPr>
        <b/>
        <vertAlign val="superscript"/>
        <sz val="11"/>
        <color indexed="8"/>
        <rFont val="Calibri Light"/>
        <family val="2"/>
      </rPr>
      <t>2</t>
    </r>
    <r>
      <rPr>
        <b/>
        <sz val="11"/>
        <color indexed="8"/>
        <rFont val="Calibri Light"/>
        <family val="2"/>
      </rPr>
      <t xml:space="preserve"> )</t>
    </r>
  </si>
  <si>
    <t>Expected Yield Per Plot (Kg)</t>
  </si>
  <si>
    <t xml:space="preserve">Annual Gross Income Per Plot under Irrigation (FCFA) </t>
  </si>
  <si>
    <t xml:space="preserve">Annual Gross Income Per Plot under Irrigation (USD) </t>
  </si>
  <si>
    <t>Onion</t>
  </si>
  <si>
    <t>90-120</t>
  </si>
  <si>
    <t>Tomato</t>
  </si>
  <si>
    <t>100-110</t>
  </si>
  <si>
    <t>Local Eggplant</t>
  </si>
  <si>
    <t>Cabbage</t>
  </si>
  <si>
    <t>80-90</t>
  </si>
  <si>
    <t>pepper</t>
  </si>
  <si>
    <t>Carrot</t>
  </si>
  <si>
    <t>Lettuce</t>
  </si>
  <si>
    <t>*</t>
  </si>
  <si>
    <t>**</t>
  </si>
  <si>
    <t>***</t>
  </si>
  <si>
    <t>****</t>
  </si>
  <si>
    <t>Cucumber</t>
  </si>
  <si>
    <t>60-70</t>
  </si>
  <si>
    <t>Okra</t>
  </si>
  <si>
    <t xml:space="preserve">104 lettuce seedlings per 15 m2 </t>
  </si>
  <si>
    <t>4 lettuce seedling for 500 fcfa</t>
  </si>
  <si>
    <t>leading to</t>
  </si>
  <si>
    <t>fcfa per hectare with a coverage rate of 70%</t>
  </si>
  <si>
    <t>4 lettuce seedling for 1000 fcfa</t>
  </si>
  <si>
    <t>lettuce seedling</t>
  </si>
  <si>
    <t>RS: Rainy Season and DS: Dry Season</t>
  </si>
  <si>
    <t>Procurement of supplies for marketing</t>
  </si>
  <si>
    <t>Services: transportation and deliveries</t>
  </si>
  <si>
    <t>Assumptions for Financial Terms</t>
  </si>
  <si>
    <t>Interest rate from GCF</t>
  </si>
  <si>
    <t>Sovereign operation</t>
  </si>
  <si>
    <t>Cost of borrowing from GCF</t>
  </si>
  <si>
    <t>Social Discount rate</t>
  </si>
  <si>
    <t>Africa/AfDB</t>
  </si>
  <si>
    <t>Private Escos Discount rate</t>
  </si>
  <si>
    <t>As build up</t>
  </si>
  <si>
    <t>Years</t>
  </si>
  <si>
    <t>Abbreviation</t>
  </si>
  <si>
    <t>Gross Operating Income (GOI)</t>
  </si>
  <si>
    <t>Total raw product* (1)</t>
  </si>
  <si>
    <t>RP</t>
  </si>
  <si>
    <t>Total  Intermediate Consumption -TIC (2)</t>
  </si>
  <si>
    <t>IC</t>
  </si>
  <si>
    <t>Added value (3) = (1) - (2)</t>
  </si>
  <si>
    <t>AV</t>
  </si>
  <si>
    <t>Per ha initial investment</t>
  </si>
  <si>
    <t>Total Initial Investment (TINV)</t>
  </si>
  <si>
    <t>Fertilization costs</t>
  </si>
  <si>
    <t>Costs for disease and pest control</t>
  </si>
  <si>
    <t>Land preparation</t>
  </si>
  <si>
    <t>Season interest rate (6% per season)</t>
  </si>
  <si>
    <t>Total Operating Charges-TOC (4)</t>
  </si>
  <si>
    <t>OP</t>
  </si>
  <si>
    <t>Gross Operating Surplus GOS (5) = (3) - (4)</t>
  </si>
  <si>
    <t>GOS</t>
  </si>
  <si>
    <t>Depreciation charges</t>
  </si>
  <si>
    <t>Charges after GOS (6)</t>
  </si>
  <si>
    <t>Net Operating Surplus (NOS) before taxes (7) = (5) - (6)</t>
  </si>
  <si>
    <t>NOS</t>
  </si>
  <si>
    <t>Income tax expense (8) = X%* (7)</t>
  </si>
  <si>
    <t>Net profit  (9) = (7) - (8)</t>
  </si>
  <si>
    <t>Cumulated net profit</t>
  </si>
  <si>
    <t>Cash Flow (10) = (9) + (6)</t>
  </si>
  <si>
    <t xml:space="preserve">Cumulated cash Flow </t>
  </si>
  <si>
    <t>Cash Flow (USD)</t>
  </si>
  <si>
    <t>* In the first 3 year, initial investment of $1000 (year 1) and $250 each in years 2 &amp; 3 is assumed per/Ha.</t>
  </si>
  <si>
    <t>XIRR (2XX0-2X25)</t>
  </si>
  <si>
    <t>XNPV (2XX0-2X25) at Discount (0.75% implicit for cost of capital)</t>
  </si>
  <si>
    <t>XNPV (2XX0-2X25) at Social Discount</t>
  </si>
  <si>
    <t>XNPV (2XX0-2X25) at ESCO Discount</t>
  </si>
  <si>
    <t xml:space="preserve">   Payback Period (Years)</t>
  </si>
  <si>
    <t>Year</t>
  </si>
  <si>
    <t>Cum. Cash Flow</t>
  </si>
  <si>
    <t>Cash Flow</t>
  </si>
  <si>
    <t>Yr 1</t>
  </si>
  <si>
    <t>Yr2</t>
  </si>
  <si>
    <t>Yr3</t>
  </si>
  <si>
    <t>Yr4</t>
  </si>
  <si>
    <t>Yr5</t>
  </si>
  <si>
    <t>Input parameters</t>
  </si>
  <si>
    <t>Parameters used for economic and financial assessment</t>
  </si>
  <si>
    <t>Area under production</t>
  </si>
  <si>
    <t>Agroforestry Lifespan</t>
  </si>
  <si>
    <t>Expected kg/Ha</t>
  </si>
  <si>
    <t>Cahew*</t>
  </si>
  <si>
    <t>Hectare (Ha)</t>
  </si>
  <si>
    <t>25 years</t>
  </si>
  <si>
    <t>Mango ( Kent or Keitt mango)**</t>
  </si>
  <si>
    <t>Coffee (Arabica coffee)</t>
  </si>
  <si>
    <t>Wootlots (Eucalyptus)****</t>
  </si>
  <si>
    <t>* An average of 4.5kg of raw nuts is produced per Cashew Tree and 1 ha has over 625 Cashew trees.The minimum government farm gate price per/kg ranges from 450 - 550 XAF in West Africa</t>
  </si>
  <si>
    <r>
      <t>** Yeids of 20 - 30 tons per ha have ben recorded in Senegal (</t>
    </r>
    <r>
      <rPr>
        <i/>
        <u/>
        <sz val="10"/>
        <color indexed="12"/>
        <rFont val="Calibri Light"/>
        <family val="2"/>
      </rPr>
      <t>https://www.rvo.nl/sites/default/files/2020/12/201204%20SVC%20Export%20Mango%20Farm.pdf</t>
    </r>
    <r>
      <rPr>
        <i/>
        <sz val="10"/>
        <color indexed="8"/>
        <rFont val="Calibri Light"/>
        <family val="2"/>
      </rPr>
      <t>) . The farm gate prices per/kg ranges from 151XAF in Senegal, 130 XAF in Togo and 120 XAF in Guinea</t>
    </r>
  </si>
  <si>
    <t>**** Will mostly be used as windbreaks in market gardening and CRA practices though in the long run, will produce wood for consumption</t>
  </si>
  <si>
    <t>Revenue</t>
  </si>
  <si>
    <r>
      <t xml:space="preserve"> - </t>
    </r>
    <r>
      <rPr>
        <sz val="10"/>
        <color indexed="8"/>
        <rFont val="Calibri Light"/>
        <family val="2"/>
      </rPr>
      <t>Initial Revenue Outlay</t>
    </r>
  </si>
  <si>
    <t>$500</t>
  </si>
  <si>
    <t xml:space="preserve"> -Cashew Nuts (Yield may increase at 3% from year 4 for 10 years)</t>
  </si>
  <si>
    <t xml:space="preserve"> - Intercroping (for e.g., cabbage, or okra  from year 3)</t>
  </si>
  <si>
    <t>Total Revenue (1)</t>
  </si>
  <si>
    <t xml:space="preserve">Fixed Costs </t>
  </si>
  <si>
    <t xml:space="preserve"> - Management </t>
  </si>
  <si>
    <t xml:space="preserve"> - Interest payment on part of variable costs incurred (6%)</t>
  </si>
  <si>
    <t>Non-Fixed Cost</t>
  </si>
  <si>
    <t xml:space="preserve"> - Depreciation value (fence and DIDS) at 5% rate</t>
  </si>
  <si>
    <t>Total fixed Costs (2)</t>
  </si>
  <si>
    <t>Variable Costs</t>
  </si>
  <si>
    <t>Site Preparations</t>
  </si>
  <si>
    <t xml:space="preserve"> - Land clearing for liming
liming</t>
  </si>
  <si>
    <t xml:space="preserve"> - Digging of holes</t>
  </si>
  <si>
    <t xml:space="preserve"> - Fencing the farm</t>
  </si>
  <si>
    <t>Fertilizer</t>
  </si>
  <si>
    <t xml:space="preserve"> - Lime, gypsum</t>
  </si>
  <si>
    <t xml:space="preserve"> -  N-P-K</t>
  </si>
  <si>
    <t>Planting</t>
  </si>
  <si>
    <t xml:space="preserve"> - Seedlings (Grafted scion)</t>
  </si>
  <si>
    <t xml:space="preserve"> - Transplant </t>
  </si>
  <si>
    <t xml:space="preserve"> - Labour cost for planting</t>
  </si>
  <si>
    <t xml:space="preserve"> - Replanting (1/50th of a hectare each year)</t>
  </si>
  <si>
    <t>Maintenance</t>
  </si>
  <si>
    <t xml:space="preserve"> - Fertilization (November &amp; December) </t>
  </si>
  <si>
    <t xml:space="preserve"> - Pesticides/Fungucides</t>
  </si>
  <si>
    <t xml:space="preserve"> - Herbicides</t>
  </si>
  <si>
    <t xml:space="preserve"> -Weed Control (May to September)</t>
  </si>
  <si>
    <t xml:space="preserve"> - Training (first 4 years) August – September</t>
  </si>
  <si>
    <t xml:space="preserve"> - Pruning, de-blossoming (From January to December) first 4 years</t>
  </si>
  <si>
    <t xml:space="preserve"> - Labout cost for maintenance</t>
  </si>
  <si>
    <t xml:space="preserve"> - Initial investment on Irrigation</t>
  </si>
  <si>
    <t>Harvest (January - February - May)</t>
  </si>
  <si>
    <t xml:space="preserve"> - Labour for Cashew Nuts Harvest</t>
  </si>
  <si>
    <t>Total Variable Costs (3)</t>
  </si>
  <si>
    <t>Net profit  (4) = (1) - (2) - (3)</t>
  </si>
  <si>
    <t>Cumulated Net profit</t>
  </si>
  <si>
    <t>Cash Flow Forecasted</t>
  </si>
  <si>
    <t>Mango Plantation/Ha</t>
  </si>
  <si>
    <r>
      <t xml:space="preserve"> - </t>
    </r>
    <r>
      <rPr>
        <sz val="10"/>
        <color indexed="8"/>
        <rFont val="Calibri Light"/>
        <family val="2"/>
      </rPr>
      <t>Initial Revenue (GCF)</t>
    </r>
  </si>
  <si>
    <t xml:space="preserve"> -Mango fruits (Yield is optimal for 10 to 15 years but starts at year 4)</t>
  </si>
  <si>
    <t xml:space="preserve"> - Intercroping also with vegatbles (e.g., okra, onions et.,)</t>
  </si>
  <si>
    <t xml:space="preserve"> - Depreciation of fence 5%</t>
  </si>
  <si>
    <t xml:space="preserve"> - Depreciation of Irrigation kits 5%</t>
  </si>
  <si>
    <t xml:space="preserve"> - Fencing of farm</t>
  </si>
  <si>
    <t>Fertilization of holes</t>
  </si>
  <si>
    <t xml:space="preserve"> - Superphosphate, MOP and FYM</t>
  </si>
  <si>
    <t xml:space="preserve"> - Transplant (July - August)</t>
  </si>
  <si>
    <t xml:space="preserve"> - Fertilizer (October, June - July),  Nitrogen, Phosphate &amp; Potash</t>
  </si>
  <si>
    <t xml:space="preserve"> - Pruning (Once every 2 years) and starts at year 3</t>
  </si>
  <si>
    <t xml:space="preserve"> - Investment on DIDS powered by Solar Pumps</t>
  </si>
  <si>
    <t xml:space="preserve"> - Labour for Harvesting of fruits</t>
  </si>
  <si>
    <t>Arabica Coffee Plantation/Ha of about 1,100 Tree Crops</t>
  </si>
  <si>
    <r>
      <t xml:space="preserve"> - </t>
    </r>
    <r>
      <rPr>
        <sz val="10"/>
        <color indexed="8"/>
        <rFont val="Calibri Light"/>
        <family val="2"/>
      </rPr>
      <t>Initial Revenue (GCF) without Irrigation</t>
    </r>
  </si>
  <si>
    <t xml:space="preserve"> - Initial Revenue (GCF) with Irrigation</t>
  </si>
  <si>
    <t xml:space="preserve"> - Yield starts at year 2 &amp; optimal from year 4 -8 at 800kg/ha without Irrigation</t>
  </si>
  <si>
    <t xml:space="preserve"> -Yield starts at Year 2 &amp; Optimal from Year 4-8 at 1200kg/Ha under Irrigation condition</t>
  </si>
  <si>
    <t xml:space="preserve"> - Intercroping with okra plant also serving as shade </t>
  </si>
  <si>
    <t>Total Revenue (1) without irrigation</t>
  </si>
  <si>
    <t>Total Revenue (2) with irrigation</t>
  </si>
  <si>
    <t xml:space="preserve"> - Interest payment on part of variable costs incurred (6%)without irrigation</t>
  </si>
  <si>
    <t xml:space="preserve"> - (6%) with irrigation</t>
  </si>
  <si>
    <t xml:space="preserve"> - Depreciation value (Fence) rate of 5% without irrigation</t>
  </si>
  <si>
    <t xml:space="preserve"> - Depreciation value (DIDS) rate of 5% with irrigation</t>
  </si>
  <si>
    <t>Total fixed Costs (3) without irrigation</t>
  </si>
  <si>
    <t>Total fixed Costs (4) with irrigation</t>
  </si>
  <si>
    <t xml:space="preserve"> - Land clearing 
liming</t>
  </si>
  <si>
    <t xml:space="preserve"> - Digging of holes and refilling with compost and fertilizer</t>
  </si>
  <si>
    <t xml:space="preserve"> - Wedding, hoeing, mulching, watering</t>
  </si>
  <si>
    <t xml:space="preserve"> - Investment on DIDS powered by Solar Pumps/Canals</t>
  </si>
  <si>
    <t xml:space="preserve"> - Compost and fertilizer applications </t>
  </si>
  <si>
    <t xml:space="preserve"> - Seedlings cost</t>
  </si>
  <si>
    <t xml:space="preserve"> - Shade tree seedling cost </t>
  </si>
  <si>
    <t xml:space="preserve"> - Transportation of seedlings</t>
  </si>
  <si>
    <t xml:space="preserve"> - Hat construction and installation</t>
  </si>
  <si>
    <t xml:space="preserve"> - Pesticides cost and application up still year 9</t>
  </si>
  <si>
    <t xml:space="preserve"> - Herbicides application starts from year 9 -12</t>
  </si>
  <si>
    <t xml:space="preserve"> -Slashing, digging</t>
  </si>
  <si>
    <t xml:space="preserve"> - Pruning starts at year 9 -12</t>
  </si>
  <si>
    <t xml:space="preserve">Harvest </t>
  </si>
  <si>
    <t xml:space="preserve"> - Transportation of outputs</t>
  </si>
  <si>
    <t xml:space="preserve"> - Drying, construction of drying beds etc. </t>
  </si>
  <si>
    <t>Total Variable Costs (5) without irrigation</t>
  </si>
  <si>
    <t>Total Variable Costs (6) with irrigation</t>
  </si>
  <si>
    <t>Net profit  (7) = (1) - (3) - (5)  without irrigation</t>
  </si>
  <si>
    <t>Net profit  (8) = (2) - (4) - (6)  with irrigation</t>
  </si>
  <si>
    <t>Cumulated Net profit without irrigation</t>
  </si>
  <si>
    <t>cumulated Net profit with irrigation</t>
  </si>
  <si>
    <t>wout  Irrigation</t>
  </si>
  <si>
    <t>With Irrigation</t>
  </si>
  <si>
    <t>DIDS - Financial results</t>
  </si>
  <si>
    <t xml:space="preserve">Parameter </t>
  </si>
  <si>
    <t>Value</t>
  </si>
  <si>
    <t>Total investment per Ha</t>
  </si>
  <si>
    <t>Agro forestry - Financial results</t>
  </si>
  <si>
    <t>Cashew</t>
  </si>
  <si>
    <t>Mango</t>
  </si>
  <si>
    <t>Coffee</t>
  </si>
  <si>
    <t xml:space="preserve">Without Irrigation </t>
  </si>
  <si>
    <t xml:space="preserve">With irrigation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</si>
</sst>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.00_-;\-* #,##0.00_-;_-* &quot;-&quot;??_-;_-@_-"/>
    <numFmt numFmtId="165" formatCode="&quot;£&quot;#,##0.00;[Red]\-&quot;£&quot;#,##0.00"/>
    <numFmt numFmtId="166" formatCode="_-* #,##0.00\ _€_-;\-* #,##0.00\ _€_-;_-* &quot;-&quot;??\ _€_-;_-@_-"/>
    <numFmt numFmtId="167" formatCode="_-* #,##0\ _€_-;\-* #,##0\ _€_-;_-* &quot;-&quot;??\ _€_-;_-@_-"/>
    <numFmt numFmtId="168" formatCode="0.000%"/>
    <numFmt numFmtId="169" formatCode="#,##0_ ;\-#,##0\ "/>
    <numFmt numFmtId="170" formatCode="[$$-1009]#,##0.00"/>
    <numFmt numFmtId="171" formatCode="[$$-3C09]#,##0.00"/>
    <numFmt numFmtId="172" formatCode="[$$-C09]#,##0.00"/>
    <numFmt numFmtId="173" formatCode="[$$-2009]#,##0.00;[Red]\-[$$-2009]#,##0.00"/>
    <numFmt numFmtId="174" formatCode="[$$-1004]#,##0.00"/>
    <numFmt numFmtId="175" formatCode="[$$-45C]#,##0.00"/>
    <numFmt numFmtId="176" formatCode="[$$-2809]#,##0.00"/>
    <numFmt numFmtId="177" formatCode="dd/mm/yyyy;@"/>
    <numFmt numFmtId="178" formatCode="[$$-C09]#,##0"/>
    <numFmt numFmtId="179" formatCode="[$$-C09]#,##0.0"/>
    <numFmt numFmtId="180" formatCode="[$$-45C]#,##0.0"/>
    <numFmt numFmtId="181" formatCode="_-* #,##0.000_-;\-* #,##0.000_-;_-* &quot;-&quot;??_-;_-@_-"/>
    <numFmt numFmtId="182" formatCode="[$$-1409]#,##0.00"/>
    <numFmt numFmtId="183" formatCode="[$$-409]#,##0_ ;\-[$$-409]#,##0\ "/>
    <numFmt numFmtId="184" formatCode="#,##0.0_ ;\-#,##0.0\ "/>
  </numFmts>
  <fonts count="41" x14ac:knownFonts="1">
    <font>
      <sz val="11"/>
      <color theme="1"/>
      <name val="Calibri"/>
      <family val="2"/>
      <scheme val="minor"/>
    </font>
    <font>
      <b/>
      <sz val="9"/>
      <color indexed="10"/>
      <name val="Calibri"/>
      <family val="2"/>
    </font>
    <font>
      <sz val="10"/>
      <color indexed="8"/>
      <name val="Calibri Light"/>
      <family val="2"/>
    </font>
    <font>
      <i/>
      <sz val="10"/>
      <color indexed="8"/>
      <name val="Calibri Light"/>
      <family val="2"/>
    </font>
    <font>
      <i/>
      <u/>
      <sz val="10"/>
      <color indexed="12"/>
      <name val="Calibri Light"/>
      <family val="2"/>
    </font>
    <font>
      <b/>
      <sz val="11"/>
      <color indexed="8"/>
      <name val="Calibri Light"/>
      <family val="2"/>
    </font>
    <font>
      <b/>
      <vertAlign val="superscript"/>
      <sz val="11"/>
      <color indexed="8"/>
      <name val="Calibri Light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 Light"/>
      <family val="2"/>
    </font>
    <font>
      <sz val="10"/>
      <color rgb="FF000000"/>
      <name val="Calibri Light"/>
      <family val="2"/>
    </font>
    <font>
      <sz val="10"/>
      <color rgb="FFC00000"/>
      <name val="Calibri Ligh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 Light"/>
      <family val="2"/>
    </font>
    <font>
      <b/>
      <sz val="10"/>
      <color rgb="FF000000"/>
      <name val="Calibri Light"/>
      <family val="2"/>
    </font>
    <font>
      <b/>
      <sz val="10"/>
      <color rgb="FFC00000"/>
      <name val="Calibri Light"/>
      <family val="2"/>
    </font>
    <font>
      <b/>
      <i/>
      <sz val="10"/>
      <color rgb="FF000000"/>
      <name val="Calibri Light"/>
      <family val="2"/>
    </font>
    <font>
      <i/>
      <sz val="10"/>
      <color theme="1"/>
      <name val="Calibri Light"/>
      <family val="2"/>
    </font>
    <font>
      <sz val="10"/>
      <color rgb="FF2E3C57"/>
      <name val="Calibri Light"/>
      <family val="2"/>
    </font>
    <font>
      <b/>
      <i/>
      <sz val="10"/>
      <color theme="1"/>
      <name val="Calibri Light"/>
      <family val="2"/>
    </font>
    <font>
      <b/>
      <sz val="10"/>
      <color rgb="FF006100"/>
      <name val="Calibri Light"/>
      <family val="2"/>
    </font>
    <font>
      <b/>
      <sz val="10"/>
      <color theme="1"/>
      <name val="Calibri"/>
      <family val="2"/>
      <scheme val="minor"/>
    </font>
    <font>
      <b/>
      <sz val="12"/>
      <color rgb="FF5C667B"/>
      <name val="Arial"/>
      <family val="2"/>
    </font>
    <font>
      <b/>
      <sz val="18"/>
      <color rgb="FF006100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10"/>
      <color rgb="FF002060"/>
      <name val="Calibri Light"/>
      <family val="2"/>
    </font>
    <font>
      <i/>
      <sz val="10"/>
      <color rgb="FF000000"/>
      <name val="Calibri Light"/>
      <family val="2"/>
    </font>
    <font>
      <sz val="10"/>
      <color theme="1"/>
      <name val="Arial"/>
      <family val="2"/>
    </font>
    <font>
      <sz val="10"/>
      <color rgb="FF006100"/>
      <name val="Calibri Light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Calibri Light"/>
      <family val="2"/>
    </font>
  </fonts>
  <fills count="2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166" fontId="7" fillId="0" borderId="0" applyFont="0" applyFill="0" applyBorder="0" applyAlignment="0" applyProtection="0"/>
    <xf numFmtId="0" fontId="9" fillId="9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</cellStyleXfs>
  <cellXfs count="315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6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/>
    </xf>
    <xf numFmtId="0" fontId="16" fillId="0" borderId="1" xfId="0" applyFont="1" applyBorder="1"/>
    <xf numFmtId="3" fontId="18" fillId="10" borderId="1" xfId="0" applyNumberFormat="1" applyFont="1" applyFill="1" applyBorder="1"/>
    <xf numFmtId="3" fontId="17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right"/>
    </xf>
    <xf numFmtId="0" fontId="16" fillId="0" borderId="2" xfId="0" applyFont="1" applyBorder="1"/>
    <xf numFmtId="3" fontId="18" fillId="10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0" fontId="17" fillId="11" borderId="2" xfId="0" applyFont="1" applyFill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3" fontId="16" fillId="0" borderId="2" xfId="0" applyNumberFormat="1" applyFont="1" applyBorder="1"/>
    <xf numFmtId="166" fontId="7" fillId="0" borderId="0" xfId="8" applyFont="1"/>
    <xf numFmtId="0" fontId="17" fillId="0" borderId="2" xfId="0" applyFont="1" applyBorder="1" applyAlignment="1">
      <alignment horizontal="right" vertical="top" wrapText="1"/>
    </xf>
    <xf numFmtId="3" fontId="17" fillId="0" borderId="2" xfId="0" applyNumberFormat="1" applyFont="1" applyBorder="1" applyAlignment="1">
      <alignment horizontal="right" vertical="top"/>
    </xf>
    <xf numFmtId="3" fontId="17" fillId="0" borderId="2" xfId="0" applyNumberFormat="1" applyFont="1" applyBorder="1" applyAlignment="1">
      <alignment horizontal="right" vertical="top" wrapText="1"/>
    </xf>
    <xf numFmtId="0" fontId="16" fillId="0" borderId="2" xfId="0" applyFont="1" applyBorder="1" applyAlignment="1">
      <alignment horizontal="right" vertical="top"/>
    </xf>
    <xf numFmtId="0" fontId="19" fillId="0" borderId="0" xfId="0" applyFont="1"/>
    <xf numFmtId="3" fontId="20" fillId="0" borderId="2" xfId="0" applyNumberFormat="1" applyFont="1" applyBorder="1"/>
    <xf numFmtId="0" fontId="20" fillId="0" borderId="2" xfId="0" applyFont="1" applyBorder="1"/>
    <xf numFmtId="3" fontId="21" fillId="0" borderId="2" xfId="0" applyNumberFormat="1" applyFont="1" applyBorder="1" applyAlignment="1">
      <alignment horizontal="center" vertical="center" wrapText="1"/>
    </xf>
    <xf numFmtId="3" fontId="22" fillId="10" borderId="2" xfId="0" applyNumberFormat="1" applyFont="1" applyFill="1" applyBorder="1"/>
    <xf numFmtId="0" fontId="10" fillId="0" borderId="0" xfId="0" applyFont="1"/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3" fontId="17" fillId="0" borderId="2" xfId="0" applyNumberFormat="1" applyFont="1" applyBorder="1" applyAlignment="1">
      <alignment horizontal="center" vertical="top"/>
    </xf>
    <xf numFmtId="3" fontId="17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vertical="top"/>
    </xf>
    <xf numFmtId="3" fontId="18" fillId="10" borderId="2" xfId="0" applyNumberFormat="1" applyFont="1" applyFill="1" applyBorder="1" applyAlignment="1">
      <alignment vertical="top"/>
    </xf>
    <xf numFmtId="0" fontId="17" fillId="0" borderId="3" xfId="0" applyFont="1" applyBorder="1" applyAlignment="1">
      <alignment vertical="top" wrapText="1"/>
    </xf>
    <xf numFmtId="0" fontId="16" fillId="0" borderId="3" xfId="0" applyFont="1" applyBorder="1" applyAlignment="1">
      <alignment vertical="top"/>
    </xf>
    <xf numFmtId="0" fontId="16" fillId="0" borderId="3" xfId="0" applyFont="1" applyBorder="1"/>
    <xf numFmtId="0" fontId="16" fillId="0" borderId="4" xfId="0" applyFont="1" applyBorder="1"/>
    <xf numFmtId="0" fontId="17" fillId="0" borderId="1" xfId="0" applyFont="1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17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center" vertical="top" wrapText="1"/>
    </xf>
    <xf numFmtId="3" fontId="21" fillId="0" borderId="2" xfId="0" applyNumberFormat="1" applyFont="1" applyBorder="1" applyAlignment="1">
      <alignment horizontal="center" vertical="top"/>
    </xf>
    <xf numFmtId="166" fontId="7" fillId="0" borderId="0" xfId="8" applyFont="1" applyAlignment="1">
      <alignment horizontal="right"/>
    </xf>
    <xf numFmtId="166" fontId="0" fillId="0" borderId="0" xfId="0" applyNumberFormat="1"/>
    <xf numFmtId="3" fontId="21" fillId="0" borderId="2" xfId="0" applyNumberFormat="1" applyFont="1" applyBorder="1" applyAlignment="1">
      <alignment horizontal="right" vertical="top" wrapText="1"/>
    </xf>
    <xf numFmtId="0" fontId="17" fillId="0" borderId="0" xfId="0" applyFont="1" applyAlignment="1">
      <alignment vertical="top" wrapText="1"/>
    </xf>
    <xf numFmtId="9" fontId="17" fillId="0" borderId="2" xfId="0" applyNumberFormat="1" applyFont="1" applyBorder="1" applyAlignment="1">
      <alignment horizontal="center" vertical="top"/>
    </xf>
    <xf numFmtId="0" fontId="16" fillId="9" borderId="2" xfId="9" applyFont="1" applyBorder="1"/>
    <xf numFmtId="0" fontId="7" fillId="3" borderId="0" xfId="2"/>
    <xf numFmtId="0" fontId="7" fillId="3" borderId="0" xfId="2" applyBorder="1" applyAlignment="1">
      <alignment horizontal="left"/>
    </xf>
    <xf numFmtId="172" fontId="16" fillId="0" borderId="0" xfId="0" applyNumberFormat="1" applyFont="1"/>
    <xf numFmtId="0" fontId="7" fillId="9" borderId="7" xfId="9" applyFont="1" applyBorder="1"/>
    <xf numFmtId="0" fontId="7" fillId="9" borderId="8" xfId="9" applyFont="1" applyBorder="1"/>
    <xf numFmtId="172" fontId="0" fillId="0" borderId="0" xfId="0" applyNumberFormat="1"/>
    <xf numFmtId="0" fontId="20" fillId="9" borderId="2" xfId="9" applyFont="1" applyBorder="1"/>
    <xf numFmtId="0" fontId="20" fillId="9" borderId="0" xfId="9" applyFont="1" applyBorder="1"/>
    <xf numFmtId="167" fontId="16" fillId="0" borderId="2" xfId="0" applyNumberFormat="1" applyFont="1" applyBorder="1"/>
    <xf numFmtId="0" fontId="24" fillId="0" borderId="2" xfId="0" applyFont="1" applyBorder="1"/>
    <xf numFmtId="0" fontId="24" fillId="0" borderId="2" xfId="0" applyFont="1" applyBorder="1" applyAlignment="1">
      <alignment wrapText="1"/>
    </xf>
    <xf numFmtId="172" fontId="16" fillId="0" borderId="2" xfId="0" applyNumberFormat="1" applyFont="1" applyBorder="1"/>
    <xf numFmtId="172" fontId="20" fillId="9" borderId="2" xfId="9" applyNumberFormat="1" applyFont="1" applyBorder="1"/>
    <xf numFmtId="2" fontId="7" fillId="9" borderId="0" xfId="9" applyNumberFormat="1" applyFont="1" applyBorder="1" applyAlignment="1">
      <alignment horizontal="center"/>
    </xf>
    <xf numFmtId="2" fontId="16" fillId="0" borderId="2" xfId="0" applyNumberFormat="1" applyFont="1" applyBorder="1"/>
    <xf numFmtId="1" fontId="16" fillId="0" borderId="2" xfId="0" applyNumberFormat="1" applyFont="1" applyBorder="1"/>
    <xf numFmtId="172" fontId="25" fillId="0" borderId="2" xfId="0" applyNumberFormat="1" applyFont="1" applyBorder="1"/>
    <xf numFmtId="174" fontId="25" fillId="0" borderId="2" xfId="0" applyNumberFormat="1" applyFont="1" applyBorder="1"/>
    <xf numFmtId="0" fontId="26" fillId="0" borderId="2" xfId="0" applyFont="1" applyBorder="1"/>
    <xf numFmtId="174" fontId="0" fillId="0" borderId="0" xfId="0" applyNumberFormat="1"/>
    <xf numFmtId="174" fontId="7" fillId="9" borderId="0" xfId="9" applyNumberFormat="1" applyFont="1" applyBorder="1" applyAlignment="1">
      <alignment horizontal="center"/>
    </xf>
    <xf numFmtId="174" fontId="16" fillId="0" borderId="0" xfId="0" applyNumberFormat="1" applyFont="1"/>
    <xf numFmtId="174" fontId="16" fillId="0" borderId="2" xfId="0" applyNumberFormat="1" applyFont="1" applyBorder="1"/>
    <xf numFmtId="174" fontId="7" fillId="9" borderId="11" xfId="9" applyNumberFormat="1" applyFont="1" applyBorder="1" applyAlignment="1">
      <alignment horizontal="center"/>
    </xf>
    <xf numFmtId="0" fontId="26" fillId="9" borderId="2" xfId="9" applyFont="1" applyBorder="1"/>
    <xf numFmtId="166" fontId="16" fillId="0" borderId="2" xfId="8" applyFont="1" applyBorder="1"/>
    <xf numFmtId="175" fontId="16" fillId="0" borderId="2" xfId="0" applyNumberFormat="1" applyFont="1" applyBorder="1"/>
    <xf numFmtId="174" fontId="20" fillId="9" borderId="2" xfId="9" applyNumberFormat="1" applyFont="1" applyBorder="1"/>
    <xf numFmtId="172" fontId="27" fillId="9" borderId="2" xfId="9" applyNumberFormat="1" applyFont="1" applyBorder="1"/>
    <xf numFmtId="174" fontId="27" fillId="9" borderId="2" xfId="9" applyNumberFormat="1" applyFont="1" applyBorder="1"/>
    <xf numFmtId="0" fontId="16" fillId="9" borderId="9" xfId="9" applyFont="1" applyBorder="1"/>
    <xf numFmtId="2" fontId="16" fillId="9" borderId="10" xfId="9" applyNumberFormat="1" applyFont="1" applyBorder="1" applyAlignment="1">
      <alignment horizontal="center"/>
    </xf>
    <xf numFmtId="172" fontId="16" fillId="0" borderId="2" xfId="0" applyNumberFormat="1" applyFont="1" applyBorder="1" applyAlignment="1">
      <alignment horizontal="right"/>
    </xf>
    <xf numFmtId="176" fontId="16" fillId="0" borderId="0" xfId="0" applyNumberFormat="1" applyFont="1"/>
    <xf numFmtId="175" fontId="20" fillId="9" borderId="2" xfId="9" applyNumberFormat="1" applyFont="1" applyBorder="1"/>
    <xf numFmtId="0" fontId="20" fillId="0" borderId="0" xfId="0" applyFont="1"/>
    <xf numFmtId="175" fontId="27" fillId="9" borderId="2" xfId="9" applyNumberFormat="1" applyFont="1" applyBorder="1"/>
    <xf numFmtId="172" fontId="16" fillId="5" borderId="2" xfId="4" applyNumberFormat="1" applyFont="1" applyBorder="1"/>
    <xf numFmtId="174" fontId="16" fillId="5" borderId="2" xfId="4" applyNumberFormat="1" applyFont="1" applyBorder="1"/>
    <xf numFmtId="0" fontId="26" fillId="5" borderId="2" xfId="4" applyFont="1" applyBorder="1"/>
    <xf numFmtId="174" fontId="19" fillId="9" borderId="13" xfId="9" applyNumberFormat="1" applyFont="1" applyBorder="1"/>
    <xf numFmtId="0" fontId="19" fillId="9" borderId="14" xfId="9" applyFont="1" applyBorder="1"/>
    <xf numFmtId="164" fontId="19" fillId="0" borderId="0" xfId="0" applyNumberFormat="1" applyFont="1"/>
    <xf numFmtId="172" fontId="19" fillId="0" borderId="0" xfId="0" applyNumberFormat="1" applyFont="1"/>
    <xf numFmtId="174" fontId="19" fillId="0" borderId="0" xfId="0" applyNumberFormat="1" applyFont="1"/>
    <xf numFmtId="0" fontId="28" fillId="0" borderId="0" xfId="0" applyFont="1"/>
    <xf numFmtId="165" fontId="16" fillId="0" borderId="2" xfId="0" applyNumberFormat="1" applyFont="1" applyBorder="1"/>
    <xf numFmtId="177" fontId="16" fillId="0" borderId="2" xfId="0" applyNumberFormat="1" applyFont="1" applyBorder="1"/>
    <xf numFmtId="14" fontId="16" fillId="0" borderId="2" xfId="0" applyNumberFormat="1" applyFont="1" applyBorder="1"/>
    <xf numFmtId="174" fontId="24" fillId="0" borderId="2" xfId="0" applyNumberFormat="1" applyFont="1" applyBorder="1"/>
    <xf numFmtId="0" fontId="24" fillId="0" borderId="0" xfId="0" applyFont="1"/>
    <xf numFmtId="2" fontId="7" fillId="9" borderId="15" xfId="9" applyNumberFormat="1" applyFont="1" applyBorder="1" applyAlignment="1">
      <alignment horizontal="center"/>
    </xf>
    <xf numFmtId="174" fontId="7" fillId="9" borderId="15" xfId="9" applyNumberFormat="1" applyFont="1" applyBorder="1" applyAlignment="1">
      <alignment horizontal="center"/>
    </xf>
    <xf numFmtId="174" fontId="7" fillId="9" borderId="16" xfId="9" applyNumberFormat="1" applyFont="1" applyBorder="1" applyAlignment="1">
      <alignment horizontal="center"/>
    </xf>
    <xf numFmtId="166" fontId="7" fillId="9" borderId="17" xfId="9" applyNumberFormat="1" applyFont="1" applyBorder="1" applyAlignment="1">
      <alignment horizontal="center"/>
    </xf>
    <xf numFmtId="0" fontId="7" fillId="9" borderId="17" xfId="9" applyFont="1" applyBorder="1" applyAlignment="1">
      <alignment horizontal="center"/>
    </xf>
    <xf numFmtId="4" fontId="7" fillId="9" borderId="17" xfId="9" applyNumberFormat="1" applyFont="1" applyBorder="1" applyAlignment="1">
      <alignment horizontal="center"/>
    </xf>
    <xf numFmtId="3" fontId="16" fillId="0" borderId="0" xfId="0" applyNumberFormat="1" applyFont="1"/>
    <xf numFmtId="170" fontId="16" fillId="0" borderId="2" xfId="0" applyNumberFormat="1" applyFont="1" applyBorder="1"/>
    <xf numFmtId="0" fontId="24" fillId="0" borderId="0" xfId="0" applyFont="1" applyAlignment="1">
      <alignment horizontal="left"/>
    </xf>
    <xf numFmtId="164" fontId="29" fillId="0" borderId="0" xfId="0" applyNumberFormat="1" applyFont="1"/>
    <xf numFmtId="0" fontId="16" fillId="9" borderId="7" xfId="9" applyFont="1" applyBorder="1"/>
    <xf numFmtId="0" fontId="16" fillId="9" borderId="15" xfId="9" applyFont="1" applyBorder="1"/>
    <xf numFmtId="0" fontId="16" fillId="9" borderId="16" xfId="9" applyFont="1" applyBorder="1"/>
    <xf numFmtId="2" fontId="16" fillId="9" borderId="15" xfId="9" applyNumberFormat="1" applyFont="1" applyBorder="1" applyAlignment="1">
      <alignment horizontal="center"/>
    </xf>
    <xf numFmtId="174" fontId="16" fillId="9" borderId="16" xfId="9" applyNumberFormat="1" applyFont="1" applyBorder="1" applyAlignment="1">
      <alignment horizontal="center"/>
    </xf>
    <xf numFmtId="174" fontId="16" fillId="9" borderId="12" xfId="9" applyNumberFormat="1" applyFont="1" applyBorder="1" applyAlignment="1">
      <alignment horizontal="center"/>
    </xf>
    <xf numFmtId="0" fontId="20" fillId="9" borderId="7" xfId="9" applyFont="1" applyBorder="1"/>
    <xf numFmtId="2" fontId="20" fillId="9" borderId="15" xfId="9" applyNumberFormat="1" applyFont="1" applyBorder="1" applyAlignment="1">
      <alignment horizontal="center"/>
    </xf>
    <xf numFmtId="174" fontId="20" fillId="9" borderId="16" xfId="9" applyNumberFormat="1" applyFont="1" applyBorder="1" applyAlignment="1">
      <alignment horizontal="center"/>
    </xf>
    <xf numFmtId="2" fontId="20" fillId="9" borderId="10" xfId="9" applyNumberFormat="1" applyFont="1" applyBorder="1" applyAlignment="1">
      <alignment horizontal="center"/>
    </xf>
    <xf numFmtId="174" fontId="20" fillId="9" borderId="12" xfId="9" applyNumberFormat="1" applyFont="1" applyBorder="1" applyAlignment="1">
      <alignment horizontal="center"/>
    </xf>
    <xf numFmtId="0" fontId="12" fillId="0" borderId="0" xfId="0" applyFont="1"/>
    <xf numFmtId="174" fontId="16" fillId="0" borderId="18" xfId="0" applyNumberFormat="1" applyFont="1" applyBorder="1"/>
    <xf numFmtId="179" fontId="16" fillId="0" borderId="2" xfId="0" applyNumberFormat="1" applyFont="1" applyBorder="1" applyAlignment="1">
      <alignment horizontal="right"/>
    </xf>
    <xf numFmtId="1" fontId="0" fillId="0" borderId="0" xfId="0" applyNumberFormat="1"/>
    <xf numFmtId="0" fontId="31" fillId="0" borderId="0" xfId="0" applyFont="1"/>
    <xf numFmtId="0" fontId="31" fillId="0" borderId="10" xfId="0" applyFont="1" applyBorder="1"/>
    <xf numFmtId="0" fontId="0" fillId="0" borderId="8" xfId="0" applyBorder="1"/>
    <xf numFmtId="0" fontId="0" fillId="0" borderId="11" xfId="0" applyBorder="1"/>
    <xf numFmtId="0" fontId="0" fillId="0" borderId="9" xfId="0" applyBorder="1"/>
    <xf numFmtId="0" fontId="0" fillId="0" borderId="12" xfId="0" applyBorder="1"/>
    <xf numFmtId="0" fontId="31" fillId="0" borderId="28" xfId="0" applyFont="1" applyBorder="1" applyAlignment="1">
      <alignment horizontal="left"/>
    </xf>
    <xf numFmtId="0" fontId="31" fillId="0" borderId="2" xfId="0" applyFont="1" applyBorder="1" applyAlignment="1">
      <alignment horizontal="justify" vertical="center" wrapText="1"/>
    </xf>
    <xf numFmtId="0" fontId="31" fillId="0" borderId="2" xfId="0" applyFont="1" applyBorder="1" applyAlignment="1">
      <alignment horizontal="center" vertical="center" wrapText="1"/>
    </xf>
    <xf numFmtId="169" fontId="31" fillId="0" borderId="2" xfId="8" applyNumberFormat="1" applyFont="1" applyFill="1" applyBorder="1" applyAlignment="1">
      <alignment horizontal="center" vertical="center" wrapText="1"/>
    </xf>
    <xf numFmtId="3" fontId="31" fillId="0" borderId="2" xfId="0" applyNumberFormat="1" applyFont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center" vertical="center" wrapText="1"/>
    </xf>
    <xf numFmtId="3" fontId="31" fillId="12" borderId="2" xfId="0" applyNumberFormat="1" applyFont="1" applyFill="1" applyBorder="1" applyAlignment="1">
      <alignment horizontal="center" vertical="center" wrapText="1"/>
    </xf>
    <xf numFmtId="172" fontId="31" fillId="0" borderId="27" xfId="0" applyNumberFormat="1" applyFont="1" applyBorder="1"/>
    <xf numFmtId="0" fontId="31" fillId="13" borderId="2" xfId="0" applyFont="1" applyFill="1" applyBorder="1" applyAlignment="1">
      <alignment horizontal="justify" vertical="center" wrapText="1"/>
    </xf>
    <xf numFmtId="0" fontId="31" fillId="13" borderId="2" xfId="0" applyFont="1" applyFill="1" applyBorder="1" applyAlignment="1">
      <alignment horizontal="center" vertical="center" wrapText="1"/>
    </xf>
    <xf numFmtId="169" fontId="31" fillId="13" borderId="2" xfId="8" applyNumberFormat="1" applyFont="1" applyFill="1" applyBorder="1" applyAlignment="1">
      <alignment horizontal="center" vertical="center" wrapText="1"/>
    </xf>
    <xf numFmtId="0" fontId="31" fillId="13" borderId="2" xfId="0" applyFont="1" applyFill="1" applyBorder="1" applyAlignment="1">
      <alignment vertical="center" wrapText="1"/>
    </xf>
    <xf numFmtId="169" fontId="31" fillId="12" borderId="2" xfId="8" applyNumberFormat="1" applyFont="1" applyFill="1" applyBorder="1" applyAlignment="1">
      <alignment horizontal="center" vertical="center" wrapText="1"/>
    </xf>
    <xf numFmtId="0" fontId="31" fillId="12" borderId="2" xfId="0" applyFont="1" applyFill="1" applyBorder="1" applyAlignment="1">
      <alignment horizontal="justify" vertical="center" wrapText="1"/>
    </xf>
    <xf numFmtId="0" fontId="31" fillId="0" borderId="28" xfId="0" applyFont="1" applyBorder="1"/>
    <xf numFmtId="0" fontId="31" fillId="0" borderId="2" xfId="0" applyFont="1" applyBorder="1" applyAlignment="1">
      <alignment vertical="center" wrapText="1"/>
    </xf>
    <xf numFmtId="169" fontId="31" fillId="0" borderId="2" xfId="8" applyNumberFormat="1" applyFont="1" applyBorder="1" applyAlignment="1">
      <alignment horizontal="center" vertical="center" wrapText="1"/>
    </xf>
    <xf numFmtId="3" fontId="31" fillId="10" borderId="2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3" fontId="31" fillId="0" borderId="0" xfId="0" applyNumberFormat="1" applyFont="1" applyAlignment="1">
      <alignment horizontal="center" vertical="center" wrapText="1"/>
    </xf>
    <xf numFmtId="1" fontId="31" fillId="0" borderId="0" xfId="0" applyNumberFormat="1" applyFont="1" applyAlignment="1">
      <alignment horizontal="left"/>
    </xf>
    <xf numFmtId="2" fontId="0" fillId="0" borderId="0" xfId="0" applyNumberFormat="1"/>
    <xf numFmtId="2" fontId="19" fillId="0" borderId="0" xfId="0" applyNumberFormat="1" applyFont="1"/>
    <xf numFmtId="1" fontId="19" fillId="0" borderId="0" xfId="0" applyNumberFormat="1" applyFont="1"/>
    <xf numFmtId="0" fontId="2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77" fontId="16" fillId="0" borderId="2" xfId="0" applyNumberFormat="1" applyFont="1" applyBorder="1" applyAlignment="1">
      <alignment horizontal="right"/>
    </xf>
    <xf numFmtId="14" fontId="16" fillId="0" borderId="2" xfId="0" applyNumberFormat="1" applyFont="1" applyBorder="1" applyAlignment="1">
      <alignment horizontal="right"/>
    </xf>
    <xf numFmtId="171" fontId="16" fillId="0" borderId="0" xfId="0" applyNumberFormat="1" applyFont="1" applyAlignment="1">
      <alignment horizontal="right"/>
    </xf>
    <xf numFmtId="172" fontId="16" fillId="0" borderId="0" xfId="0" applyNumberFormat="1" applyFont="1" applyAlignment="1">
      <alignment horizontal="right"/>
    </xf>
    <xf numFmtId="2" fontId="16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0" fillId="0" borderId="2" xfId="0" applyFont="1" applyBorder="1" applyAlignment="1">
      <alignment horizontal="center"/>
    </xf>
    <xf numFmtId="0" fontId="24" fillId="14" borderId="2" xfId="0" applyFont="1" applyFill="1" applyBorder="1" applyAlignment="1">
      <alignment horizontal="right"/>
    </xf>
    <xf numFmtId="0" fontId="33" fillId="14" borderId="2" xfId="0" applyFont="1" applyFill="1" applyBorder="1"/>
    <xf numFmtId="169" fontId="16" fillId="14" borderId="2" xfId="8" applyNumberFormat="1" applyFont="1" applyFill="1" applyBorder="1" applyAlignment="1">
      <alignment horizontal="right"/>
    </xf>
    <xf numFmtId="0" fontId="24" fillId="15" borderId="2" xfId="0" applyFont="1" applyFill="1" applyBorder="1" applyAlignment="1">
      <alignment horizontal="right"/>
    </xf>
    <xf numFmtId="0" fontId="33" fillId="15" borderId="2" xfId="0" applyFont="1" applyFill="1" applyBorder="1"/>
    <xf numFmtId="0" fontId="24" fillId="3" borderId="2" xfId="2" applyFont="1" applyBorder="1" applyAlignment="1">
      <alignment horizontal="right"/>
    </xf>
    <xf numFmtId="167" fontId="16" fillId="3" borderId="2" xfId="2" applyNumberFormat="1" applyFont="1" applyBorder="1" applyAlignment="1">
      <alignment horizontal="right"/>
    </xf>
    <xf numFmtId="167" fontId="7" fillId="3" borderId="2" xfId="2" applyNumberFormat="1" applyBorder="1" applyAlignment="1">
      <alignment horizontal="right"/>
    </xf>
    <xf numFmtId="0" fontId="20" fillId="3" borderId="2" xfId="2" applyFont="1" applyBorder="1"/>
    <xf numFmtId="0" fontId="16" fillId="4" borderId="2" xfId="3" applyFont="1" applyBorder="1" applyAlignment="1">
      <alignment horizontal="right" vertical="center" wrapText="1"/>
    </xf>
    <xf numFmtId="0" fontId="34" fillId="16" borderId="2" xfId="0" applyFont="1" applyFill="1" applyBorder="1" applyAlignment="1">
      <alignment horizontal="right" vertical="center" wrapText="1"/>
    </xf>
    <xf numFmtId="0" fontId="33" fillId="16" borderId="2" xfId="0" applyFont="1" applyFill="1" applyBorder="1"/>
    <xf numFmtId="0" fontId="33" fillId="10" borderId="2" xfId="0" applyFont="1" applyFill="1" applyBorder="1"/>
    <xf numFmtId="0" fontId="24" fillId="17" borderId="2" xfId="0" applyFont="1" applyFill="1" applyBorder="1" applyAlignment="1">
      <alignment horizontal="right"/>
    </xf>
    <xf numFmtId="0" fontId="33" fillId="17" borderId="2" xfId="0" applyFont="1" applyFill="1" applyBorder="1"/>
    <xf numFmtId="0" fontId="33" fillId="18" borderId="2" xfId="0" applyFont="1" applyFill="1" applyBorder="1"/>
    <xf numFmtId="0" fontId="33" fillId="12" borderId="2" xfId="0" applyFont="1" applyFill="1" applyBorder="1"/>
    <xf numFmtId="167" fontId="33" fillId="12" borderId="2" xfId="8" applyNumberFormat="1" applyFont="1" applyFill="1" applyBorder="1" applyAlignment="1">
      <alignment horizontal="right"/>
    </xf>
    <xf numFmtId="169" fontId="16" fillId="9" borderId="2" xfId="8" applyNumberFormat="1" applyFont="1" applyFill="1" applyBorder="1" applyAlignment="1">
      <alignment horizontal="right"/>
    </xf>
    <xf numFmtId="178" fontId="20" fillId="9" borderId="2" xfId="8" applyNumberFormat="1" applyFont="1" applyFill="1" applyBorder="1" applyAlignment="1">
      <alignment horizontal="right"/>
    </xf>
    <xf numFmtId="0" fontId="19" fillId="0" borderId="2" xfId="0" applyFont="1" applyBorder="1"/>
    <xf numFmtId="176" fontId="16" fillId="0" borderId="2" xfId="0" applyNumberFormat="1" applyFont="1" applyBorder="1"/>
    <xf numFmtId="176" fontId="19" fillId="0" borderId="2" xfId="0" applyNumberFormat="1" applyFont="1" applyBorder="1"/>
    <xf numFmtId="180" fontId="16" fillId="0" borderId="2" xfId="0" applyNumberFormat="1" applyFont="1" applyBorder="1"/>
    <xf numFmtId="0" fontId="35" fillId="0" borderId="0" xfId="10" applyFont="1" applyAlignment="1">
      <alignment vertical="top" wrapText="1"/>
    </xf>
    <xf numFmtId="0" fontId="32" fillId="9" borderId="2" xfId="9" applyFont="1" applyBorder="1"/>
    <xf numFmtId="2" fontId="31" fillId="9" borderId="2" xfId="9" applyNumberFormat="1" applyFont="1" applyBorder="1" applyAlignment="1">
      <alignment horizontal="right"/>
    </xf>
    <xf numFmtId="174" fontId="31" fillId="9" borderId="2" xfId="9" applyNumberFormat="1" applyFont="1" applyBorder="1" applyAlignment="1">
      <alignment horizontal="right"/>
    </xf>
    <xf numFmtId="0" fontId="32" fillId="9" borderId="2" xfId="9" applyFont="1" applyBorder="1" applyAlignment="1">
      <alignment vertical="top" wrapText="1"/>
    </xf>
    <xf numFmtId="9" fontId="7" fillId="6" borderId="2" xfId="5" applyNumberFormat="1" applyBorder="1" applyAlignment="1">
      <alignment horizontal="right"/>
    </xf>
    <xf numFmtId="2" fontId="7" fillId="6" borderId="2" xfId="5" applyNumberFormat="1" applyBorder="1" applyAlignment="1">
      <alignment horizontal="right"/>
    </xf>
    <xf numFmtId="0" fontId="20" fillId="6" borderId="2" xfId="5" applyFont="1" applyBorder="1"/>
    <xf numFmtId="0" fontId="7" fillId="0" borderId="0" xfId="10"/>
    <xf numFmtId="0" fontId="10" fillId="7" borderId="2" xfId="6" applyFont="1" applyBorder="1" applyAlignment="1">
      <alignment vertical="top" wrapText="1"/>
    </xf>
    <xf numFmtId="0" fontId="20" fillId="6" borderId="2" xfId="5" applyFont="1" applyBorder="1" applyAlignment="1">
      <alignment horizontal="left" vertical="center" indent="1"/>
    </xf>
    <xf numFmtId="172" fontId="7" fillId="6" borderId="2" xfId="5" applyNumberFormat="1" applyBorder="1" applyAlignment="1">
      <alignment horizontal="right"/>
    </xf>
    <xf numFmtId="182" fontId="7" fillId="6" borderId="2" xfId="5" applyNumberFormat="1" applyBorder="1" applyAlignment="1">
      <alignment horizontal="right"/>
    </xf>
    <xf numFmtId="169" fontId="33" fillId="15" borderId="2" xfId="8" applyNumberFormat="1" applyFont="1" applyFill="1" applyBorder="1" applyAlignment="1">
      <alignment horizontal="right"/>
    </xf>
    <xf numFmtId="181" fontId="10" fillId="7" borderId="2" xfId="6" applyNumberFormat="1" applyFont="1" applyBorder="1" applyAlignment="1">
      <alignment horizontal="right"/>
    </xf>
    <xf numFmtId="164" fontId="10" fillId="7" borderId="2" xfId="6" applyNumberFormat="1" applyFont="1" applyBorder="1" applyAlignment="1">
      <alignment horizontal="right"/>
    </xf>
    <xf numFmtId="10" fontId="31" fillId="9" borderId="2" xfId="9" applyNumberFormat="1" applyFont="1" applyBorder="1" applyAlignment="1">
      <alignment horizontal="right"/>
    </xf>
    <xf numFmtId="164" fontId="31" fillId="9" borderId="2" xfId="9" applyNumberFormat="1" applyFont="1" applyBorder="1" applyAlignment="1">
      <alignment horizontal="right"/>
    </xf>
    <xf numFmtId="9" fontId="31" fillId="9" borderId="2" xfId="9" applyNumberFormat="1" applyFont="1" applyBorder="1" applyAlignment="1">
      <alignment horizontal="right"/>
    </xf>
    <xf numFmtId="168" fontId="35" fillId="0" borderId="0" xfId="11" applyNumberFormat="1" applyFont="1" applyBorder="1" applyAlignment="1">
      <alignment horizontal="right"/>
    </xf>
    <xf numFmtId="164" fontId="35" fillId="0" borderId="0" xfId="8" applyNumberFormat="1" applyFont="1" applyBorder="1" applyAlignment="1">
      <alignment horizontal="right"/>
    </xf>
    <xf numFmtId="0" fontId="7" fillId="0" borderId="0" xfId="10" applyAlignment="1">
      <alignment horizontal="right"/>
    </xf>
    <xf numFmtId="2" fontId="7" fillId="0" borderId="0" xfId="10" applyNumberFormat="1" applyAlignment="1">
      <alignment horizontal="right"/>
    </xf>
    <xf numFmtId="169" fontId="33" fillId="14" borderId="2" xfId="8" applyNumberFormat="1" applyFont="1" applyFill="1" applyBorder="1" applyAlignment="1">
      <alignment horizontal="right"/>
    </xf>
    <xf numFmtId="169" fontId="16" fillId="15" borderId="2" xfId="8" applyNumberFormat="1" applyFont="1" applyFill="1" applyBorder="1" applyAlignment="1">
      <alignment horizontal="right"/>
    </xf>
    <xf numFmtId="169" fontId="16" fillId="4" borderId="2" xfId="8" applyNumberFormat="1" applyFont="1" applyFill="1" applyBorder="1" applyAlignment="1">
      <alignment horizontal="right"/>
    </xf>
    <xf numFmtId="169" fontId="16" fillId="16" borderId="2" xfId="8" applyNumberFormat="1" applyFont="1" applyFill="1" applyBorder="1" applyAlignment="1">
      <alignment horizontal="right"/>
    </xf>
    <xf numFmtId="169" fontId="33" fillId="16" borderId="2" xfId="8" applyNumberFormat="1" applyFont="1" applyFill="1" applyBorder="1" applyAlignment="1">
      <alignment horizontal="right"/>
    </xf>
    <xf numFmtId="169" fontId="33" fillId="10" borderId="2" xfId="8" applyNumberFormat="1" applyFont="1" applyFill="1" applyBorder="1" applyAlignment="1">
      <alignment horizontal="right"/>
    </xf>
    <xf numFmtId="169" fontId="16" fillId="17" borderId="2" xfId="8" applyNumberFormat="1" applyFont="1" applyFill="1" applyBorder="1" applyAlignment="1">
      <alignment horizontal="right"/>
    </xf>
    <xf numFmtId="169" fontId="33" fillId="17" borderId="2" xfId="8" applyNumberFormat="1" applyFont="1" applyFill="1" applyBorder="1" applyAlignment="1">
      <alignment horizontal="right"/>
    </xf>
    <xf numFmtId="169" fontId="33" fillId="18" borderId="2" xfId="8" applyNumberFormat="1" applyFont="1" applyFill="1" applyBorder="1" applyAlignment="1">
      <alignment horizontal="right"/>
    </xf>
    <xf numFmtId="0" fontId="16" fillId="2" borderId="2" xfId="1" applyFont="1" applyBorder="1"/>
    <xf numFmtId="172" fontId="16" fillId="2" borderId="2" xfId="1" applyNumberFormat="1" applyFont="1" applyBorder="1"/>
    <xf numFmtId="174" fontId="16" fillId="2" borderId="2" xfId="1" applyNumberFormat="1" applyFont="1" applyBorder="1"/>
    <xf numFmtId="167" fontId="16" fillId="2" borderId="2" xfId="1" applyNumberFormat="1" applyFont="1" applyBorder="1"/>
    <xf numFmtId="0" fontId="16" fillId="2" borderId="0" xfId="1" applyFont="1"/>
    <xf numFmtId="172" fontId="36" fillId="9" borderId="2" xfId="9" applyNumberFormat="1" applyFont="1" applyBorder="1"/>
    <xf numFmtId="0" fontId="27" fillId="9" borderId="2" xfId="9" applyFont="1" applyBorder="1"/>
    <xf numFmtId="0" fontId="20" fillId="9" borderId="0" xfId="9" applyFont="1"/>
    <xf numFmtId="176" fontId="27" fillId="9" borderId="2" xfId="9" applyNumberFormat="1" applyFont="1" applyBorder="1"/>
    <xf numFmtId="0" fontId="20" fillId="7" borderId="2" xfId="6" applyFont="1" applyBorder="1" applyAlignment="1">
      <alignment vertical="top" wrapText="1"/>
    </xf>
    <xf numFmtId="181" fontId="20" fillId="7" borderId="2" xfId="6" applyNumberFormat="1" applyFont="1" applyBorder="1" applyAlignment="1">
      <alignment horizontal="right"/>
    </xf>
    <xf numFmtId="164" fontId="20" fillId="7" borderId="2" xfId="6" applyNumberFormat="1" applyFont="1" applyBorder="1" applyAlignment="1">
      <alignment horizontal="right"/>
    </xf>
    <xf numFmtId="0" fontId="20" fillId="9" borderId="2" xfId="9" applyFont="1" applyBorder="1" applyAlignment="1">
      <alignment vertical="top" wrapText="1"/>
    </xf>
    <xf numFmtId="10" fontId="16" fillId="9" borderId="2" xfId="9" applyNumberFormat="1" applyFont="1" applyBorder="1" applyAlignment="1">
      <alignment horizontal="right"/>
    </xf>
    <xf numFmtId="164" fontId="16" fillId="9" borderId="2" xfId="9" applyNumberFormat="1" applyFont="1" applyBorder="1" applyAlignment="1">
      <alignment horizontal="right"/>
    </xf>
    <xf numFmtId="9" fontId="16" fillId="9" borderId="2" xfId="9" applyNumberFormat="1" applyFont="1" applyBorder="1" applyAlignment="1">
      <alignment horizontal="right"/>
    </xf>
    <xf numFmtId="9" fontId="16" fillId="6" borderId="2" xfId="5" applyNumberFormat="1" applyFont="1" applyBorder="1" applyAlignment="1">
      <alignment horizontal="right"/>
    </xf>
    <xf numFmtId="172" fontId="16" fillId="6" borderId="2" xfId="5" applyNumberFormat="1" applyFont="1" applyBorder="1" applyAlignment="1">
      <alignment horizontal="right"/>
    </xf>
    <xf numFmtId="0" fontId="36" fillId="9" borderId="29" xfId="9" applyFont="1" applyBorder="1"/>
    <xf numFmtId="172" fontId="36" fillId="9" borderId="29" xfId="9" applyNumberFormat="1" applyFont="1" applyBorder="1"/>
    <xf numFmtId="0" fontId="31" fillId="8" borderId="2" xfId="7" applyFont="1" applyBorder="1"/>
    <xf numFmtId="0" fontId="31" fillId="8" borderId="2" xfId="7" applyFont="1" applyBorder="1" applyAlignment="1">
      <alignment horizontal="left" vertical="center" indent="1"/>
    </xf>
    <xf numFmtId="9" fontId="31" fillId="8" borderId="2" xfId="7" applyNumberFormat="1" applyFont="1" applyBorder="1" applyAlignment="1">
      <alignment horizontal="right"/>
    </xf>
    <xf numFmtId="9" fontId="31" fillId="8" borderId="2" xfId="7" applyNumberFormat="1" applyFont="1" applyBorder="1"/>
    <xf numFmtId="172" fontId="31" fillId="8" borderId="2" xfId="7" applyNumberFormat="1" applyFont="1" applyBorder="1" applyAlignment="1">
      <alignment horizontal="right"/>
    </xf>
    <xf numFmtId="172" fontId="31" fillId="8" borderId="2" xfId="7" applyNumberFormat="1" applyFont="1" applyBorder="1"/>
    <xf numFmtId="182" fontId="31" fillId="8" borderId="2" xfId="7" applyNumberFormat="1" applyFont="1" applyBorder="1" applyAlignment="1">
      <alignment horizontal="right"/>
    </xf>
    <xf numFmtId="2" fontId="31" fillId="8" borderId="2" xfId="7" applyNumberFormat="1" applyFont="1" applyBorder="1" applyAlignment="1">
      <alignment horizontal="right"/>
    </xf>
    <xf numFmtId="176" fontId="31" fillId="8" borderId="2" xfId="7" applyNumberFormat="1" applyFont="1" applyBorder="1"/>
    <xf numFmtId="1" fontId="7" fillId="0" borderId="0" xfId="10" applyNumberFormat="1"/>
    <xf numFmtId="2" fontId="31" fillId="8" borderId="2" xfId="7" applyNumberFormat="1" applyFont="1" applyBorder="1"/>
    <xf numFmtId="0" fontId="32" fillId="8" borderId="2" xfId="7" applyFont="1" applyBorder="1" applyAlignment="1">
      <alignment horizontal="left" vertical="center" indent="1"/>
    </xf>
    <xf numFmtId="0" fontId="32" fillId="8" borderId="2" xfId="7" applyFont="1" applyBorder="1"/>
    <xf numFmtId="172" fontId="7" fillId="0" borderId="0" xfId="10" applyNumberFormat="1"/>
    <xf numFmtId="175" fontId="16" fillId="0" borderId="0" xfId="0" applyNumberFormat="1" applyFont="1"/>
    <xf numFmtId="0" fontId="37" fillId="19" borderId="0" xfId="10" applyFont="1" applyFill="1" applyAlignment="1">
      <alignment vertical="top" wrapText="1"/>
    </xf>
    <xf numFmtId="0" fontId="38" fillId="20" borderId="2" xfId="0" applyFont="1" applyFill="1" applyBorder="1" applyAlignment="1">
      <alignment horizontal="center" vertical="center"/>
    </xf>
    <xf numFmtId="0" fontId="39" fillId="15" borderId="2" xfId="0" applyFont="1" applyFill="1" applyBorder="1" applyAlignment="1">
      <alignment horizontal="left" vertical="center" wrapText="1"/>
    </xf>
    <xf numFmtId="183" fontId="0" fillId="21" borderId="2" xfId="8" applyNumberFormat="1" applyFont="1" applyFill="1" applyBorder="1"/>
    <xf numFmtId="0" fontId="20" fillId="6" borderId="2" xfId="5" applyFont="1" applyBorder="1" applyAlignment="1">
      <alignment horizontal="left" vertical="center" wrapText="1"/>
    </xf>
    <xf numFmtId="0" fontId="20" fillId="6" borderId="2" xfId="5" applyFont="1" applyBorder="1" applyAlignment="1">
      <alignment wrapText="1"/>
    </xf>
    <xf numFmtId="184" fontId="0" fillId="21" borderId="2" xfId="8" applyNumberFormat="1" applyFont="1" applyFill="1" applyBorder="1"/>
    <xf numFmtId="9" fontId="0" fillId="21" borderId="2" xfId="11" applyFont="1" applyFill="1" applyBorder="1"/>
    <xf numFmtId="0" fontId="37" fillId="22" borderId="0" xfId="10" applyFont="1" applyFill="1" applyAlignment="1">
      <alignment vertical="top" wrapText="1"/>
    </xf>
    <xf numFmtId="0" fontId="0" fillId="22" borderId="0" xfId="0" applyFill="1"/>
    <xf numFmtId="0" fontId="10" fillId="23" borderId="29" xfId="0" applyFont="1" applyFill="1" applyBorder="1" applyAlignment="1">
      <alignment horizontal="center"/>
    </xf>
    <xf numFmtId="9" fontId="0" fillId="24" borderId="2" xfId="0" applyNumberFormat="1" applyFill="1" applyBorder="1"/>
    <xf numFmtId="0" fontId="10" fillId="23" borderId="2" xfId="0" applyFont="1" applyFill="1" applyBorder="1" applyAlignment="1">
      <alignment horizontal="center"/>
    </xf>
    <xf numFmtId="0" fontId="16" fillId="0" borderId="19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16" fillId="0" borderId="19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0" fontId="17" fillId="0" borderId="2" xfId="0" applyFont="1" applyBorder="1" applyAlignment="1">
      <alignment horizontal="left" vertical="top" wrapText="1"/>
    </xf>
    <xf numFmtId="0" fontId="31" fillId="0" borderId="10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/>
    </xf>
    <xf numFmtId="0" fontId="32" fillId="0" borderId="23" xfId="0" applyFont="1" applyBorder="1" applyAlignment="1">
      <alignment horizontal="center" vertical="top"/>
    </xf>
    <xf numFmtId="0" fontId="32" fillId="0" borderId="26" xfId="0" applyFont="1" applyBorder="1" applyAlignment="1">
      <alignment horizontal="center" vertical="top"/>
    </xf>
    <xf numFmtId="0" fontId="32" fillId="0" borderId="25" xfId="0" applyFont="1" applyBorder="1" applyAlignment="1">
      <alignment horizontal="center" vertical="top" wrapText="1"/>
    </xf>
    <xf numFmtId="0" fontId="32" fillId="0" borderId="2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30" fillId="9" borderId="20" xfId="9" applyFont="1" applyBorder="1" applyAlignment="1">
      <alignment horizontal="center"/>
    </xf>
    <xf numFmtId="0" fontId="30" fillId="9" borderId="21" xfId="9" applyFont="1" applyBorder="1" applyAlignment="1">
      <alignment horizontal="center"/>
    </xf>
    <xf numFmtId="0" fontId="30" fillId="9" borderId="22" xfId="9" applyFont="1" applyBorder="1" applyAlignment="1">
      <alignment horizontal="center"/>
    </xf>
    <xf numFmtId="0" fontId="19" fillId="9" borderId="20" xfId="9" applyFont="1" applyBorder="1" applyAlignment="1">
      <alignment horizontal="right"/>
    </xf>
    <xf numFmtId="0" fontId="19" fillId="9" borderId="21" xfId="9" applyFont="1" applyBorder="1" applyAlignment="1">
      <alignment horizontal="right"/>
    </xf>
    <xf numFmtId="0" fontId="19" fillId="9" borderId="22" xfId="9" applyFont="1" applyBorder="1" applyAlignment="1">
      <alignment horizontal="right"/>
    </xf>
    <xf numFmtId="0" fontId="20" fillId="9" borderId="20" xfId="9" applyFont="1" applyBorder="1" applyAlignment="1">
      <alignment horizontal="center"/>
    </xf>
    <xf numFmtId="0" fontId="20" fillId="9" borderId="21" xfId="9" applyFont="1" applyBorder="1" applyAlignment="1">
      <alignment horizontal="center"/>
    </xf>
    <xf numFmtId="0" fontId="20" fillId="9" borderId="22" xfId="9" applyFont="1" applyBorder="1" applyAlignment="1">
      <alignment horizontal="center"/>
    </xf>
    <xf numFmtId="174" fontId="40" fillId="0" borderId="2" xfId="0" applyNumberFormat="1" applyFont="1" applyBorder="1"/>
  </cellXfs>
  <cellStyles count="12">
    <cellStyle name="20% - Accent2" xfId="1" builtinId="34"/>
    <cellStyle name="20% - Accent3" xfId="2" builtinId="38"/>
    <cellStyle name="20% - Accent4" xfId="3" builtinId="42"/>
    <cellStyle name="20% - Accent6" xfId="4" builtinId="50"/>
    <cellStyle name="40% - Accent2" xfId="5" builtinId="35"/>
    <cellStyle name="40% - Accent6" xfId="6" builtinId="51"/>
    <cellStyle name="Bad" xfId="7" builtinId="27"/>
    <cellStyle name="Comma" xfId="8" builtinId="3"/>
    <cellStyle name="Good" xfId="9" builtinId="26"/>
    <cellStyle name="Normal" xfId="0" builtinId="0"/>
    <cellStyle name="Normal 3" xfId="10" xr:uid="{00000000-0005-0000-0000-00000A000000}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+mn-lt"/>
              </a:defRPr>
            </a:pPr>
            <a:r>
              <a:rPr lang="en-US" sz="1200">
                <a:latin typeface="+mn-lt"/>
                <a:cs typeface="Arial" pitchFamily="34" charset="0"/>
              </a:rPr>
              <a:t>Cash Flow Trends for DIDs in USD (20XX -2026)</a:t>
            </a:r>
          </a:p>
        </c:rich>
      </c:tx>
      <c:layout>
        <c:manualLayout>
          <c:xMode val="edge"/>
          <c:yMode val="edge"/>
          <c:x val="0.20014579629159257"/>
          <c:y val="2.316058449424591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EFA_DIDS!$C$48</c:f>
              <c:strCache>
                <c:ptCount val="1"/>
                <c:pt idx="0">
                  <c:v>Cum. Cash Flow</c:v>
                </c:pt>
              </c:strCache>
            </c:strRef>
          </c:tx>
          <c:val>
            <c:numRef>
              <c:f>EFA_DIDS!$C$49:$C$53</c:f>
              <c:numCache>
                <c:formatCode>[$$-C09]#,##0.0</c:formatCode>
                <c:ptCount val="5"/>
                <c:pt idx="0">
                  <c:v>-4056.2080875000001</c:v>
                </c:pt>
                <c:pt idx="1">
                  <c:v>-6121.7053250000008</c:v>
                </c:pt>
                <c:pt idx="2">
                  <c:v>-8187.2025625000006</c:v>
                </c:pt>
                <c:pt idx="3">
                  <c:v>5186.9198333333325</c:v>
                </c:pt>
                <c:pt idx="4">
                  <c:v>18561.042229166665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A6-4107-9515-65CA7B3E2551}"/>
            </c:ext>
          </c:extLst>
        </c:ser>
        <c:ser>
          <c:idx val="1"/>
          <c:order val="1"/>
          <c:tx>
            <c:strRef>
              <c:f>EFA_DIDS!$D$48</c:f>
              <c:strCache>
                <c:ptCount val="1"/>
                <c:pt idx="0">
                  <c:v>Cash Flow</c:v>
                </c:pt>
              </c:strCache>
            </c:strRef>
          </c:tx>
          <c:val>
            <c:numRef>
              <c:f>EFA_DIDS!$D$49:$D$53</c:f>
              <c:numCache>
                <c:formatCode>[$$-C09]#,##0.0</c:formatCode>
                <c:ptCount val="5"/>
                <c:pt idx="0">
                  <c:v>-4056.2080875000001</c:v>
                </c:pt>
                <c:pt idx="1">
                  <c:v>-2065.4972375000002</c:v>
                </c:pt>
                <c:pt idx="2">
                  <c:v>-2065.4972375000002</c:v>
                </c:pt>
                <c:pt idx="3">
                  <c:v>13374.122395833334</c:v>
                </c:pt>
                <c:pt idx="4">
                  <c:v>13374.122395833334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A6-4107-9515-65CA7B3E2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1225472"/>
        <c:axId val="1"/>
      </c:lineChart>
      <c:catAx>
        <c:axId val="65122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Cash Flow (USD)</a:t>
                </a:r>
              </a:p>
            </c:rich>
          </c:tx>
          <c:overlay val="0"/>
        </c:title>
        <c:numFmt formatCode="[$$-C09]#,##0.0" sourceLinked="1"/>
        <c:majorTickMark val="none"/>
        <c:minorTickMark val="none"/>
        <c:tickLblPos val="nextTo"/>
        <c:crossAx val="6512254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587692</xdr:colOff>
      <xdr:row>10</xdr:row>
      <xdr:rowOff>0</xdr:rowOff>
    </xdr:from>
    <xdr:ext cx="2332137" cy="50308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BC16EB-B8AD-4EDE-A713-B369D756E62F}"/>
            </a:ext>
          </a:extLst>
        </xdr:cNvPr>
        <xdr:cNvSpPr txBox="1"/>
      </xdr:nvSpPr>
      <xdr:spPr>
        <a:xfrm>
          <a:off x="10992167" y="522668"/>
          <a:ext cx="2257108" cy="5030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>
              <a:latin typeface="Cambria Math"/>
            </a:rPr>
            <a:t>𝐴𝑉</a:t>
          </a:r>
          <a:r>
            <a:rPr lang="de-DE" sz="1100" i="0">
              <a:latin typeface="Cambria Math"/>
            </a:rPr>
            <a:t>=</a:t>
          </a:r>
          <a:r>
            <a:rPr lang="de-DE" sz="1100" i="0">
              <a:latin typeface="Cambria Math" panose="02040503050406030204" pitchFamily="18" charset="0"/>
            </a:rPr>
            <a:t>∑</a:t>
          </a:r>
          <a:r>
            <a:rPr lang="en-US" sz="1100" b="0" i="0">
              <a:latin typeface="Cambria Math" panose="02040503050406030204" pitchFamily="18" charset="0"/>
            </a:rPr>
            <a:t>_</a:t>
          </a:r>
          <a:r>
            <a:rPr lang="en-US" sz="1100" b="0" i="0">
              <a:latin typeface="Cambria Math"/>
            </a:rPr>
            <a:t>𝑖</a:t>
          </a:r>
          <a:r>
            <a:rPr lang="en-US" sz="1100" b="0" i="0">
              <a:latin typeface="Cambria Math" panose="02040503050406030204" pitchFamily="18" charset="0"/>
            </a:rPr>
            <a:t>▒</a:t>
          </a:r>
          <a:r>
            <a:rPr lang="de-DE" sz="1100" b="0" i="0">
              <a:latin typeface="Cambria Math" panose="02040503050406030204" pitchFamily="18" charset="0"/>
            </a:rPr>
            <a:t>〖</a:t>
          </a:r>
          <a:r>
            <a:rPr lang="en-US" sz="1100" b="0" i="0">
              <a:latin typeface="Cambria Math"/>
            </a:rPr>
            <a:t>𝑅𝑃</a:t>
          </a:r>
          <a:r>
            <a:rPr lang="de-DE" sz="1100" b="0" i="0">
              <a:latin typeface="Cambria Math" panose="02040503050406030204" pitchFamily="18" charset="0"/>
            </a:rPr>
            <a:t>〗_</a:t>
          </a:r>
          <a:r>
            <a:rPr lang="en-US" sz="1100" b="0" i="0">
              <a:latin typeface="Cambria Math"/>
            </a:rPr>
            <a:t>𝑖</a:t>
          </a:r>
          <a:r>
            <a:rPr lang="de-DE" sz="1100" i="0">
              <a:latin typeface="Cambria Math"/>
              <a:ea typeface="Cambria Math"/>
            </a:rPr>
            <a:t>−</a:t>
          </a:r>
          <a:r>
            <a:rPr lang="de-DE" sz="1100" i="0">
              <a:latin typeface="Cambria Math" panose="02040503050406030204" pitchFamily="18" charset="0"/>
              <a:ea typeface="Cambria Math"/>
            </a:rPr>
            <a:t>∑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_</a:t>
          </a:r>
          <a:r>
            <a:rPr lang="en-US" sz="1100" b="0" i="0">
              <a:latin typeface="Cambria Math"/>
              <a:ea typeface="Cambria Math"/>
            </a:rPr>
            <a:t>𝑘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▒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〖</a:t>
          </a:r>
          <a:r>
            <a:rPr lang="en-US" sz="1100" b="0" i="0">
              <a:latin typeface="Cambria Math"/>
              <a:ea typeface="Cambria Math"/>
            </a:rPr>
            <a:t>𝐼𝐶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〗_</a:t>
          </a:r>
          <a:r>
            <a:rPr lang="en-US" sz="1100" b="0" i="0">
              <a:latin typeface="Cambria Math"/>
              <a:ea typeface="Cambria Math"/>
            </a:rPr>
            <a:t>𝑘</a:t>
          </a:r>
          <a:endParaRPr lang="de-DE" sz="1100"/>
        </a:p>
      </xdr:txBody>
    </xdr:sp>
    <xdr:clientData/>
  </xdr:oneCellAnchor>
  <xdr:oneCellAnchor>
    <xdr:from>
      <xdr:col>12</xdr:col>
      <xdr:colOff>482600</xdr:colOff>
      <xdr:row>12</xdr:row>
      <xdr:rowOff>104775</xdr:rowOff>
    </xdr:from>
    <xdr:ext cx="2319459" cy="5030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B7741DD-1E75-4F01-9079-7A8DBD7D6E07}"/>
            </a:ext>
          </a:extLst>
        </xdr:cNvPr>
        <xdr:cNvSpPr txBox="1"/>
      </xdr:nvSpPr>
      <xdr:spPr>
        <a:xfrm>
          <a:off x="10887075" y="1171575"/>
          <a:ext cx="2257108" cy="5030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>
              <a:latin typeface="Cambria Math"/>
            </a:rPr>
            <a:t>𝐺𝑂𝑆</a:t>
          </a:r>
          <a:r>
            <a:rPr lang="de-DE" sz="1100" i="0">
              <a:latin typeface="Cambria Math"/>
            </a:rPr>
            <a:t>=</a:t>
          </a:r>
          <a:r>
            <a:rPr lang="en-US" sz="1100" b="0" i="0">
              <a:latin typeface="Cambria Math"/>
            </a:rPr>
            <a:t>𝐴𝑉</a:t>
          </a:r>
          <a:r>
            <a:rPr lang="de-DE" sz="1100" i="0">
              <a:latin typeface="Cambria Math"/>
              <a:ea typeface="Cambria Math"/>
            </a:rPr>
            <a:t>−</a:t>
          </a:r>
          <a:r>
            <a:rPr lang="de-DE" sz="1100" i="0">
              <a:latin typeface="Cambria Math" panose="02040503050406030204" pitchFamily="18" charset="0"/>
              <a:ea typeface="Cambria Math"/>
            </a:rPr>
            <a:t>∑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_</a:t>
          </a:r>
          <a:r>
            <a:rPr lang="en-US" sz="1100" b="0" i="0">
              <a:latin typeface="Cambria Math"/>
              <a:ea typeface="Cambria Math"/>
            </a:rPr>
            <a:t>𝑖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▒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〖</a:t>
          </a:r>
          <a:r>
            <a:rPr lang="en-US" sz="1100" b="0" i="0">
              <a:latin typeface="Cambria Math"/>
              <a:ea typeface="Cambria Math"/>
            </a:rPr>
            <a:t>𝑂𝐶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〗_</a:t>
          </a:r>
          <a:r>
            <a:rPr lang="en-US" sz="1100" b="0" i="0">
              <a:latin typeface="Cambria Math"/>
              <a:ea typeface="Cambria Math"/>
            </a:rPr>
            <a:t>𝑖</a:t>
          </a:r>
          <a:endParaRPr lang="de-DE" sz="1100"/>
        </a:p>
      </xdr:txBody>
    </xdr:sp>
    <xdr:clientData/>
  </xdr:oneCellAnchor>
  <xdr:oneCellAnchor>
    <xdr:from>
      <xdr:col>12</xdr:col>
      <xdr:colOff>520700</xdr:colOff>
      <xdr:row>16</xdr:row>
      <xdr:rowOff>0</xdr:rowOff>
    </xdr:from>
    <xdr:ext cx="2325694" cy="50308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7A68568E-292B-44E3-B48F-031B37073C2A}"/>
            </a:ext>
          </a:extLst>
        </xdr:cNvPr>
        <xdr:cNvSpPr txBox="1"/>
      </xdr:nvSpPr>
      <xdr:spPr>
        <a:xfrm>
          <a:off x="10925175" y="1743075"/>
          <a:ext cx="2257108" cy="5030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>
              <a:latin typeface="Cambria Math"/>
            </a:rPr>
            <a:t>𝑁𝑂𝑆</a:t>
          </a:r>
          <a:r>
            <a:rPr lang="de-DE" sz="1100" i="0">
              <a:latin typeface="Cambria Math"/>
            </a:rPr>
            <a:t>=</a:t>
          </a:r>
          <a:r>
            <a:rPr lang="en-US" sz="1100" b="0" i="0">
              <a:latin typeface="Cambria Math"/>
            </a:rPr>
            <a:t>𝐺𝑂𝑆</a:t>
          </a:r>
          <a:r>
            <a:rPr lang="de-DE" sz="1100" i="0">
              <a:latin typeface="Cambria Math"/>
              <a:ea typeface="Cambria Math"/>
            </a:rPr>
            <a:t>−</a:t>
          </a:r>
          <a:r>
            <a:rPr lang="de-DE" sz="1100" i="0">
              <a:latin typeface="Cambria Math" panose="02040503050406030204" pitchFamily="18" charset="0"/>
              <a:ea typeface="Cambria Math"/>
            </a:rPr>
            <a:t>∑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_</a:t>
          </a:r>
          <a:r>
            <a:rPr lang="en-US" sz="1100" b="0" i="0">
              <a:latin typeface="Cambria Math"/>
              <a:ea typeface="Cambria Math"/>
            </a:rPr>
            <a:t>𝑖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▒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〖</a:t>
          </a:r>
          <a:r>
            <a:rPr lang="en-US" sz="1100" b="0" i="0">
              <a:latin typeface="Cambria Math"/>
              <a:ea typeface="Cambria Math"/>
            </a:rPr>
            <a:t>𝐷𝐶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〗_</a:t>
          </a:r>
          <a:r>
            <a:rPr lang="en-US" sz="1100" b="0" i="0">
              <a:latin typeface="Cambria Math"/>
              <a:ea typeface="Cambria Math"/>
            </a:rPr>
            <a:t>𝑖</a:t>
          </a:r>
          <a:endParaRPr lang="de-DE" sz="1100"/>
        </a:p>
      </xdr:txBody>
    </xdr:sp>
    <xdr:clientData/>
  </xdr:oneCellAnchor>
  <xdr:oneCellAnchor>
    <xdr:from>
      <xdr:col>12</xdr:col>
      <xdr:colOff>457200</xdr:colOff>
      <xdr:row>20</xdr:row>
      <xdr:rowOff>142875</xdr:rowOff>
    </xdr:from>
    <xdr:ext cx="3524250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29202796-9E95-4449-919A-A0F9F15A8998}"/>
            </a:ext>
          </a:extLst>
        </xdr:cNvPr>
        <xdr:cNvSpPr txBox="1"/>
      </xdr:nvSpPr>
      <xdr:spPr>
        <a:xfrm>
          <a:off x="10868025" y="2276475"/>
          <a:ext cx="352425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>
              <a:latin typeface="Cambria Math"/>
            </a:rPr>
            <a:t>𝑁𝑒𝑡 𝑝𝑟𝑜𝑓𝑖𝑡</a:t>
          </a:r>
          <a:r>
            <a:rPr lang="de-DE" sz="1100" i="0">
              <a:latin typeface="Cambria Math"/>
            </a:rPr>
            <a:t>=</a:t>
          </a:r>
          <a:r>
            <a:rPr lang="en-US" sz="1100" b="0" i="0">
              <a:latin typeface="Cambria Math"/>
            </a:rPr>
            <a:t>𝑁𝑂𝑆</a:t>
          </a:r>
          <a:r>
            <a:rPr lang="de-DE" sz="1100" i="0">
              <a:latin typeface="Cambria Math"/>
              <a:ea typeface="Cambria Math"/>
            </a:rPr>
            <a:t>−</a:t>
          </a:r>
          <a:r>
            <a:rPr lang="en-US" sz="1100" b="0" i="0">
              <a:latin typeface="Cambria Math"/>
              <a:ea typeface="Cambria Math"/>
            </a:rPr>
            <a:t>𝐼𝑛𝑐𝑜𝑚𝑒 𝑡𝑎𝑥 𝑒𝑥𝑝𝑒𝑛𝑠𝑒</a:t>
          </a:r>
          <a:endParaRPr lang="de-DE" sz="1100"/>
        </a:p>
      </xdr:txBody>
    </xdr:sp>
    <xdr:clientData/>
  </xdr:oneCellAnchor>
  <xdr:oneCellAnchor>
    <xdr:from>
      <xdr:col>13</xdr:col>
      <xdr:colOff>66674</xdr:colOff>
      <xdr:row>25</xdr:row>
      <xdr:rowOff>104775</xdr:rowOff>
    </xdr:from>
    <xdr:ext cx="2574925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9C5A959-FC94-4864-B054-4EABD2EB19A9}"/>
            </a:ext>
          </a:extLst>
        </xdr:cNvPr>
        <xdr:cNvSpPr txBox="1"/>
      </xdr:nvSpPr>
      <xdr:spPr>
        <a:xfrm>
          <a:off x="13249274" y="3241675"/>
          <a:ext cx="25749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 b="0" i="0">
              <a:latin typeface="Cambria Math"/>
            </a:rPr>
            <a:t>𝐶𝑎𝑠ℎ 𝑓𝑙𝑜𝑤</a:t>
          </a:r>
          <a:r>
            <a:rPr lang="de-DE" sz="1100" i="0">
              <a:latin typeface="Cambria Math"/>
            </a:rPr>
            <a:t>=</a:t>
          </a:r>
          <a:r>
            <a:rPr lang="en-US" sz="1100" b="0" i="0">
              <a:latin typeface="Cambria Math"/>
            </a:rPr>
            <a:t>𝑁𝑒𝑡 𝑝𝑟𝑜𝑓𝑖𝑡+</a:t>
          </a:r>
          <a:r>
            <a:rPr lang="de-DE" sz="1100" i="0">
              <a:latin typeface="Cambria Math" panose="02040503050406030204" pitchFamily="18" charset="0"/>
              <a:ea typeface="Cambria Math"/>
            </a:rPr>
            <a:t>∑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_</a:t>
          </a:r>
          <a:r>
            <a:rPr lang="en-US" sz="1100" b="0" i="0">
              <a:latin typeface="Cambria Math"/>
              <a:ea typeface="Cambria Math"/>
            </a:rPr>
            <a:t>𝑖</a:t>
          </a:r>
          <a:r>
            <a:rPr lang="en-US" sz="1100" b="0" i="0">
              <a:latin typeface="Cambria Math" panose="02040503050406030204" pitchFamily="18" charset="0"/>
              <a:ea typeface="Cambria Math"/>
            </a:rPr>
            <a:t>▒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〖</a:t>
          </a:r>
          <a:r>
            <a:rPr lang="en-US" sz="1100" b="0" i="0">
              <a:latin typeface="Cambria Math"/>
              <a:ea typeface="Cambria Math"/>
            </a:rPr>
            <a:t>𝐷𝐶</a:t>
          </a:r>
          <a:r>
            <a:rPr lang="de-DE" sz="1100" b="0" i="0">
              <a:latin typeface="Cambria Math" panose="02040503050406030204" pitchFamily="18" charset="0"/>
              <a:ea typeface="Cambria Math"/>
            </a:rPr>
            <a:t>〗_</a:t>
          </a:r>
          <a:r>
            <a:rPr lang="en-US" sz="1100" b="0" i="0">
              <a:latin typeface="Cambria Math"/>
              <a:ea typeface="Cambria Math"/>
            </a:rPr>
            <a:t>𝑖</a:t>
          </a:r>
          <a:endParaRPr lang="de-DE" sz="1100"/>
        </a:p>
      </xdr:txBody>
    </xdr:sp>
    <xdr:clientData/>
  </xdr:oneCellAnchor>
  <xdr:twoCellAnchor>
    <xdr:from>
      <xdr:col>4</xdr:col>
      <xdr:colOff>530412</xdr:colOff>
      <xdr:row>38</xdr:row>
      <xdr:rowOff>134098</xdr:rowOff>
    </xdr:from>
    <xdr:to>
      <xdr:col>10</xdr:col>
      <xdr:colOff>279027</xdr:colOff>
      <xdr:row>54</xdr:row>
      <xdr:rowOff>33245</xdr:rowOff>
    </xdr:to>
    <xdr:graphicFrame macro="">
      <xdr:nvGraphicFramePr>
        <xdr:cNvPr id="11708" name="Chart 12">
          <a:extLst>
            <a:ext uri="{FF2B5EF4-FFF2-40B4-BE49-F238E27FC236}">
              <a16:creationId xmlns:a16="http://schemas.microsoft.com/office/drawing/2014/main" id="{B8EA5A2B-DCDE-4A5F-B504-0064BD935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9DE31-D53A-4391-AD3D-BD85E5A7CBDA}">
  <sheetPr>
    <tabColor rgb="FFFFFF00"/>
  </sheetPr>
  <dimension ref="A3:D38"/>
  <sheetViews>
    <sheetView topLeftCell="A27" workbookViewId="0">
      <selection activeCell="J8" sqref="J8"/>
    </sheetView>
  </sheetViews>
  <sheetFormatPr defaultRowHeight="14.5" x14ac:dyDescent="0.35"/>
  <cols>
    <col min="1" max="1" width="29.1796875" customWidth="1"/>
    <col min="2" max="2" width="35.54296875" customWidth="1"/>
    <col min="3" max="3" width="17.6328125" customWidth="1"/>
    <col min="4" max="4" width="19.90625" customWidth="1"/>
  </cols>
  <sheetData>
    <row r="3" spans="1:3" x14ac:dyDescent="0.35">
      <c r="A3" s="274" t="s">
        <v>253</v>
      </c>
    </row>
    <row r="4" spans="1:3" x14ac:dyDescent="0.35">
      <c r="B4" s="275" t="s">
        <v>254</v>
      </c>
      <c r="C4" s="275" t="s">
        <v>255</v>
      </c>
    </row>
    <row r="5" spans="1:3" x14ac:dyDescent="0.35">
      <c r="B5" s="276" t="s">
        <v>256</v>
      </c>
      <c r="C5" s="277">
        <f>Investment_Cost!F13</f>
        <v>1777790</v>
      </c>
    </row>
    <row r="7" spans="1:3" x14ac:dyDescent="0.35">
      <c r="B7" s="278" t="s">
        <v>134</v>
      </c>
      <c r="C7" s="281">
        <f>EFA_DIDS!B40</f>
        <v>0.69223490953445443</v>
      </c>
    </row>
    <row r="8" spans="1:3" ht="26" x14ac:dyDescent="0.35">
      <c r="B8" s="278" t="s">
        <v>135</v>
      </c>
      <c r="C8" s="277">
        <f>EFA_DIDS!B41</f>
        <v>81221.609653551684</v>
      </c>
    </row>
    <row r="9" spans="1:3" x14ac:dyDescent="0.35">
      <c r="B9" s="278" t="s">
        <v>136</v>
      </c>
      <c r="C9" s="277">
        <f>EFA_DIDS!B42</f>
        <v>39832.806673448984</v>
      </c>
    </row>
    <row r="10" spans="1:3" x14ac:dyDescent="0.35">
      <c r="B10" s="278" t="s">
        <v>137</v>
      </c>
      <c r="C10" s="277">
        <f>EFA_DIDS!B43</f>
        <v>24898.187662361994</v>
      </c>
    </row>
    <row r="11" spans="1:3" x14ac:dyDescent="0.35">
      <c r="B11" s="279" t="s">
        <v>138</v>
      </c>
      <c r="C11" s="280">
        <f>EFA_DIDS!B44</f>
        <v>3.7243243538370798</v>
      </c>
    </row>
    <row r="14" spans="1:3" x14ac:dyDescent="0.35">
      <c r="A14" s="274" t="s">
        <v>257</v>
      </c>
    </row>
    <row r="15" spans="1:3" x14ac:dyDescent="0.35">
      <c r="A15" s="274"/>
    </row>
    <row r="16" spans="1:3" s="283" customFormat="1" x14ac:dyDescent="0.35">
      <c r="A16" s="282"/>
      <c r="B16" s="286" t="s">
        <v>258</v>
      </c>
      <c r="C16" s="286"/>
    </row>
    <row r="17" spans="2:4" x14ac:dyDescent="0.35">
      <c r="B17" s="278" t="s">
        <v>134</v>
      </c>
      <c r="C17" s="281">
        <f>EFA_Agroforestry!B65</f>
        <v>0.67894590497016893</v>
      </c>
    </row>
    <row r="18" spans="2:4" ht="26" x14ac:dyDescent="0.35">
      <c r="B18" s="278" t="s">
        <v>135</v>
      </c>
      <c r="C18" s="277">
        <f>EFA_Agroforestry!B66</f>
        <v>52335.125686533022</v>
      </c>
    </row>
    <row r="19" spans="2:4" x14ac:dyDescent="0.35">
      <c r="B19" s="278" t="s">
        <v>136</v>
      </c>
      <c r="C19" s="277">
        <f>EFA_Agroforestry!B67</f>
        <v>14885.567935688021</v>
      </c>
    </row>
    <row r="20" spans="2:4" x14ac:dyDescent="0.35">
      <c r="B20" s="278" t="s">
        <v>137</v>
      </c>
      <c r="C20" s="277">
        <f>EFA_Agroforestry!B68</f>
        <v>7735.4938195868472</v>
      </c>
    </row>
    <row r="21" spans="2:4" x14ac:dyDescent="0.35">
      <c r="B21" s="279" t="s">
        <v>138</v>
      </c>
      <c r="C21" s="280">
        <f>EFA_Agroforestry!B69</f>
        <v>3.8414639795457877</v>
      </c>
    </row>
    <row r="24" spans="2:4" x14ac:dyDescent="0.35">
      <c r="B24" s="286" t="s">
        <v>259</v>
      </c>
      <c r="C24" s="286"/>
    </row>
    <row r="25" spans="2:4" x14ac:dyDescent="0.35">
      <c r="B25" s="278" t="s">
        <v>134</v>
      </c>
      <c r="C25" s="281">
        <f>EFA_Agroforestry!B117</f>
        <v>0.84956665635108952</v>
      </c>
    </row>
    <row r="26" spans="2:4" ht="26" x14ac:dyDescent="0.35">
      <c r="B26" s="278" t="s">
        <v>135</v>
      </c>
      <c r="C26" s="277">
        <f>EFA_Agroforestry!B118</f>
        <v>261714.5991634177</v>
      </c>
    </row>
    <row r="27" spans="2:4" x14ac:dyDescent="0.35">
      <c r="B27" s="278" t="s">
        <v>136</v>
      </c>
      <c r="C27" s="277">
        <f>EFA_Agroforestry!B119</f>
        <v>77270.545017991011</v>
      </c>
    </row>
    <row r="28" spans="2:4" x14ac:dyDescent="0.35">
      <c r="B28" s="278" t="s">
        <v>137</v>
      </c>
      <c r="C28" s="277">
        <f>EFA_Agroforestry!B120</f>
        <v>42159.05363279461</v>
      </c>
    </row>
    <row r="29" spans="2:4" x14ac:dyDescent="0.35">
      <c r="B29" s="279" t="s">
        <v>138</v>
      </c>
      <c r="C29" s="280">
        <f>EFA_Agroforestry!B121</f>
        <v>3.2015161357853361</v>
      </c>
    </row>
    <row r="32" spans="2:4" x14ac:dyDescent="0.35">
      <c r="B32" s="286" t="s">
        <v>260</v>
      </c>
      <c r="C32" s="286"/>
      <c r="D32" s="286"/>
    </row>
    <row r="33" spans="2:4" x14ac:dyDescent="0.35">
      <c r="B33" s="284"/>
      <c r="C33" s="284" t="s">
        <v>261</v>
      </c>
      <c r="D33" s="284" t="s">
        <v>262</v>
      </c>
    </row>
    <row r="34" spans="2:4" x14ac:dyDescent="0.35">
      <c r="B34" s="278" t="s">
        <v>134</v>
      </c>
      <c r="C34" s="281">
        <f>EFA_Agroforestry!B178</f>
        <v>0.3232123434543609</v>
      </c>
      <c r="D34" s="285">
        <f>EFA_Agroforestry!C178</f>
        <v>0.50628102421760557</v>
      </c>
    </row>
    <row r="35" spans="2:4" ht="26" x14ac:dyDescent="0.35">
      <c r="B35" s="278" t="s">
        <v>135</v>
      </c>
      <c r="C35" s="277">
        <f>EFA_Agroforestry!B179</f>
        <v>6363.126756988062</v>
      </c>
      <c r="D35" s="277">
        <f>EFA_Agroforestry!C179</f>
        <v>13777.540667673073</v>
      </c>
    </row>
    <row r="36" spans="2:4" x14ac:dyDescent="0.35">
      <c r="B36" s="278" t="s">
        <v>136</v>
      </c>
      <c r="C36" s="277">
        <f>EFA_Agroforestry!B180</f>
        <v>1463.7733515516279</v>
      </c>
      <c r="D36" s="277">
        <f>EFA_Agroforestry!C180</f>
        <v>3704.8266116369036</v>
      </c>
    </row>
    <row r="37" spans="2:4" x14ac:dyDescent="0.35">
      <c r="B37" s="278" t="s">
        <v>137</v>
      </c>
      <c r="C37" s="277">
        <f>EFA_Agroforestry!B181</f>
        <v>554.38534015705852</v>
      </c>
      <c r="D37" s="277">
        <f>EFA_Agroforestry!C181</f>
        <v>1836.2983729021348</v>
      </c>
    </row>
    <row r="38" spans="2:4" x14ac:dyDescent="0.35">
      <c r="B38" s="279" t="s">
        <v>138</v>
      </c>
      <c r="C38" s="280">
        <f>EFA_Agroforestry!B182</f>
        <v>5</v>
      </c>
      <c r="D38" s="280">
        <f>EFA_Agroforestry!C182</f>
        <v>3.5318272510780715</v>
      </c>
    </row>
  </sheetData>
  <mergeCells count="3">
    <mergeCell ref="B16:C16"/>
    <mergeCell ref="B24:C24"/>
    <mergeCell ref="B32:D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F13" sqref="F13"/>
    </sheetView>
  </sheetViews>
  <sheetFormatPr defaultRowHeight="14.5" x14ac:dyDescent="0.35"/>
  <cols>
    <col min="1" max="1" width="4.26953125" style="18" customWidth="1"/>
    <col min="2" max="2" width="50.54296875" style="8" customWidth="1"/>
    <col min="3" max="3" width="14.81640625" style="8" customWidth="1"/>
    <col min="4" max="5" width="8.7265625" style="8"/>
    <col min="6" max="6" width="9.81640625" style="8" customWidth="1"/>
    <col min="9" max="9" width="11.54296875" bestFit="1" customWidth="1"/>
  </cols>
  <sheetData>
    <row r="1" spans="1:9" ht="15" thickBot="1" x14ac:dyDescent="0.4">
      <c r="B1" s="126" t="s">
        <v>0</v>
      </c>
      <c r="C1" s="127"/>
      <c r="D1" s="128"/>
    </row>
    <row r="2" spans="1:9" x14ac:dyDescent="0.35">
      <c r="B2" s="126" t="s">
        <v>1</v>
      </c>
      <c r="C2" s="129">
        <v>600</v>
      </c>
      <c r="D2" s="130" t="s">
        <v>2</v>
      </c>
    </row>
    <row r="3" spans="1:9" ht="15" thickBot="1" x14ac:dyDescent="0.4">
      <c r="B3" s="95"/>
      <c r="C3" s="96">
        <v>53</v>
      </c>
      <c r="D3" s="131" t="s">
        <v>3</v>
      </c>
    </row>
    <row r="5" spans="1:9" x14ac:dyDescent="0.35">
      <c r="A5" s="19" t="s">
        <v>4</v>
      </c>
      <c r="B5" s="20" t="s">
        <v>5</v>
      </c>
      <c r="C5" s="21" t="s">
        <v>6</v>
      </c>
      <c r="D5" s="21" t="s">
        <v>7</v>
      </c>
      <c r="E5" s="21" t="s">
        <v>8</v>
      </c>
      <c r="F5" s="21" t="s">
        <v>9</v>
      </c>
      <c r="I5" s="31"/>
    </row>
    <row r="6" spans="1:9" x14ac:dyDescent="0.35">
      <c r="A6" s="19">
        <v>1</v>
      </c>
      <c r="B6" s="20" t="s">
        <v>10</v>
      </c>
      <c r="C6" s="32" t="s">
        <v>11</v>
      </c>
      <c r="D6" s="32">
        <v>2</v>
      </c>
      <c r="E6" s="33">
        <v>124000</v>
      </c>
      <c r="F6" s="34">
        <f>D6*E6</f>
        <v>248000</v>
      </c>
    </row>
    <row r="7" spans="1:9" x14ac:dyDescent="0.35">
      <c r="A7" s="19">
        <v>2</v>
      </c>
      <c r="B7" s="20" t="s">
        <v>12</v>
      </c>
      <c r="C7" s="32" t="s">
        <v>13</v>
      </c>
      <c r="D7" s="32">
        <v>4</v>
      </c>
      <c r="E7" s="33">
        <v>35000</v>
      </c>
      <c r="F7" s="34">
        <f>D7*E7</f>
        <v>140000</v>
      </c>
    </row>
    <row r="8" spans="1:9" x14ac:dyDescent="0.35">
      <c r="A8" s="19">
        <v>4</v>
      </c>
      <c r="B8" s="20" t="s">
        <v>14</v>
      </c>
      <c r="C8" s="35" t="s">
        <v>15</v>
      </c>
      <c r="D8" s="35">
        <v>66</v>
      </c>
      <c r="E8" s="33">
        <v>815</v>
      </c>
      <c r="F8" s="33">
        <f>D8*E8</f>
        <v>53790</v>
      </c>
    </row>
    <row r="9" spans="1:9" x14ac:dyDescent="0.35">
      <c r="A9" s="19">
        <v>5</v>
      </c>
      <c r="B9" s="20" t="s">
        <v>16</v>
      </c>
      <c r="C9" s="35" t="s">
        <v>17</v>
      </c>
      <c r="D9" s="35">
        <v>1</v>
      </c>
      <c r="E9" s="33">
        <v>1000000</v>
      </c>
      <c r="F9" s="33">
        <v>1000000</v>
      </c>
    </row>
    <row r="10" spans="1:9" x14ac:dyDescent="0.35">
      <c r="A10" s="19">
        <v>6</v>
      </c>
      <c r="B10" s="20" t="s">
        <v>18</v>
      </c>
      <c r="C10" s="35"/>
      <c r="D10" s="35"/>
      <c r="E10" s="33">
        <v>86000</v>
      </c>
      <c r="F10" s="33">
        <v>86000</v>
      </c>
    </row>
    <row r="11" spans="1:9" x14ac:dyDescent="0.35">
      <c r="A11" s="19">
        <v>7</v>
      </c>
      <c r="B11" s="12" t="s">
        <v>19</v>
      </c>
      <c r="C11" s="35" t="s">
        <v>20</v>
      </c>
      <c r="D11" s="35">
        <v>1</v>
      </c>
      <c r="E11" s="33">
        <v>50000</v>
      </c>
      <c r="F11" s="33">
        <v>50000</v>
      </c>
    </row>
    <row r="12" spans="1:9" x14ac:dyDescent="0.35">
      <c r="A12" s="19">
        <v>8</v>
      </c>
      <c r="B12" s="20" t="s">
        <v>21</v>
      </c>
      <c r="C12" s="23"/>
      <c r="D12" s="23"/>
      <c r="E12" s="23"/>
      <c r="F12" s="22">
        <v>200000</v>
      </c>
    </row>
    <row r="13" spans="1:9" x14ac:dyDescent="0.35">
      <c r="A13" s="287" t="s">
        <v>22</v>
      </c>
      <c r="B13" s="288"/>
      <c r="C13" s="23"/>
      <c r="D13" s="23"/>
      <c r="E13" s="23"/>
      <c r="F13" s="25">
        <f>SUM(F6:F12)</f>
        <v>1777790</v>
      </c>
    </row>
    <row r="16" spans="1:9" x14ac:dyDescent="0.35">
      <c r="F16" s="122"/>
    </row>
  </sheetData>
  <mergeCells count="1">
    <mergeCell ref="A13:B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"/>
  <sheetViews>
    <sheetView topLeftCell="C1" zoomScale="90" zoomScaleNormal="90" workbookViewId="0">
      <selection activeCell="J21" sqref="J21"/>
    </sheetView>
  </sheetViews>
  <sheetFormatPr defaultRowHeight="14.5" x14ac:dyDescent="0.35"/>
  <cols>
    <col min="1" max="1" width="3.81640625" style="36" customWidth="1"/>
    <col min="2" max="2" width="50.81640625" style="36" customWidth="1"/>
    <col min="3" max="3" width="10.1796875" style="36" customWidth="1"/>
    <col min="4" max="4" width="17.7265625" style="36" customWidth="1"/>
    <col min="5" max="5" width="18.1796875" style="36" customWidth="1"/>
    <col min="6" max="16" width="8.7265625" style="36"/>
  </cols>
  <sheetData>
    <row r="1" spans="1:16" ht="26" x14ac:dyDescent="0.35">
      <c r="A1" s="20" t="s">
        <v>4</v>
      </c>
      <c r="B1" s="20" t="s">
        <v>5</v>
      </c>
      <c r="C1" s="27" t="s">
        <v>23</v>
      </c>
      <c r="D1" s="27" t="s">
        <v>24</v>
      </c>
      <c r="E1" s="27" t="s">
        <v>25</v>
      </c>
      <c r="F1" s="24"/>
      <c r="G1" s="28" t="s">
        <v>26</v>
      </c>
      <c r="H1" s="28" t="s">
        <v>27</v>
      </c>
      <c r="I1" s="28" t="s">
        <v>28</v>
      </c>
      <c r="J1" s="28" t="s">
        <v>29</v>
      </c>
      <c r="K1" s="28" t="s">
        <v>30</v>
      </c>
      <c r="L1" s="28" t="s">
        <v>31</v>
      </c>
      <c r="M1" s="28" t="s">
        <v>32</v>
      </c>
      <c r="N1" s="28" t="s">
        <v>33</v>
      </c>
      <c r="O1" s="28" t="s">
        <v>34</v>
      </c>
      <c r="P1" s="28" t="s">
        <v>35</v>
      </c>
    </row>
    <row r="2" spans="1:16" x14ac:dyDescent="0.35">
      <c r="A2" s="21">
        <v>1</v>
      </c>
      <c r="B2" s="20" t="s">
        <v>36</v>
      </c>
      <c r="C2" s="22">
        <v>388000</v>
      </c>
      <c r="D2" s="27">
        <v>5</v>
      </c>
      <c r="E2" s="29">
        <f>C2/D2</f>
        <v>77600</v>
      </c>
      <c r="F2" s="24"/>
      <c r="G2" s="30">
        <f>E2</f>
        <v>77600</v>
      </c>
      <c r="H2" s="30">
        <f>G2</f>
        <v>77600</v>
      </c>
      <c r="I2" s="30">
        <f t="shared" ref="I2:P6" si="0">G2</f>
        <v>77600</v>
      </c>
      <c r="J2" s="30">
        <f t="shared" si="0"/>
        <v>77600</v>
      </c>
      <c r="K2" s="30">
        <f t="shared" si="0"/>
        <v>77600</v>
      </c>
      <c r="L2" s="30">
        <f t="shared" si="0"/>
        <v>77600</v>
      </c>
      <c r="M2" s="30">
        <f t="shared" si="0"/>
        <v>77600</v>
      </c>
      <c r="N2" s="30">
        <f t="shared" si="0"/>
        <v>77600</v>
      </c>
      <c r="O2" s="30">
        <f t="shared" si="0"/>
        <v>77600</v>
      </c>
      <c r="P2" s="30">
        <f t="shared" si="0"/>
        <v>77600</v>
      </c>
    </row>
    <row r="3" spans="1:16" x14ac:dyDescent="0.35">
      <c r="A3" s="21">
        <v>2</v>
      </c>
      <c r="B3" s="20" t="s">
        <v>14</v>
      </c>
      <c r="C3" s="22">
        <v>53790</v>
      </c>
      <c r="D3" s="27">
        <v>5</v>
      </c>
      <c r="E3" s="29">
        <f>C3/D3</f>
        <v>10758</v>
      </c>
      <c r="F3" s="24"/>
      <c r="G3" s="30">
        <f>E3</f>
        <v>10758</v>
      </c>
      <c r="H3" s="30">
        <f>G3</f>
        <v>10758</v>
      </c>
      <c r="I3" s="30">
        <f t="shared" si="0"/>
        <v>10758</v>
      </c>
      <c r="J3" s="30">
        <f t="shared" si="0"/>
        <v>10758</v>
      </c>
      <c r="K3" s="30">
        <f t="shared" si="0"/>
        <v>10758</v>
      </c>
      <c r="L3" s="30">
        <f t="shared" si="0"/>
        <v>10758</v>
      </c>
      <c r="M3" s="30">
        <f t="shared" si="0"/>
        <v>10758</v>
      </c>
      <c r="N3" s="30">
        <f t="shared" si="0"/>
        <v>10758</v>
      </c>
      <c r="O3" s="30">
        <f t="shared" si="0"/>
        <v>10758</v>
      </c>
      <c r="P3" s="30">
        <f t="shared" si="0"/>
        <v>10758</v>
      </c>
    </row>
    <row r="4" spans="1:16" x14ac:dyDescent="0.35">
      <c r="A4" s="21">
        <v>3</v>
      </c>
      <c r="B4" s="20" t="s">
        <v>18</v>
      </c>
      <c r="C4" s="22">
        <v>86000</v>
      </c>
      <c r="D4" s="26">
        <v>5</v>
      </c>
      <c r="E4" s="29">
        <f>C4/D4</f>
        <v>17200</v>
      </c>
      <c r="F4" s="24"/>
      <c r="G4" s="30">
        <f>E4</f>
        <v>17200</v>
      </c>
      <c r="H4" s="30">
        <f>E4</f>
        <v>17200</v>
      </c>
      <c r="I4" s="30">
        <f t="shared" si="0"/>
        <v>17200</v>
      </c>
      <c r="J4" s="30">
        <f t="shared" si="0"/>
        <v>17200</v>
      </c>
      <c r="K4" s="30">
        <f t="shared" si="0"/>
        <v>17200</v>
      </c>
      <c r="L4" s="30">
        <f t="shared" si="0"/>
        <v>17200</v>
      </c>
      <c r="M4" s="30"/>
      <c r="N4" s="30"/>
      <c r="O4" s="30"/>
      <c r="P4" s="30"/>
    </row>
    <row r="5" spans="1:16" x14ac:dyDescent="0.35">
      <c r="A5" s="21">
        <v>4</v>
      </c>
      <c r="B5" s="20" t="s">
        <v>16</v>
      </c>
      <c r="C5" s="22">
        <v>1000000</v>
      </c>
      <c r="D5" s="26">
        <v>5</v>
      </c>
      <c r="E5" s="29">
        <f>C5/D5</f>
        <v>200000</v>
      </c>
      <c r="F5" s="24"/>
      <c r="G5" s="30">
        <f>E5</f>
        <v>200000</v>
      </c>
      <c r="H5" s="30">
        <f>E5</f>
        <v>200000</v>
      </c>
      <c r="I5" s="30">
        <f t="shared" si="0"/>
        <v>200000</v>
      </c>
      <c r="J5" s="30">
        <f t="shared" si="0"/>
        <v>200000</v>
      </c>
      <c r="K5" s="30">
        <f t="shared" si="0"/>
        <v>200000</v>
      </c>
      <c r="L5" s="30">
        <f t="shared" si="0"/>
        <v>200000</v>
      </c>
      <c r="M5" s="30">
        <f>K5</f>
        <v>200000</v>
      </c>
      <c r="N5" s="30">
        <f>L5</f>
        <v>200000</v>
      </c>
      <c r="O5" s="30">
        <f>M5</f>
        <v>200000</v>
      </c>
      <c r="P5" s="30">
        <f>N5</f>
        <v>200000</v>
      </c>
    </row>
    <row r="6" spans="1:16" x14ac:dyDescent="0.35">
      <c r="A6" s="21">
        <v>5</v>
      </c>
      <c r="B6" s="20" t="s">
        <v>37</v>
      </c>
      <c r="C6" s="22">
        <v>200000</v>
      </c>
      <c r="D6" s="26">
        <v>5</v>
      </c>
      <c r="E6" s="29">
        <f>C6/D6</f>
        <v>40000</v>
      </c>
      <c r="F6" s="24"/>
      <c r="G6" s="30">
        <f>E6</f>
        <v>40000</v>
      </c>
      <c r="H6" s="30">
        <f>E6</f>
        <v>40000</v>
      </c>
      <c r="I6" s="30">
        <f t="shared" si="0"/>
        <v>40000</v>
      </c>
      <c r="J6" s="30">
        <f>E6</f>
        <v>40000</v>
      </c>
      <c r="K6" s="30">
        <f t="shared" si="0"/>
        <v>40000</v>
      </c>
      <c r="L6" s="30">
        <f t="shared" si="0"/>
        <v>40000</v>
      </c>
      <c r="M6" s="30">
        <f>E6</f>
        <v>40000</v>
      </c>
      <c r="N6" s="30">
        <f>E6</f>
        <v>40000</v>
      </c>
      <c r="O6" s="30">
        <f>E6</f>
        <v>40000</v>
      </c>
      <c r="P6" s="30">
        <f>E6</f>
        <v>40000</v>
      </c>
    </row>
    <row r="7" spans="1:16" s="41" customFormat="1" x14ac:dyDescent="0.35">
      <c r="A7" s="289" t="s">
        <v>38</v>
      </c>
      <c r="B7" s="289"/>
      <c r="C7" s="37">
        <f>SUM(C2:C5)</f>
        <v>1527790</v>
      </c>
      <c r="D7" s="38"/>
      <c r="E7" s="39">
        <f>SUM(E2:E6)</f>
        <v>345558</v>
      </c>
      <c r="F7" s="38"/>
      <c r="G7" s="40">
        <f t="shared" ref="G7:P7" si="1">SUM(G2:G4)</f>
        <v>105558</v>
      </c>
      <c r="H7" s="40">
        <f t="shared" si="1"/>
        <v>105558</v>
      </c>
      <c r="I7" s="40">
        <f t="shared" si="1"/>
        <v>105558</v>
      </c>
      <c r="J7" s="40">
        <f t="shared" si="1"/>
        <v>105558</v>
      </c>
      <c r="K7" s="40">
        <f t="shared" si="1"/>
        <v>105558</v>
      </c>
      <c r="L7" s="40">
        <f t="shared" si="1"/>
        <v>105558</v>
      </c>
      <c r="M7" s="40">
        <f t="shared" si="1"/>
        <v>88358</v>
      </c>
      <c r="N7" s="40">
        <f t="shared" si="1"/>
        <v>88358</v>
      </c>
      <c r="O7" s="40">
        <f t="shared" si="1"/>
        <v>88358</v>
      </c>
      <c r="P7" s="40">
        <f t="shared" si="1"/>
        <v>88358</v>
      </c>
    </row>
  </sheetData>
  <mergeCells count="1">
    <mergeCell ref="A7:B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topLeftCell="A27" workbookViewId="0">
      <selection activeCell="N26" sqref="N26"/>
    </sheetView>
  </sheetViews>
  <sheetFormatPr defaultRowHeight="14.5" x14ac:dyDescent="0.35"/>
  <cols>
    <col min="1" max="1" width="4.1796875" customWidth="1"/>
    <col min="2" max="2" width="42.54296875" customWidth="1"/>
    <col min="3" max="3" width="7.26953125" customWidth="1"/>
    <col min="4" max="4" width="8.1796875" bestFit="1" customWidth="1"/>
    <col min="6" max="6" width="14.1796875" customWidth="1"/>
    <col min="8" max="8" width="14.7265625" customWidth="1"/>
  </cols>
  <sheetData>
    <row r="1" spans="1:8" x14ac:dyDescent="0.35">
      <c r="A1" s="42" t="s">
        <v>4</v>
      </c>
      <c r="B1" s="52" t="s">
        <v>5</v>
      </c>
      <c r="C1" s="42" t="s">
        <v>6</v>
      </c>
      <c r="D1" s="43" t="s">
        <v>7</v>
      </c>
      <c r="E1" s="43" t="s">
        <v>8</v>
      </c>
      <c r="F1" s="43" t="s">
        <v>9</v>
      </c>
    </row>
    <row r="2" spans="1:8" x14ac:dyDescent="0.35">
      <c r="A2" s="55">
        <v>1</v>
      </c>
      <c r="B2" s="52" t="s">
        <v>39</v>
      </c>
      <c r="C2" s="42" t="s">
        <v>40</v>
      </c>
      <c r="D2" s="43" t="s">
        <v>41</v>
      </c>
      <c r="E2" s="44">
        <v>19754.39</v>
      </c>
      <c r="F2" s="34">
        <f>E2</f>
        <v>19754.39</v>
      </c>
    </row>
    <row r="3" spans="1:8" x14ac:dyDescent="0.35">
      <c r="A3" s="292">
        <v>2</v>
      </c>
      <c r="B3" s="53" t="s">
        <v>42</v>
      </c>
      <c r="C3" s="42"/>
      <c r="D3" s="43"/>
      <c r="E3" s="44"/>
      <c r="F3" s="61">
        <f>F4+F5</f>
        <v>444418</v>
      </c>
      <c r="H3" s="31"/>
    </row>
    <row r="4" spans="1:8" x14ac:dyDescent="0.35">
      <c r="A4" s="292"/>
      <c r="B4" s="48" t="s">
        <v>43</v>
      </c>
      <c r="C4" s="42" t="s">
        <v>44</v>
      </c>
      <c r="D4" s="45">
        <v>1000</v>
      </c>
      <c r="E4" s="44">
        <v>364.01</v>
      </c>
      <c r="F4" s="34">
        <f>D4*E4</f>
        <v>364010</v>
      </c>
    </row>
    <row r="5" spans="1:8" x14ac:dyDescent="0.35">
      <c r="A5" s="292"/>
      <c r="B5" s="48" t="s">
        <v>45</v>
      </c>
      <c r="C5" s="42" t="s">
        <v>44</v>
      </c>
      <c r="D5" s="43">
        <v>400</v>
      </c>
      <c r="E5" s="44">
        <v>201.02</v>
      </c>
      <c r="F5" s="34">
        <f>D5*E5</f>
        <v>80408</v>
      </c>
    </row>
    <row r="6" spans="1:8" x14ac:dyDescent="0.35">
      <c r="A6" s="292">
        <v>3</v>
      </c>
      <c r="B6" s="53" t="s">
        <v>46</v>
      </c>
      <c r="C6" s="56"/>
      <c r="D6" s="57"/>
      <c r="E6" s="58"/>
      <c r="F6" s="61">
        <f>F7+F8+F9</f>
        <v>73990.682499999995</v>
      </c>
    </row>
    <row r="7" spans="1:8" x14ac:dyDescent="0.35">
      <c r="A7" s="292"/>
      <c r="B7" s="49" t="s">
        <v>47</v>
      </c>
      <c r="C7" s="42" t="s">
        <v>48</v>
      </c>
      <c r="D7" s="43">
        <v>2</v>
      </c>
      <c r="E7" s="44">
        <v>13104.4</v>
      </c>
      <c r="F7" s="34">
        <f>E7*D7</f>
        <v>26208.799999999999</v>
      </c>
      <c r="H7" s="59"/>
    </row>
    <row r="8" spans="1:8" x14ac:dyDescent="0.35">
      <c r="A8" s="292"/>
      <c r="B8" s="50" t="s">
        <v>49</v>
      </c>
      <c r="C8" s="42" t="s">
        <v>48</v>
      </c>
      <c r="D8" s="43">
        <v>1</v>
      </c>
      <c r="E8" s="44">
        <v>41486.39</v>
      </c>
      <c r="F8" s="34">
        <f>E8*D8</f>
        <v>41486.39</v>
      </c>
      <c r="H8" s="59"/>
    </row>
    <row r="9" spans="1:8" ht="15" thickBot="1" x14ac:dyDescent="0.4">
      <c r="A9" s="292"/>
      <c r="B9" s="51" t="s">
        <v>50</v>
      </c>
      <c r="C9" s="42" t="s">
        <v>44</v>
      </c>
      <c r="D9" s="43">
        <v>0.75</v>
      </c>
      <c r="E9" s="44">
        <v>8393.99</v>
      </c>
      <c r="F9" s="34">
        <f>E9*D9</f>
        <v>6295.4925000000003</v>
      </c>
      <c r="H9" s="60"/>
    </row>
    <row r="10" spans="1:8" x14ac:dyDescent="0.35">
      <c r="A10" s="55">
        <v>4</v>
      </c>
      <c r="B10" s="8" t="s">
        <v>51</v>
      </c>
      <c r="C10" s="42" t="s">
        <v>20</v>
      </c>
      <c r="D10" s="43">
        <v>1</v>
      </c>
      <c r="E10" s="44">
        <v>20700</v>
      </c>
      <c r="F10" s="33">
        <v>20700</v>
      </c>
      <c r="H10" s="31"/>
    </row>
    <row r="11" spans="1:8" x14ac:dyDescent="0.35">
      <c r="A11" s="55">
        <v>5</v>
      </c>
      <c r="B11" s="54" t="s">
        <v>52</v>
      </c>
      <c r="C11" s="42" t="s">
        <v>53</v>
      </c>
      <c r="D11" s="43">
        <v>144</v>
      </c>
      <c r="E11" s="44">
        <v>3500</v>
      </c>
      <c r="F11" s="34">
        <f>D11*E11</f>
        <v>504000</v>
      </c>
      <c r="H11" s="31"/>
    </row>
    <row r="12" spans="1:8" x14ac:dyDescent="0.35">
      <c r="A12" s="55">
        <v>6</v>
      </c>
      <c r="B12" s="54" t="s">
        <v>54</v>
      </c>
      <c r="C12" s="42" t="s">
        <v>40</v>
      </c>
      <c r="D12" s="43" t="s">
        <v>55</v>
      </c>
      <c r="E12" s="63">
        <v>0.06</v>
      </c>
      <c r="F12" s="34">
        <v>63771.78</v>
      </c>
      <c r="H12" s="60"/>
    </row>
    <row r="13" spans="1:8" x14ac:dyDescent="0.35">
      <c r="A13" s="55">
        <v>5</v>
      </c>
      <c r="B13" s="52" t="s">
        <v>56</v>
      </c>
      <c r="C13" s="46"/>
      <c r="D13" s="45"/>
      <c r="E13" s="63">
        <v>0.1</v>
      </c>
      <c r="F13" s="34">
        <v>112663.49</v>
      </c>
    </row>
    <row r="14" spans="1:8" x14ac:dyDescent="0.35">
      <c r="A14" s="290" t="s">
        <v>38</v>
      </c>
      <c r="B14" s="291"/>
      <c r="C14" s="46"/>
      <c r="D14" s="46"/>
      <c r="E14" s="46"/>
      <c r="F14" s="47">
        <f>F2+F3+F6+F10+F11+F12+F13</f>
        <v>1239298.3425</v>
      </c>
    </row>
    <row r="15" spans="1:8" x14ac:dyDescent="0.35">
      <c r="B15" s="62"/>
      <c r="H15" s="31"/>
    </row>
  </sheetData>
  <mergeCells count="3">
    <mergeCell ref="A14:B14"/>
    <mergeCell ref="A3:A5"/>
    <mergeCell ref="A6:A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workbookViewId="0">
      <selection activeCell="K6" sqref="K6"/>
    </sheetView>
  </sheetViews>
  <sheetFormatPr defaultRowHeight="14.5" x14ac:dyDescent="0.35"/>
  <cols>
    <col min="1" max="1" width="4.453125" bestFit="1" customWidth="1"/>
    <col min="2" max="2" width="12.26953125" bestFit="1" customWidth="1"/>
    <col min="3" max="3" width="10.7265625" customWidth="1"/>
    <col min="5" max="5" width="14.453125" customWidth="1"/>
    <col min="6" max="6" width="14" customWidth="1"/>
    <col min="7" max="7" width="16.453125" customWidth="1"/>
    <col min="8" max="9" width="16.7265625" customWidth="1"/>
    <col min="10" max="10" width="13.54296875" customWidth="1"/>
    <col min="11" max="11" width="11.7265625" customWidth="1"/>
    <col min="12" max="12" width="17.81640625" customWidth="1"/>
    <col min="13" max="13" width="13.81640625" customWidth="1"/>
  </cols>
  <sheetData>
    <row r="1" spans="1:13" x14ac:dyDescent="0.35">
      <c r="B1" s="132" t="s">
        <v>1</v>
      </c>
      <c r="C1" s="133">
        <v>600</v>
      </c>
      <c r="D1" s="134" t="s">
        <v>2</v>
      </c>
    </row>
    <row r="2" spans="1:13" ht="15" thickBot="1" x14ac:dyDescent="0.4">
      <c r="B2" s="95"/>
      <c r="C2" s="135">
        <v>40.3825</v>
      </c>
      <c r="D2" s="136" t="s">
        <v>3</v>
      </c>
    </row>
    <row r="3" spans="1:13" ht="15" thickBot="1" x14ac:dyDescent="0.4"/>
    <row r="4" spans="1:13" ht="15" customHeight="1" x14ac:dyDescent="0.35">
      <c r="A4" s="298" t="s">
        <v>57</v>
      </c>
      <c r="B4" s="294" t="s">
        <v>58</v>
      </c>
      <c r="C4" s="294" t="s">
        <v>59</v>
      </c>
      <c r="D4" s="294" t="s">
        <v>60</v>
      </c>
      <c r="E4" s="294" t="s">
        <v>61</v>
      </c>
      <c r="F4" s="294" t="s">
        <v>62</v>
      </c>
      <c r="G4" s="294" t="s">
        <v>63</v>
      </c>
      <c r="H4" s="294" t="s">
        <v>64</v>
      </c>
      <c r="I4" s="294" t="s">
        <v>65</v>
      </c>
      <c r="J4" s="294" t="s">
        <v>66</v>
      </c>
      <c r="K4" s="294" t="s">
        <v>67</v>
      </c>
      <c r="L4" s="294" t="s">
        <v>68</v>
      </c>
      <c r="M4" s="300" t="s">
        <v>69</v>
      </c>
    </row>
    <row r="5" spans="1:13" ht="41.5" customHeight="1" x14ac:dyDescent="0.35">
      <c r="A5" s="299"/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301"/>
    </row>
    <row r="6" spans="1:13" ht="13" customHeight="1" x14ac:dyDescent="0.35">
      <c r="A6" s="147">
        <v>1</v>
      </c>
      <c r="B6" s="148" t="s">
        <v>70</v>
      </c>
      <c r="C6" s="149" t="s">
        <v>71</v>
      </c>
      <c r="D6" s="149">
        <v>20</v>
      </c>
      <c r="E6" s="149">
        <v>500</v>
      </c>
      <c r="F6" s="150">
        <v>1000</v>
      </c>
      <c r="G6" s="151">
        <v>2</v>
      </c>
      <c r="H6" s="151">
        <f>((E6+F6)/2)*1000*D6*G6</f>
        <v>30000000</v>
      </c>
      <c r="I6" s="151">
        <f>H6/C1</f>
        <v>50000</v>
      </c>
      <c r="J6" s="149">
        <v>50</v>
      </c>
      <c r="K6" s="152">
        <f>(J6*70/100)*D6*1000/10000</f>
        <v>70</v>
      </c>
      <c r="L6" s="153">
        <f>H6*J6/10000</f>
        <v>150000</v>
      </c>
      <c r="M6" s="154">
        <f>L6/C1</f>
        <v>250</v>
      </c>
    </row>
    <row r="7" spans="1:13" ht="13" customHeight="1" x14ac:dyDescent="0.35">
      <c r="A7" s="147">
        <v>2</v>
      </c>
      <c r="B7" s="155" t="s">
        <v>72</v>
      </c>
      <c r="C7" s="156" t="s">
        <v>73</v>
      </c>
      <c r="D7" s="156">
        <v>40</v>
      </c>
      <c r="E7" s="156">
        <v>600</v>
      </c>
      <c r="F7" s="157">
        <v>1200</v>
      </c>
      <c r="G7" s="153">
        <v>3</v>
      </c>
      <c r="H7" s="153">
        <f>((E7+F7)/2)*1000*D7*G7</f>
        <v>108000000</v>
      </c>
      <c r="I7" s="151">
        <f>H7/C1</f>
        <v>180000</v>
      </c>
      <c r="J7" s="152">
        <v>250</v>
      </c>
      <c r="K7" s="152">
        <f>(J7*70/100)*D7*1000/10000</f>
        <v>700</v>
      </c>
      <c r="L7" s="153">
        <f t="shared" ref="L7:L14" si="0">H7*J7/10000</f>
        <v>2700000</v>
      </c>
      <c r="M7" s="154">
        <f>L7/C1</f>
        <v>4500</v>
      </c>
    </row>
    <row r="8" spans="1:13" ht="13" customHeight="1" x14ac:dyDescent="0.35">
      <c r="A8" s="147">
        <v>3</v>
      </c>
      <c r="B8" s="148" t="s">
        <v>74</v>
      </c>
      <c r="C8" s="149">
        <v>130</v>
      </c>
      <c r="D8" s="149">
        <v>40</v>
      </c>
      <c r="E8" s="149">
        <v>300</v>
      </c>
      <c r="F8" s="150">
        <v>600</v>
      </c>
      <c r="G8" s="151">
        <v>2</v>
      </c>
      <c r="H8" s="151">
        <f t="shared" ref="H8:H14" si="1">((E8+F8)/2)*1000*D8*G8</f>
        <v>36000000</v>
      </c>
      <c r="I8" s="151">
        <f>H8/C1</f>
        <v>60000</v>
      </c>
      <c r="J8" s="149">
        <v>50</v>
      </c>
      <c r="K8" s="149">
        <f t="shared" ref="K8:K14" si="2">(J8*70/100)*D8*1000/10000</f>
        <v>140</v>
      </c>
      <c r="L8" s="151">
        <f t="shared" si="0"/>
        <v>180000</v>
      </c>
      <c r="M8" s="154">
        <f>L8/C1</f>
        <v>300</v>
      </c>
    </row>
    <row r="9" spans="1:13" ht="13" customHeight="1" x14ac:dyDescent="0.35">
      <c r="A9" s="147">
        <v>4</v>
      </c>
      <c r="B9" s="158" t="s">
        <v>75</v>
      </c>
      <c r="C9" s="156" t="s">
        <v>76</v>
      </c>
      <c r="D9" s="156">
        <v>40</v>
      </c>
      <c r="E9" s="156">
        <v>200</v>
      </c>
      <c r="F9" s="159">
        <v>400</v>
      </c>
      <c r="G9" s="153">
        <v>4</v>
      </c>
      <c r="H9" s="153">
        <f t="shared" si="1"/>
        <v>48000000</v>
      </c>
      <c r="I9" s="151">
        <f>H9/C1</f>
        <v>80000</v>
      </c>
      <c r="J9" s="152">
        <v>50</v>
      </c>
      <c r="K9" s="152">
        <f t="shared" si="2"/>
        <v>140</v>
      </c>
      <c r="L9" s="153">
        <f t="shared" si="0"/>
        <v>240000</v>
      </c>
      <c r="M9" s="154">
        <f>L9/C1</f>
        <v>400</v>
      </c>
    </row>
    <row r="10" spans="1:13" ht="13" customHeight="1" x14ac:dyDescent="0.35">
      <c r="A10" s="147">
        <v>5</v>
      </c>
      <c r="B10" s="148" t="s">
        <v>77</v>
      </c>
      <c r="C10" s="149">
        <v>180</v>
      </c>
      <c r="D10" s="149">
        <v>30</v>
      </c>
      <c r="E10" s="149">
        <v>800</v>
      </c>
      <c r="F10" s="150">
        <v>1200</v>
      </c>
      <c r="G10" s="151">
        <v>2</v>
      </c>
      <c r="H10" s="151">
        <f t="shared" si="1"/>
        <v>60000000</v>
      </c>
      <c r="I10" s="151">
        <f>H10/C1</f>
        <v>100000</v>
      </c>
      <c r="J10" s="149">
        <v>250</v>
      </c>
      <c r="K10" s="149">
        <f t="shared" si="2"/>
        <v>525</v>
      </c>
      <c r="L10" s="151">
        <f t="shared" si="0"/>
        <v>1500000</v>
      </c>
      <c r="M10" s="154">
        <f>L10/C1</f>
        <v>2500</v>
      </c>
    </row>
    <row r="11" spans="1:13" ht="13" customHeight="1" x14ac:dyDescent="0.35">
      <c r="A11" s="147">
        <v>6</v>
      </c>
      <c r="B11" s="155" t="s">
        <v>78</v>
      </c>
      <c r="C11" s="156">
        <v>90</v>
      </c>
      <c r="D11" s="156">
        <v>40</v>
      </c>
      <c r="E11" s="156">
        <v>300</v>
      </c>
      <c r="F11" s="156">
        <v>600</v>
      </c>
      <c r="G11" s="153">
        <v>3</v>
      </c>
      <c r="H11" s="153">
        <f t="shared" si="1"/>
        <v>54000000</v>
      </c>
      <c r="I11" s="151">
        <f>H11/C1</f>
        <v>90000</v>
      </c>
      <c r="J11" s="152">
        <v>100</v>
      </c>
      <c r="K11" s="152">
        <f t="shared" si="2"/>
        <v>280</v>
      </c>
      <c r="L11" s="153">
        <f t="shared" si="0"/>
        <v>540000</v>
      </c>
      <c r="M11" s="154">
        <f>L11/C1</f>
        <v>900</v>
      </c>
    </row>
    <row r="12" spans="1:13" ht="13" customHeight="1" x14ac:dyDescent="0.35">
      <c r="A12" s="147">
        <v>7</v>
      </c>
      <c r="B12" s="148" t="s">
        <v>79</v>
      </c>
      <c r="C12" s="149">
        <v>45</v>
      </c>
      <c r="D12" s="149" t="s">
        <v>80</v>
      </c>
      <c r="E12" s="149" t="s">
        <v>81</v>
      </c>
      <c r="F12" s="149" t="s">
        <v>82</v>
      </c>
      <c r="G12" s="151">
        <v>7</v>
      </c>
      <c r="H12" s="151">
        <f>((G17+G18)/2)*7</f>
        <v>63700000</v>
      </c>
      <c r="I12" s="151">
        <f>H12/C1</f>
        <v>106166.66666666667</v>
      </c>
      <c r="J12" s="149">
        <v>500</v>
      </c>
      <c r="K12" s="149" t="s">
        <v>83</v>
      </c>
      <c r="L12" s="151">
        <f t="shared" si="0"/>
        <v>3185000</v>
      </c>
      <c r="M12" s="154">
        <f>L12/C1</f>
        <v>5308.333333333333</v>
      </c>
    </row>
    <row r="13" spans="1:13" ht="13" customHeight="1" x14ac:dyDescent="0.35">
      <c r="A13" s="147">
        <v>8</v>
      </c>
      <c r="B13" s="160" t="s">
        <v>84</v>
      </c>
      <c r="C13" s="152" t="s">
        <v>85</v>
      </c>
      <c r="D13" s="152">
        <v>45</v>
      </c>
      <c r="E13" s="152">
        <v>300</v>
      </c>
      <c r="F13" s="152">
        <v>500</v>
      </c>
      <c r="G13" s="153">
        <v>4</v>
      </c>
      <c r="H13" s="153">
        <f t="shared" si="1"/>
        <v>72000000</v>
      </c>
      <c r="I13" s="151">
        <f>H13/C1</f>
        <v>120000</v>
      </c>
      <c r="J13" s="152">
        <v>100</v>
      </c>
      <c r="K13" s="152">
        <f t="shared" si="2"/>
        <v>315</v>
      </c>
      <c r="L13" s="153">
        <f t="shared" si="0"/>
        <v>720000</v>
      </c>
      <c r="M13" s="154">
        <f>L13/C1</f>
        <v>1200</v>
      </c>
    </row>
    <row r="14" spans="1:13" ht="13" customHeight="1" x14ac:dyDescent="0.35">
      <c r="A14" s="147">
        <v>9</v>
      </c>
      <c r="B14" s="148" t="s">
        <v>86</v>
      </c>
      <c r="C14" s="149">
        <v>110</v>
      </c>
      <c r="D14" s="149">
        <v>15</v>
      </c>
      <c r="E14" s="149">
        <v>600</v>
      </c>
      <c r="F14" s="149">
        <v>600</v>
      </c>
      <c r="G14" s="151">
        <v>3</v>
      </c>
      <c r="H14" s="151">
        <f t="shared" si="1"/>
        <v>27000000</v>
      </c>
      <c r="I14" s="151">
        <f>H14/C1</f>
        <v>45000</v>
      </c>
      <c r="J14" s="149">
        <v>50</v>
      </c>
      <c r="K14" s="149">
        <f t="shared" si="2"/>
        <v>52.5</v>
      </c>
      <c r="L14" s="151">
        <f t="shared" si="0"/>
        <v>135000</v>
      </c>
      <c r="M14" s="154">
        <f>L14/C1</f>
        <v>225</v>
      </c>
    </row>
    <row r="15" spans="1:13" ht="13" customHeight="1" x14ac:dyDescent="0.35">
      <c r="A15" s="161"/>
      <c r="B15" s="162" t="s">
        <v>38</v>
      </c>
      <c r="C15" s="149"/>
      <c r="D15" s="149">
        <f>SUM(D6:D14)</f>
        <v>270</v>
      </c>
      <c r="E15" s="149"/>
      <c r="F15" s="149"/>
      <c r="G15" s="151"/>
      <c r="H15" s="151">
        <f>SUM(H6:H14)</f>
        <v>498700000</v>
      </c>
      <c r="I15" s="151">
        <f>H15/C1</f>
        <v>831166.66666666663</v>
      </c>
      <c r="J15" s="163">
        <f>SUM(J6:J14)</f>
        <v>1400</v>
      </c>
      <c r="K15" s="163">
        <f>SUM(K6:K14)</f>
        <v>2222.5</v>
      </c>
      <c r="L15" s="164">
        <f>SUM(L6:L14)</f>
        <v>9350000</v>
      </c>
      <c r="M15" s="154">
        <f>L15/C1</f>
        <v>15583.333333333334</v>
      </c>
    </row>
    <row r="16" spans="1:13" x14ac:dyDescent="0.35">
      <c r="A16" s="143"/>
      <c r="B16" s="165" t="s">
        <v>80</v>
      </c>
      <c r="C16" s="296" t="s">
        <v>87</v>
      </c>
      <c r="D16" s="296"/>
      <c r="E16" s="296"/>
      <c r="F16" s="166"/>
      <c r="G16" s="167"/>
      <c r="H16" s="167"/>
      <c r="I16" s="167"/>
      <c r="J16" s="166"/>
      <c r="K16" s="166"/>
      <c r="L16" s="167"/>
      <c r="M16" s="144"/>
    </row>
    <row r="17" spans="1:13" x14ac:dyDescent="0.35">
      <c r="A17" s="143"/>
      <c r="B17" s="165" t="s">
        <v>81</v>
      </c>
      <c r="C17" s="297" t="s">
        <v>88</v>
      </c>
      <c r="D17" s="297"/>
      <c r="E17" s="297"/>
      <c r="F17" s="141" t="s">
        <v>89</v>
      </c>
      <c r="G17" s="167">
        <f>13000*(10000*70/100)/15</f>
        <v>6066666.666666667</v>
      </c>
      <c r="H17" s="297" t="s">
        <v>90</v>
      </c>
      <c r="I17" s="297"/>
      <c r="J17" s="297"/>
      <c r="K17" s="297"/>
      <c r="L17" s="297"/>
      <c r="M17" s="144"/>
    </row>
    <row r="18" spans="1:13" x14ac:dyDescent="0.35">
      <c r="A18" s="143"/>
      <c r="B18" s="165" t="s">
        <v>82</v>
      </c>
      <c r="C18" s="297" t="s">
        <v>91</v>
      </c>
      <c r="D18" s="297"/>
      <c r="E18" s="297"/>
      <c r="F18" s="141" t="s">
        <v>89</v>
      </c>
      <c r="G18" s="167">
        <f>26000*(10000*70/100)/15</f>
        <v>12133333.333333334</v>
      </c>
      <c r="H18" s="297" t="s">
        <v>90</v>
      </c>
      <c r="I18" s="297"/>
      <c r="J18" s="297"/>
      <c r="K18" s="297"/>
      <c r="L18" s="297"/>
      <c r="M18" s="144"/>
    </row>
    <row r="19" spans="1:13" x14ac:dyDescent="0.35">
      <c r="A19" s="143"/>
      <c r="B19" s="165" t="s">
        <v>83</v>
      </c>
      <c r="C19" s="168">
        <f>((J12*70/100)/15)*104</f>
        <v>2426.6666666666665</v>
      </c>
      <c r="D19" s="141" t="s">
        <v>92</v>
      </c>
      <c r="E19" s="141"/>
      <c r="F19" s="141"/>
      <c r="G19" s="141"/>
      <c r="H19" s="141"/>
      <c r="I19" s="141"/>
      <c r="J19" s="141"/>
      <c r="K19" s="141"/>
      <c r="L19" s="141"/>
      <c r="M19" s="144"/>
    </row>
    <row r="20" spans="1:13" ht="15" thickBot="1" x14ac:dyDescent="0.4">
      <c r="A20" s="145"/>
      <c r="B20" s="293" t="s">
        <v>93</v>
      </c>
      <c r="C20" s="293"/>
      <c r="D20" s="293"/>
      <c r="E20" s="293"/>
      <c r="F20" s="142"/>
      <c r="G20" s="142"/>
      <c r="H20" s="142"/>
      <c r="I20" s="142"/>
      <c r="J20" s="142"/>
      <c r="K20" s="142"/>
      <c r="L20" s="142"/>
      <c r="M20" s="146"/>
    </row>
  </sheetData>
  <mergeCells count="19">
    <mergeCell ref="A4:A5"/>
    <mergeCell ref="M4:M5"/>
    <mergeCell ref="L4:L5"/>
    <mergeCell ref="B20:E20"/>
    <mergeCell ref="E4:E5"/>
    <mergeCell ref="G4:G5"/>
    <mergeCell ref="B4:B5"/>
    <mergeCell ref="J4:J5"/>
    <mergeCell ref="C4:C5"/>
    <mergeCell ref="D4:D5"/>
    <mergeCell ref="H4:H5"/>
    <mergeCell ref="F4:F5"/>
    <mergeCell ref="C16:E16"/>
    <mergeCell ref="C17:E17"/>
    <mergeCell ref="C18:E18"/>
    <mergeCell ref="H17:L17"/>
    <mergeCell ref="H18:L18"/>
    <mergeCell ref="K4:K5"/>
    <mergeCell ref="I4:I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"/>
  <sheetViews>
    <sheetView workbookViewId="0">
      <selection activeCell="I7" sqref="I7"/>
    </sheetView>
  </sheetViews>
  <sheetFormatPr defaultRowHeight="14.5" x14ac:dyDescent="0.35"/>
  <cols>
    <col min="1" max="1" width="6.26953125" customWidth="1"/>
    <col min="2" max="2" width="42" customWidth="1"/>
  </cols>
  <sheetData>
    <row r="1" spans="1:6" x14ac:dyDescent="0.35">
      <c r="A1" s="9" t="s">
        <v>4</v>
      </c>
      <c r="B1" s="9" t="s">
        <v>5</v>
      </c>
      <c r="C1" s="9" t="s">
        <v>6</v>
      </c>
      <c r="D1" s="10" t="s">
        <v>7</v>
      </c>
      <c r="E1" s="10" t="s">
        <v>8</v>
      </c>
      <c r="F1" s="10" t="s">
        <v>9</v>
      </c>
    </row>
    <row r="2" spans="1:6" x14ac:dyDescent="0.35">
      <c r="A2" s="12">
        <v>1</v>
      </c>
      <c r="B2" s="12" t="s">
        <v>94</v>
      </c>
      <c r="C2" s="12" t="s">
        <v>40</v>
      </c>
      <c r="D2" s="13"/>
      <c r="E2" s="14"/>
      <c r="F2" s="17">
        <v>50000</v>
      </c>
    </row>
    <row r="3" spans="1:6" x14ac:dyDescent="0.35">
      <c r="A3" s="11">
        <v>2</v>
      </c>
      <c r="B3" s="12" t="s">
        <v>95</v>
      </c>
      <c r="C3" s="12" t="s">
        <v>40</v>
      </c>
      <c r="D3" s="13"/>
      <c r="E3" s="14"/>
      <c r="F3" s="17">
        <v>100000</v>
      </c>
    </row>
    <row r="4" spans="1:6" x14ac:dyDescent="0.35">
      <c r="A4" s="302" t="s">
        <v>38</v>
      </c>
      <c r="B4" s="302"/>
      <c r="C4" s="15"/>
      <c r="D4" s="15"/>
      <c r="E4" s="15"/>
      <c r="F4" s="16">
        <f>SUM(F2:F3)</f>
        <v>150000</v>
      </c>
    </row>
  </sheetData>
  <mergeCells count="1">
    <mergeCell ref="A4:B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N63"/>
  <sheetViews>
    <sheetView topLeftCell="A53" zoomScale="130" zoomScaleNormal="130" workbookViewId="0">
      <selection activeCell="B5" sqref="B5"/>
    </sheetView>
  </sheetViews>
  <sheetFormatPr defaultColWidth="11.453125" defaultRowHeight="13" x14ac:dyDescent="0.3"/>
  <cols>
    <col min="1" max="1" width="61.81640625" style="8" customWidth="1"/>
    <col min="2" max="2" width="15.1796875" style="173" bestFit="1" customWidth="1"/>
    <col min="3" max="3" width="13" style="173" customWidth="1"/>
    <col min="4" max="4" width="11.26953125" style="173" bestFit="1" customWidth="1"/>
    <col min="5" max="11" width="10.7265625" style="173" bestFit="1" customWidth="1"/>
    <col min="12" max="12" width="10" style="8" bestFit="1" customWidth="1"/>
    <col min="13" max="13" width="11.453125" style="1"/>
    <col min="14" max="14" width="31.453125" style="1" bestFit="1" customWidth="1"/>
    <col min="15" max="16384" width="11.453125" style="1"/>
  </cols>
  <sheetData>
    <row r="1" spans="1:14" x14ac:dyDescent="0.3">
      <c r="A1" s="303"/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4" ht="14.5" x14ac:dyDescent="0.35">
      <c r="A2" s="208" t="s">
        <v>1</v>
      </c>
      <c r="B2" s="209">
        <v>600</v>
      </c>
      <c r="C2" s="210" t="s">
        <v>2</v>
      </c>
      <c r="D2" s="172"/>
      <c r="E2" s="172"/>
      <c r="F2" s="172"/>
      <c r="G2" s="172"/>
      <c r="H2" s="172"/>
      <c r="I2" s="172"/>
      <c r="J2" s="172"/>
      <c r="K2" s="172"/>
    </row>
    <row r="3" spans="1:14" ht="14.5" x14ac:dyDescent="0.35">
      <c r="A3" s="216" t="s">
        <v>96</v>
      </c>
      <c r="B3" s="221"/>
      <c r="C3" s="222"/>
      <c r="E3" s="172"/>
      <c r="F3" s="172"/>
      <c r="G3" s="172"/>
      <c r="H3" s="172"/>
      <c r="I3" s="172"/>
      <c r="J3" s="172"/>
      <c r="K3" s="172"/>
    </row>
    <row r="4" spans="1:14" ht="14.5" x14ac:dyDescent="0.35">
      <c r="A4" s="211" t="s">
        <v>97</v>
      </c>
      <c r="B4" s="223">
        <v>0</v>
      </c>
      <c r="C4" s="224" t="s">
        <v>98</v>
      </c>
      <c r="E4" s="172"/>
      <c r="F4" s="172"/>
      <c r="G4" s="172"/>
      <c r="H4" s="172"/>
      <c r="I4" s="172"/>
      <c r="J4" s="172"/>
      <c r="K4" s="172"/>
    </row>
    <row r="5" spans="1:14" ht="14.5" x14ac:dyDescent="0.35">
      <c r="A5" s="211" t="s">
        <v>99</v>
      </c>
      <c r="B5" s="223">
        <f>0.0075</f>
        <v>7.4999999999999997E-3</v>
      </c>
      <c r="C5" s="224"/>
      <c r="E5" s="172"/>
      <c r="F5" s="172"/>
      <c r="G5" s="172"/>
      <c r="H5" s="172"/>
      <c r="I5" s="172"/>
      <c r="J5" s="172"/>
      <c r="K5" s="172"/>
    </row>
    <row r="6" spans="1:14" ht="14.5" x14ac:dyDescent="0.35">
      <c r="A6" s="211" t="s">
        <v>100</v>
      </c>
      <c r="B6" s="225">
        <v>0.12</v>
      </c>
      <c r="C6" s="224" t="s">
        <v>101</v>
      </c>
      <c r="E6" s="172"/>
      <c r="F6" s="172"/>
      <c r="G6" s="172"/>
      <c r="H6" s="172"/>
      <c r="I6" s="172"/>
      <c r="J6" s="172"/>
      <c r="K6" s="172"/>
    </row>
    <row r="7" spans="1:14" ht="14.5" x14ac:dyDescent="0.35">
      <c r="A7" s="211" t="s">
        <v>102</v>
      </c>
      <c r="B7" s="225">
        <v>0.2</v>
      </c>
      <c r="C7" s="224" t="s">
        <v>103</v>
      </c>
    </row>
    <row r="8" spans="1:14" x14ac:dyDescent="0.3">
      <c r="A8" s="207"/>
      <c r="B8" s="226"/>
      <c r="C8" s="227"/>
    </row>
    <row r="9" spans="1:14" x14ac:dyDescent="0.3">
      <c r="A9" s="207"/>
      <c r="B9" s="226"/>
      <c r="C9" s="227"/>
    </row>
    <row r="10" spans="1:14" x14ac:dyDescent="0.3">
      <c r="A10" s="182" t="s">
        <v>104</v>
      </c>
      <c r="B10" s="174">
        <v>44470</v>
      </c>
      <c r="C10" s="175">
        <v>44926</v>
      </c>
      <c r="D10" s="175">
        <v>45291</v>
      </c>
      <c r="E10" s="175">
        <v>45657</v>
      </c>
      <c r="F10" s="175">
        <v>46022</v>
      </c>
      <c r="G10" s="175">
        <v>46387</v>
      </c>
      <c r="H10" s="175">
        <v>46752</v>
      </c>
      <c r="I10" s="175">
        <v>47118</v>
      </c>
      <c r="J10" s="175">
        <v>47483</v>
      </c>
      <c r="K10" s="175">
        <v>47848</v>
      </c>
      <c r="L10" s="8" t="s">
        <v>105</v>
      </c>
    </row>
    <row r="11" spans="1:14" x14ac:dyDescent="0.3">
      <c r="A11" s="183" t="s">
        <v>106</v>
      </c>
      <c r="B11" s="185">
        <f>1000*B2</f>
        <v>600000</v>
      </c>
      <c r="C11" s="185">
        <f>250*B2</f>
        <v>150000</v>
      </c>
      <c r="D11" s="185">
        <f>C11</f>
        <v>150000</v>
      </c>
      <c r="E11" s="185">
        <f>Gross_Farm_Revenues!L15</f>
        <v>9350000</v>
      </c>
      <c r="F11" s="185">
        <f>Gross_Farm_Revenues!L15</f>
        <v>9350000</v>
      </c>
      <c r="G11" s="185">
        <v>9350000</v>
      </c>
      <c r="H11" s="185">
        <v>9350000</v>
      </c>
      <c r="I11" s="185">
        <v>9350000</v>
      </c>
      <c r="J11" s="185">
        <v>9350000</v>
      </c>
      <c r="K11" s="185">
        <v>9350000</v>
      </c>
    </row>
    <row r="12" spans="1:14" x14ac:dyDescent="0.3">
      <c r="A12" s="184" t="s">
        <v>107</v>
      </c>
      <c r="B12" s="185">
        <f>B11</f>
        <v>600000</v>
      </c>
      <c r="C12" s="230">
        <f>C11</f>
        <v>150000</v>
      </c>
      <c r="D12" s="230">
        <f>D11</f>
        <v>150000</v>
      </c>
      <c r="E12" s="230">
        <f>Gross_Farm_Revenues!L15</f>
        <v>9350000</v>
      </c>
      <c r="F12" s="230">
        <f>Gross_Farm_Revenues!L15</f>
        <v>9350000</v>
      </c>
      <c r="G12" s="230">
        <f t="shared" ref="G12:K12" si="0">SUM(G11:G11)</f>
        <v>9350000</v>
      </c>
      <c r="H12" s="230">
        <f t="shared" si="0"/>
        <v>9350000</v>
      </c>
      <c r="I12" s="230">
        <f t="shared" si="0"/>
        <v>9350000</v>
      </c>
      <c r="J12" s="230">
        <f t="shared" si="0"/>
        <v>9350000</v>
      </c>
      <c r="K12" s="230">
        <f t="shared" si="0"/>
        <v>9350000</v>
      </c>
      <c r="L12" s="8" t="s">
        <v>108</v>
      </c>
    </row>
    <row r="13" spans="1:14" x14ac:dyDescent="0.3">
      <c r="A13" s="186" t="s">
        <v>94</v>
      </c>
      <c r="B13" s="231">
        <v>50000</v>
      </c>
      <c r="C13" s="231">
        <v>50000</v>
      </c>
      <c r="D13" s="231">
        <v>50000</v>
      </c>
      <c r="E13" s="231">
        <v>50000</v>
      </c>
      <c r="F13" s="231">
        <v>50000</v>
      </c>
      <c r="G13" s="231">
        <v>50000</v>
      </c>
      <c r="H13" s="231">
        <v>50000</v>
      </c>
      <c r="I13" s="231">
        <v>50000</v>
      </c>
      <c r="J13" s="231">
        <v>50000</v>
      </c>
      <c r="K13" s="231">
        <v>50000</v>
      </c>
      <c r="N13" s="2"/>
    </row>
    <row r="14" spans="1:14" x14ac:dyDescent="0.3">
      <c r="A14" s="186" t="s">
        <v>95</v>
      </c>
      <c r="B14" s="231">
        <v>100000</v>
      </c>
      <c r="C14" s="231">
        <v>100000</v>
      </c>
      <c r="D14" s="231">
        <v>100000</v>
      </c>
      <c r="E14" s="231">
        <v>100000</v>
      </c>
      <c r="F14" s="231">
        <v>100000</v>
      </c>
      <c r="G14" s="231">
        <v>100000</v>
      </c>
      <c r="H14" s="231">
        <v>100000</v>
      </c>
      <c r="I14" s="231">
        <v>100000</v>
      </c>
      <c r="J14" s="231">
        <v>100000</v>
      </c>
      <c r="K14" s="231">
        <v>100000</v>
      </c>
      <c r="N14" s="3"/>
    </row>
    <row r="15" spans="1:14" x14ac:dyDescent="0.3">
      <c r="A15" s="187" t="s">
        <v>109</v>
      </c>
      <c r="B15" s="220">
        <f t="shared" ref="B15:K15" si="1">SUM(B13:B14)</f>
        <v>150000</v>
      </c>
      <c r="C15" s="220">
        <f t="shared" si="1"/>
        <v>150000</v>
      </c>
      <c r="D15" s="220">
        <f t="shared" si="1"/>
        <v>150000</v>
      </c>
      <c r="E15" s="220">
        <f t="shared" si="1"/>
        <v>150000</v>
      </c>
      <c r="F15" s="220">
        <f t="shared" si="1"/>
        <v>150000</v>
      </c>
      <c r="G15" s="220">
        <f t="shared" si="1"/>
        <v>150000</v>
      </c>
      <c r="H15" s="220">
        <f t="shared" si="1"/>
        <v>150000</v>
      </c>
      <c r="I15" s="220">
        <f t="shared" si="1"/>
        <v>150000</v>
      </c>
      <c r="J15" s="220">
        <f t="shared" si="1"/>
        <v>150000</v>
      </c>
      <c r="K15" s="220">
        <f t="shared" si="1"/>
        <v>150000</v>
      </c>
      <c r="L15" s="8" t="s">
        <v>110</v>
      </c>
      <c r="N15" s="4"/>
    </row>
    <row r="16" spans="1:14" x14ac:dyDescent="0.3">
      <c r="A16" s="187" t="s">
        <v>111</v>
      </c>
      <c r="B16" s="220">
        <f t="shared" ref="B16:K16" si="2">B12-B15</f>
        <v>450000</v>
      </c>
      <c r="C16" s="220">
        <f t="shared" si="2"/>
        <v>0</v>
      </c>
      <c r="D16" s="220">
        <f t="shared" si="2"/>
        <v>0</v>
      </c>
      <c r="E16" s="220">
        <f t="shared" si="2"/>
        <v>9200000</v>
      </c>
      <c r="F16" s="220">
        <f t="shared" si="2"/>
        <v>9200000</v>
      </c>
      <c r="G16" s="220">
        <f t="shared" si="2"/>
        <v>9200000</v>
      </c>
      <c r="H16" s="220">
        <f t="shared" si="2"/>
        <v>9200000</v>
      </c>
      <c r="I16" s="220">
        <f t="shared" si="2"/>
        <v>9200000</v>
      </c>
      <c r="J16" s="220">
        <f t="shared" si="2"/>
        <v>9200000</v>
      </c>
      <c r="K16" s="220">
        <f t="shared" si="2"/>
        <v>9200000</v>
      </c>
      <c r="L16" s="8" t="s">
        <v>112</v>
      </c>
      <c r="N16" s="3"/>
    </row>
    <row r="17" spans="1:14" s="65" customFormat="1" ht="13.5" customHeight="1" x14ac:dyDescent="0.35">
      <c r="A17" s="188" t="s">
        <v>113</v>
      </c>
      <c r="B17" s="189">
        <v>1777790</v>
      </c>
      <c r="C17" s="190"/>
      <c r="D17" s="190"/>
      <c r="E17" s="190"/>
      <c r="F17" s="190"/>
      <c r="G17" s="190"/>
      <c r="H17" s="190"/>
      <c r="I17" s="190"/>
      <c r="J17" s="190"/>
      <c r="K17" s="190"/>
      <c r="N17" s="66"/>
    </row>
    <row r="18" spans="1:14" s="65" customFormat="1" ht="14.5" x14ac:dyDescent="0.35">
      <c r="A18" s="191" t="s">
        <v>114</v>
      </c>
      <c r="B18" s="189">
        <f>B17</f>
        <v>1777790</v>
      </c>
      <c r="C18" s="190"/>
      <c r="D18" s="190"/>
      <c r="E18" s="190"/>
      <c r="F18" s="190"/>
      <c r="G18" s="190"/>
      <c r="H18" s="190"/>
      <c r="I18" s="190"/>
      <c r="J18" s="190"/>
      <c r="K18" s="190"/>
      <c r="N18" s="66"/>
    </row>
    <row r="19" spans="1:14" x14ac:dyDescent="0.3">
      <c r="A19" s="192" t="s">
        <v>39</v>
      </c>
      <c r="B19" s="232">
        <v>19754.39</v>
      </c>
      <c r="C19" s="232">
        <v>19754.39</v>
      </c>
      <c r="D19" s="232">
        <v>19754.39</v>
      </c>
      <c r="E19" s="232">
        <v>19754.39</v>
      </c>
      <c r="F19" s="232">
        <v>19754.39</v>
      </c>
      <c r="G19" s="232">
        <v>19754.39</v>
      </c>
      <c r="H19" s="232">
        <v>19754.39</v>
      </c>
      <c r="I19" s="232">
        <v>19754.39</v>
      </c>
      <c r="J19" s="232">
        <v>19754.39</v>
      </c>
      <c r="K19" s="232">
        <v>19754.39</v>
      </c>
      <c r="N19" s="5"/>
    </row>
    <row r="20" spans="1:14" x14ac:dyDescent="0.3">
      <c r="A20" s="193" t="s">
        <v>115</v>
      </c>
      <c r="B20" s="233">
        <v>444418</v>
      </c>
      <c r="C20" s="233">
        <v>444418</v>
      </c>
      <c r="D20" s="233">
        <v>444418</v>
      </c>
      <c r="E20" s="233">
        <v>444418</v>
      </c>
      <c r="F20" s="233">
        <v>444418</v>
      </c>
      <c r="G20" s="233">
        <v>444418</v>
      </c>
      <c r="H20" s="233">
        <v>444418</v>
      </c>
      <c r="I20" s="233">
        <v>444418</v>
      </c>
      <c r="J20" s="233">
        <v>444418</v>
      </c>
      <c r="K20" s="233">
        <v>444418</v>
      </c>
      <c r="N20" s="4"/>
    </row>
    <row r="21" spans="1:14" x14ac:dyDescent="0.3">
      <c r="A21" s="193" t="s">
        <v>116</v>
      </c>
      <c r="B21" s="233">
        <v>73990.682499999995</v>
      </c>
      <c r="C21" s="233">
        <v>73990.682499999995</v>
      </c>
      <c r="D21" s="233">
        <v>73990.682499999995</v>
      </c>
      <c r="E21" s="233">
        <v>73990.682499999995</v>
      </c>
      <c r="F21" s="233">
        <v>73990.682499999995</v>
      </c>
      <c r="G21" s="233">
        <v>73990.682499999995</v>
      </c>
      <c r="H21" s="233">
        <v>73990.682499999995</v>
      </c>
      <c r="I21" s="233">
        <v>73990.682499999995</v>
      </c>
      <c r="J21" s="233">
        <v>73990.682499999995</v>
      </c>
      <c r="K21" s="233">
        <v>73990.682499999995</v>
      </c>
      <c r="N21" s="6"/>
    </row>
    <row r="22" spans="1:14" x14ac:dyDescent="0.3">
      <c r="A22" s="193" t="s">
        <v>117</v>
      </c>
      <c r="B22" s="233">
        <v>0</v>
      </c>
      <c r="C22" s="233">
        <v>20700</v>
      </c>
      <c r="D22" s="233">
        <f>C22</f>
        <v>20700</v>
      </c>
      <c r="E22" s="233">
        <f t="shared" ref="E22:J22" si="3">D22</f>
        <v>20700</v>
      </c>
      <c r="F22" s="233">
        <f t="shared" si="3"/>
        <v>20700</v>
      </c>
      <c r="G22" s="233">
        <f t="shared" si="3"/>
        <v>20700</v>
      </c>
      <c r="H22" s="233">
        <f t="shared" si="3"/>
        <v>20700</v>
      </c>
      <c r="I22" s="233">
        <f t="shared" si="3"/>
        <v>20700</v>
      </c>
      <c r="J22" s="233">
        <f t="shared" si="3"/>
        <v>20700</v>
      </c>
      <c r="K22" s="233">
        <f>J22</f>
        <v>20700</v>
      </c>
      <c r="N22" s="6"/>
    </row>
    <row r="23" spans="1:14" x14ac:dyDescent="0.3">
      <c r="A23" s="193" t="s">
        <v>52</v>
      </c>
      <c r="B23" s="233">
        <v>504000</v>
      </c>
      <c r="C23" s="233">
        <v>504000</v>
      </c>
      <c r="D23" s="233">
        <v>504000</v>
      </c>
      <c r="E23" s="233">
        <v>504000</v>
      </c>
      <c r="F23" s="233">
        <v>504000</v>
      </c>
      <c r="G23" s="233">
        <v>504000</v>
      </c>
      <c r="H23" s="233">
        <v>504000</v>
      </c>
      <c r="I23" s="233">
        <v>504000</v>
      </c>
      <c r="J23" s="233">
        <v>504000</v>
      </c>
      <c r="K23" s="233">
        <v>504000</v>
      </c>
      <c r="N23" s="5"/>
    </row>
    <row r="24" spans="1:14" x14ac:dyDescent="0.3">
      <c r="A24" s="193" t="s">
        <v>118</v>
      </c>
      <c r="B24" s="233">
        <v>63771.78</v>
      </c>
      <c r="C24" s="233">
        <v>63771.78</v>
      </c>
      <c r="D24" s="233">
        <v>63771.78</v>
      </c>
      <c r="E24" s="233">
        <v>0</v>
      </c>
      <c r="F24" s="233">
        <f t="shared" ref="F24:K24" si="4">E24</f>
        <v>0</v>
      </c>
      <c r="G24" s="233">
        <f t="shared" si="4"/>
        <v>0</v>
      </c>
      <c r="H24" s="233">
        <f t="shared" si="4"/>
        <v>0</v>
      </c>
      <c r="I24" s="233">
        <f t="shared" si="4"/>
        <v>0</v>
      </c>
      <c r="J24" s="233">
        <f t="shared" si="4"/>
        <v>0</v>
      </c>
      <c r="K24" s="233">
        <f t="shared" si="4"/>
        <v>0</v>
      </c>
      <c r="N24" s="5"/>
    </row>
    <row r="25" spans="1:14" x14ac:dyDescent="0.3">
      <c r="A25" s="193" t="s">
        <v>56</v>
      </c>
      <c r="B25" s="233">
        <v>0</v>
      </c>
      <c r="C25" s="233">
        <v>112663.49</v>
      </c>
      <c r="D25" s="233">
        <v>112663.49</v>
      </c>
      <c r="E25" s="233">
        <v>112663.49</v>
      </c>
      <c r="F25" s="233">
        <v>112663.49</v>
      </c>
      <c r="G25" s="233">
        <v>112663.49</v>
      </c>
      <c r="H25" s="233">
        <v>112663.49</v>
      </c>
      <c r="I25" s="233">
        <v>112663.49</v>
      </c>
      <c r="J25" s="233">
        <v>112663.49</v>
      </c>
      <c r="K25" s="233">
        <v>112663.49</v>
      </c>
      <c r="N25" s="3"/>
    </row>
    <row r="26" spans="1:14" x14ac:dyDescent="0.3">
      <c r="A26" s="194" t="s">
        <v>119</v>
      </c>
      <c r="B26" s="234">
        <f>SUM(B19:B25)</f>
        <v>1105934.8525</v>
      </c>
      <c r="C26" s="234">
        <f t="shared" ref="C26:K26" si="5">SUM(C19:C25)</f>
        <v>1239298.3425</v>
      </c>
      <c r="D26" s="234">
        <f t="shared" si="5"/>
        <v>1239298.3425</v>
      </c>
      <c r="E26" s="234">
        <f t="shared" si="5"/>
        <v>1175526.5625</v>
      </c>
      <c r="F26" s="234">
        <f t="shared" si="5"/>
        <v>1175526.5625</v>
      </c>
      <c r="G26" s="234">
        <f t="shared" si="5"/>
        <v>1175526.5625</v>
      </c>
      <c r="H26" s="234">
        <f t="shared" si="5"/>
        <v>1175526.5625</v>
      </c>
      <c r="I26" s="234">
        <f>SUM(I19:I25)</f>
        <v>1175526.5625</v>
      </c>
      <c r="J26" s="234">
        <f t="shared" si="5"/>
        <v>1175526.5625</v>
      </c>
      <c r="K26" s="234">
        <f t="shared" si="5"/>
        <v>1175526.5625</v>
      </c>
      <c r="L26" s="8" t="s">
        <v>120</v>
      </c>
      <c r="N26" s="3"/>
    </row>
    <row r="27" spans="1:14" x14ac:dyDescent="0.3">
      <c r="A27" s="195" t="s">
        <v>121</v>
      </c>
      <c r="B27" s="235">
        <f t="shared" ref="B27:K27" si="6">B16-B18-B26</f>
        <v>-2433724.8525</v>
      </c>
      <c r="C27" s="235">
        <f t="shared" si="6"/>
        <v>-1239298.3425</v>
      </c>
      <c r="D27" s="235">
        <f t="shared" si="6"/>
        <v>-1239298.3425</v>
      </c>
      <c r="E27" s="235">
        <f t="shared" si="6"/>
        <v>8024473.4375</v>
      </c>
      <c r="F27" s="235">
        <f t="shared" si="6"/>
        <v>8024473.4375</v>
      </c>
      <c r="G27" s="235">
        <f t="shared" si="6"/>
        <v>8024473.4375</v>
      </c>
      <c r="H27" s="235">
        <f t="shared" si="6"/>
        <v>8024473.4375</v>
      </c>
      <c r="I27" s="235">
        <f t="shared" si="6"/>
        <v>8024473.4375</v>
      </c>
      <c r="J27" s="235">
        <f t="shared" si="6"/>
        <v>8024473.4375</v>
      </c>
      <c r="K27" s="235">
        <f t="shared" si="6"/>
        <v>8024473.4375</v>
      </c>
      <c r="L27" s="8" t="s">
        <v>122</v>
      </c>
      <c r="N27" s="6"/>
    </row>
    <row r="28" spans="1:14" x14ac:dyDescent="0.3">
      <c r="A28" s="196" t="s">
        <v>123</v>
      </c>
      <c r="B28" s="236">
        <v>105558</v>
      </c>
      <c r="C28" s="236">
        <v>105558</v>
      </c>
      <c r="D28" s="236">
        <v>105558</v>
      </c>
      <c r="E28" s="236">
        <v>105558</v>
      </c>
      <c r="F28" s="236">
        <v>105558</v>
      </c>
      <c r="G28" s="236">
        <v>105558</v>
      </c>
      <c r="H28" s="236">
        <v>88358</v>
      </c>
      <c r="I28" s="236">
        <v>88358</v>
      </c>
      <c r="J28" s="236">
        <v>88358</v>
      </c>
      <c r="K28" s="236">
        <v>88358</v>
      </c>
      <c r="N28" s="3"/>
    </row>
    <row r="29" spans="1:14" x14ac:dyDescent="0.3">
      <c r="A29" s="197" t="s">
        <v>124</v>
      </c>
      <c r="B29" s="237">
        <f t="shared" ref="B29:K29" si="7">SUM(B28:B28)</f>
        <v>105558</v>
      </c>
      <c r="C29" s="237">
        <f t="shared" si="7"/>
        <v>105558</v>
      </c>
      <c r="D29" s="237">
        <f t="shared" si="7"/>
        <v>105558</v>
      </c>
      <c r="E29" s="237">
        <f t="shared" si="7"/>
        <v>105558</v>
      </c>
      <c r="F29" s="237">
        <f t="shared" si="7"/>
        <v>105558</v>
      </c>
      <c r="G29" s="237">
        <f t="shared" si="7"/>
        <v>105558</v>
      </c>
      <c r="H29" s="237">
        <f t="shared" si="7"/>
        <v>88358</v>
      </c>
      <c r="I29" s="237">
        <f t="shared" si="7"/>
        <v>88358</v>
      </c>
      <c r="J29" s="237">
        <f t="shared" si="7"/>
        <v>88358</v>
      </c>
      <c r="K29" s="237">
        <f t="shared" si="7"/>
        <v>88358</v>
      </c>
      <c r="N29" s="6"/>
    </row>
    <row r="30" spans="1:14" x14ac:dyDescent="0.3">
      <c r="A30" s="198" t="s">
        <v>125</v>
      </c>
      <c r="B30" s="238">
        <f t="shared" ref="B30:K30" si="8">B27-B29</f>
        <v>-2539282.8525</v>
      </c>
      <c r="C30" s="238">
        <f t="shared" si="8"/>
        <v>-1344856.3425</v>
      </c>
      <c r="D30" s="238">
        <f t="shared" si="8"/>
        <v>-1344856.3425</v>
      </c>
      <c r="E30" s="238">
        <f t="shared" si="8"/>
        <v>7918915.4375</v>
      </c>
      <c r="F30" s="238">
        <f t="shared" si="8"/>
        <v>7918915.4375</v>
      </c>
      <c r="G30" s="238">
        <f t="shared" si="8"/>
        <v>7918915.4375</v>
      </c>
      <c r="H30" s="238">
        <f t="shared" si="8"/>
        <v>7936115.4375</v>
      </c>
      <c r="I30" s="238">
        <f t="shared" si="8"/>
        <v>7936115.4375</v>
      </c>
      <c r="J30" s="238">
        <f t="shared" si="8"/>
        <v>7936115.4375</v>
      </c>
      <c r="K30" s="238">
        <f t="shared" si="8"/>
        <v>7936115.4375</v>
      </c>
      <c r="L30" s="8" t="s">
        <v>126</v>
      </c>
      <c r="N30" s="7"/>
    </row>
    <row r="31" spans="1:14" x14ac:dyDescent="0.3">
      <c r="A31" s="199" t="s">
        <v>127</v>
      </c>
      <c r="B31" s="200">
        <f t="shared" ref="B31:K31" si="9">0%*B30</f>
        <v>0</v>
      </c>
      <c r="C31" s="200">
        <f t="shared" si="9"/>
        <v>0</v>
      </c>
      <c r="D31" s="200">
        <f t="shared" si="9"/>
        <v>0</v>
      </c>
      <c r="E31" s="200">
        <f t="shared" si="9"/>
        <v>0</v>
      </c>
      <c r="F31" s="200">
        <f t="shared" si="9"/>
        <v>0</v>
      </c>
      <c r="G31" s="200">
        <f t="shared" si="9"/>
        <v>0</v>
      </c>
      <c r="H31" s="200">
        <f t="shared" si="9"/>
        <v>0</v>
      </c>
      <c r="I31" s="200">
        <f t="shared" si="9"/>
        <v>0</v>
      </c>
      <c r="J31" s="200">
        <f t="shared" si="9"/>
        <v>0</v>
      </c>
      <c r="K31" s="200">
        <f t="shared" si="9"/>
        <v>0</v>
      </c>
    </row>
    <row r="32" spans="1:14" x14ac:dyDescent="0.3">
      <c r="A32" s="64" t="s">
        <v>128</v>
      </c>
      <c r="B32" s="201">
        <f t="shared" ref="B32:K32" si="10">B30-B31</f>
        <v>-2539282.8525</v>
      </c>
      <c r="C32" s="201">
        <f t="shared" si="10"/>
        <v>-1344856.3425</v>
      </c>
      <c r="D32" s="201">
        <f t="shared" si="10"/>
        <v>-1344856.3425</v>
      </c>
      <c r="E32" s="201">
        <f t="shared" si="10"/>
        <v>7918915.4375</v>
      </c>
      <c r="F32" s="201">
        <f t="shared" si="10"/>
        <v>7918915.4375</v>
      </c>
      <c r="G32" s="201">
        <f t="shared" si="10"/>
        <v>7918915.4375</v>
      </c>
      <c r="H32" s="201">
        <f t="shared" si="10"/>
        <v>7936115.4375</v>
      </c>
      <c r="I32" s="201">
        <f t="shared" si="10"/>
        <v>7936115.4375</v>
      </c>
      <c r="J32" s="201">
        <f t="shared" si="10"/>
        <v>7936115.4375</v>
      </c>
      <c r="K32" s="201">
        <f t="shared" si="10"/>
        <v>7936115.4375</v>
      </c>
    </row>
    <row r="33" spans="1:12" x14ac:dyDescent="0.3">
      <c r="A33" s="64" t="s">
        <v>129</v>
      </c>
      <c r="B33" s="201">
        <f>B32</f>
        <v>-2539282.8525</v>
      </c>
      <c r="C33" s="201">
        <f>SUM(B32:C32)</f>
        <v>-3884139.1950000003</v>
      </c>
      <c r="D33" s="201">
        <f>B32+C32+D32</f>
        <v>-5228995.5375000006</v>
      </c>
      <c r="E33" s="201">
        <f>B32+C32+D32+E32</f>
        <v>2689919.8999999994</v>
      </c>
      <c r="F33" s="201">
        <f>B32+C32+D32+E32+F32</f>
        <v>10608835.337499999</v>
      </c>
      <c r="G33" s="201">
        <f>SUM(B32:G32)</f>
        <v>18527750.774999999</v>
      </c>
      <c r="H33" s="201">
        <f>SUM(B32:H32)</f>
        <v>26463866.212499999</v>
      </c>
      <c r="I33" s="201">
        <f>SUM(B32:I32)</f>
        <v>34399981.649999999</v>
      </c>
      <c r="J33" s="201">
        <f>SUM(B32:J32)</f>
        <v>42336097.087499999</v>
      </c>
      <c r="K33" s="201">
        <f>SUM(B32:K32)</f>
        <v>50272212.524999999</v>
      </c>
    </row>
    <row r="34" spans="1:12" x14ac:dyDescent="0.3">
      <c r="A34" s="64" t="s">
        <v>130</v>
      </c>
      <c r="B34" s="201">
        <f t="shared" ref="B34:K34" si="11">B32+B29</f>
        <v>-2433724.8525</v>
      </c>
      <c r="C34" s="201">
        <f t="shared" si="11"/>
        <v>-1239298.3425</v>
      </c>
      <c r="D34" s="201">
        <f t="shared" si="11"/>
        <v>-1239298.3425</v>
      </c>
      <c r="E34" s="201">
        <f t="shared" si="11"/>
        <v>8024473.4375</v>
      </c>
      <c r="F34" s="201">
        <f t="shared" si="11"/>
        <v>8024473.4375</v>
      </c>
      <c r="G34" s="201">
        <f t="shared" si="11"/>
        <v>8024473.4375</v>
      </c>
      <c r="H34" s="201">
        <f t="shared" si="11"/>
        <v>8024473.4375</v>
      </c>
      <c r="I34" s="201">
        <f t="shared" si="11"/>
        <v>8024473.4375</v>
      </c>
      <c r="J34" s="201">
        <f t="shared" si="11"/>
        <v>8024473.4375</v>
      </c>
      <c r="K34" s="201">
        <f t="shared" si="11"/>
        <v>8024473.4375</v>
      </c>
    </row>
    <row r="35" spans="1:12" x14ac:dyDescent="0.3">
      <c r="A35" s="64" t="s">
        <v>131</v>
      </c>
      <c r="B35" s="201">
        <f>B34</f>
        <v>-2433724.8525</v>
      </c>
      <c r="C35" s="201">
        <f>B34+C34</f>
        <v>-3673023.1950000003</v>
      </c>
      <c r="D35" s="201">
        <f>B34+C34+D34</f>
        <v>-4912321.5375000006</v>
      </c>
      <c r="E35" s="201">
        <f>B34+C34+D34+E34</f>
        <v>3112151.8999999994</v>
      </c>
      <c r="F35" s="201">
        <f>B34+C34+D34+E34+F34</f>
        <v>11136625.337499999</v>
      </c>
      <c r="G35" s="201">
        <f>SUM(B34:G34)</f>
        <v>19161098.774999999</v>
      </c>
      <c r="H35" s="201">
        <f>SUM(B34:H34)</f>
        <v>27185572.212499999</v>
      </c>
      <c r="I35" s="201">
        <f>SUM(B34:I34)</f>
        <v>35210045.649999999</v>
      </c>
      <c r="J35" s="201">
        <f>SUM(B34:J34)</f>
        <v>43234519.087499999</v>
      </c>
      <c r="K35" s="201">
        <f>SUM(B34:K34)</f>
        <v>51258992.524999999</v>
      </c>
    </row>
    <row r="36" spans="1:12" s="137" customFormat="1" x14ac:dyDescent="0.3">
      <c r="A36" s="71" t="s">
        <v>132</v>
      </c>
      <c r="B36" s="202">
        <f>B34/B2</f>
        <v>-4056.2080875000001</v>
      </c>
      <c r="C36" s="202">
        <f>C34/B2</f>
        <v>-2065.4972375000002</v>
      </c>
      <c r="D36" s="202">
        <f>D34/B2</f>
        <v>-2065.4972375000002</v>
      </c>
      <c r="E36" s="202">
        <f>E34/B2</f>
        <v>13374.122395833334</v>
      </c>
      <c r="F36" s="202">
        <f>F34/B2</f>
        <v>13374.122395833334</v>
      </c>
      <c r="G36" s="202">
        <f>G34/B2</f>
        <v>13374.122395833334</v>
      </c>
      <c r="H36" s="202">
        <f>H34/B2</f>
        <v>13374.122395833334</v>
      </c>
      <c r="I36" s="202">
        <f>I34/B2</f>
        <v>13374.122395833334</v>
      </c>
      <c r="J36" s="202">
        <f>J34/B2</f>
        <v>13374.122395833334</v>
      </c>
      <c r="K36" s="202">
        <f>K34/B2</f>
        <v>13374.122395833334</v>
      </c>
      <c r="L36" s="100"/>
    </row>
    <row r="37" spans="1:12" x14ac:dyDescent="0.3">
      <c r="A37" s="8" t="s">
        <v>133</v>
      </c>
      <c r="B37" s="176"/>
      <c r="C37" s="177"/>
      <c r="D37" s="177"/>
      <c r="E37" s="177"/>
      <c r="F37" s="177"/>
      <c r="G37" s="177"/>
      <c r="H37" s="177"/>
      <c r="I37" s="177"/>
      <c r="J37" s="177"/>
      <c r="K37" s="177"/>
    </row>
    <row r="38" spans="1:12" x14ac:dyDescent="0.3">
      <c r="B38" s="176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2" x14ac:dyDescent="0.3">
      <c r="B39" s="176"/>
      <c r="C39" s="177"/>
      <c r="D39" s="177"/>
      <c r="E39" s="177"/>
      <c r="F39" s="177"/>
      <c r="G39" s="177"/>
      <c r="H39" s="177"/>
      <c r="I39" s="177"/>
      <c r="J39" s="177"/>
      <c r="K39" s="177"/>
    </row>
    <row r="40" spans="1:12" ht="14.5" x14ac:dyDescent="0.35">
      <c r="A40" s="217" t="s">
        <v>134</v>
      </c>
      <c r="B40" s="212">
        <f>XIRR(B36:K36,B10:K10)</f>
        <v>0.69223490953445443</v>
      </c>
      <c r="C40" s="228"/>
    </row>
    <row r="41" spans="1:12" ht="14.5" x14ac:dyDescent="0.35">
      <c r="A41" s="217" t="s">
        <v>135</v>
      </c>
      <c r="B41" s="218">
        <f>XNPV(B5,B36:K36,B10:K10)</f>
        <v>81221.609653551684</v>
      </c>
      <c r="C41" s="228"/>
    </row>
    <row r="42" spans="1:12" ht="14.5" x14ac:dyDescent="0.35">
      <c r="A42" s="217" t="s">
        <v>136</v>
      </c>
      <c r="B42" s="219">
        <f>XNPV(B6,B36:K36,B10:K10)</f>
        <v>39832.806673448984</v>
      </c>
      <c r="C42" s="228"/>
    </row>
    <row r="43" spans="1:12" ht="14.5" x14ac:dyDescent="0.35">
      <c r="A43" s="217" t="s">
        <v>137</v>
      </c>
      <c r="B43" s="218">
        <f>XNPV(B7,B36:K36,B10:K10)</f>
        <v>24898.187662361994</v>
      </c>
      <c r="C43" s="228"/>
    </row>
    <row r="44" spans="1:12" ht="14.5" x14ac:dyDescent="0.35">
      <c r="A44" s="214" t="s">
        <v>138</v>
      </c>
      <c r="B44" s="213">
        <f>(1500-C51)/D52+3</f>
        <v>3.7243243538370798</v>
      </c>
      <c r="C44" s="229">
        <f>B44*12</f>
        <v>44.691892246044958</v>
      </c>
    </row>
    <row r="47" spans="1:12" x14ac:dyDescent="0.3">
      <c r="C47" s="179"/>
    </row>
    <row r="48" spans="1:12" x14ac:dyDescent="0.3">
      <c r="B48" s="23" t="s">
        <v>139</v>
      </c>
      <c r="C48" s="139" t="s">
        <v>140</v>
      </c>
      <c r="D48" s="139" t="s">
        <v>141</v>
      </c>
    </row>
    <row r="49" spans="1:4" x14ac:dyDescent="0.3">
      <c r="B49" s="23" t="s">
        <v>142</v>
      </c>
      <c r="C49" s="139">
        <f>B35/B2</f>
        <v>-4056.2080875000001</v>
      </c>
      <c r="D49" s="139">
        <f>B36</f>
        <v>-4056.2080875000001</v>
      </c>
    </row>
    <row r="50" spans="1:4" x14ac:dyDescent="0.3">
      <c r="B50" s="23" t="s">
        <v>143</v>
      </c>
      <c r="C50" s="139">
        <f>C35/B2</f>
        <v>-6121.7053250000008</v>
      </c>
      <c r="D50" s="139">
        <f>C36</f>
        <v>-2065.4972375000002</v>
      </c>
    </row>
    <row r="51" spans="1:4" x14ac:dyDescent="0.3">
      <c r="B51" s="23" t="s">
        <v>144</v>
      </c>
      <c r="C51" s="139">
        <f>D35/B2</f>
        <v>-8187.2025625000006</v>
      </c>
      <c r="D51" s="139">
        <f>D36</f>
        <v>-2065.4972375000002</v>
      </c>
    </row>
    <row r="52" spans="1:4" x14ac:dyDescent="0.3">
      <c r="B52" s="23" t="s">
        <v>145</v>
      </c>
      <c r="C52" s="139">
        <f>E35/B2</f>
        <v>5186.9198333333325</v>
      </c>
      <c r="D52" s="139">
        <f>E36</f>
        <v>13374.122395833334</v>
      </c>
    </row>
    <row r="53" spans="1:4" x14ac:dyDescent="0.3">
      <c r="B53" s="23" t="s">
        <v>146</v>
      </c>
      <c r="C53" s="139">
        <f>F35/B2</f>
        <v>18561.042229166665</v>
      </c>
      <c r="D53" s="139">
        <f>F36</f>
        <v>13374.122395833334</v>
      </c>
    </row>
    <row r="57" spans="1:4" x14ac:dyDescent="0.3">
      <c r="B57" s="178"/>
    </row>
    <row r="58" spans="1:4" x14ac:dyDescent="0.3">
      <c r="C58" s="178"/>
    </row>
    <row r="59" spans="1:4" ht="14.5" x14ac:dyDescent="0.35">
      <c r="A59" s="215"/>
      <c r="B59" s="228"/>
      <c r="C59" s="228"/>
    </row>
    <row r="60" spans="1:4" ht="14.5" x14ac:dyDescent="0.35">
      <c r="A60" s="215"/>
      <c r="B60" s="228"/>
      <c r="C60" s="228"/>
    </row>
    <row r="61" spans="1:4" ht="14.5" x14ac:dyDescent="0.35">
      <c r="A61" s="215"/>
      <c r="B61" s="228"/>
      <c r="C61" s="228"/>
    </row>
    <row r="62" spans="1:4" ht="14.5" x14ac:dyDescent="0.35">
      <c r="A62" s="215"/>
      <c r="B62" s="228"/>
      <c r="C62" s="228"/>
    </row>
    <row r="63" spans="1:4" ht="14.5" x14ac:dyDescent="0.35">
      <c r="A63" s="215"/>
      <c r="B63" s="228"/>
      <c r="C63" s="228"/>
    </row>
  </sheetData>
  <mergeCells count="1">
    <mergeCell ref="A1:K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00FF"/>
  </sheetPr>
  <dimension ref="A1:AB191"/>
  <sheetViews>
    <sheetView tabSelected="1" topLeftCell="A131" zoomScale="110" zoomScaleNormal="110" workbookViewId="0">
      <selection activeCell="C91" sqref="C91"/>
    </sheetView>
  </sheetViews>
  <sheetFormatPr defaultRowHeight="13" customHeight="1" x14ac:dyDescent="0.35"/>
  <cols>
    <col min="1" max="1" width="70.1796875" customWidth="1"/>
    <col min="2" max="2" width="13.1796875" style="70" bestFit="1" customWidth="1"/>
    <col min="3" max="3" width="16.81640625" style="84" customWidth="1"/>
    <col min="4" max="4" width="18.81640625" style="84" bestFit="1" customWidth="1"/>
    <col min="5" max="5" width="12.54296875" bestFit="1" customWidth="1"/>
    <col min="6" max="6" width="11.54296875" bestFit="1" customWidth="1"/>
    <col min="7" max="7" width="12.54296875" bestFit="1" customWidth="1"/>
    <col min="8" max="9" width="11.54296875" bestFit="1" customWidth="1"/>
    <col min="10" max="11" width="12.54296875" bestFit="1" customWidth="1"/>
    <col min="12" max="19" width="9.81640625" bestFit="1" customWidth="1"/>
    <col min="20" max="27" width="10.81640625" bestFit="1" customWidth="1"/>
  </cols>
  <sheetData>
    <row r="1" spans="1:8" ht="20.5" customHeight="1" thickBot="1" x14ac:dyDescent="0.6">
      <c r="A1" s="305" t="s">
        <v>147</v>
      </c>
      <c r="B1" s="306"/>
      <c r="C1" s="307"/>
    </row>
    <row r="2" spans="1:8" ht="13" customHeight="1" thickBot="1" x14ac:dyDescent="0.4"/>
    <row r="3" spans="1:8" s="36" customFormat="1" ht="13" customHeight="1" thickBot="1" x14ac:dyDescent="0.35">
      <c r="A3" s="311" t="s">
        <v>148</v>
      </c>
      <c r="B3" s="312"/>
      <c r="C3" s="312"/>
      <c r="D3" s="312"/>
      <c r="E3" s="313"/>
    </row>
    <row r="4" spans="1:8" s="36" customFormat="1" ht="13" customHeight="1" thickBot="1" x14ac:dyDescent="0.4">
      <c r="A4" s="308" t="s">
        <v>149</v>
      </c>
      <c r="B4" s="309"/>
      <c r="C4" s="310"/>
      <c r="D4" s="105" t="s">
        <v>150</v>
      </c>
      <c r="E4" s="106" t="s">
        <v>151</v>
      </c>
      <c r="G4" s="125"/>
    </row>
    <row r="5" spans="1:8" s="36" customFormat="1" ht="13" customHeight="1" x14ac:dyDescent="0.35">
      <c r="A5" s="68" t="s">
        <v>152</v>
      </c>
      <c r="B5" s="116">
        <v>1</v>
      </c>
      <c r="C5" s="117" t="s">
        <v>153</v>
      </c>
      <c r="D5" s="118" t="s">
        <v>154</v>
      </c>
      <c r="E5" s="119">
        <v>2812.5</v>
      </c>
      <c r="G5" s="107"/>
    </row>
    <row r="6" spans="1:8" s="36" customFormat="1" ht="13" customHeight="1" x14ac:dyDescent="0.35">
      <c r="A6" s="69" t="s">
        <v>155</v>
      </c>
      <c r="B6" s="78">
        <v>1</v>
      </c>
      <c r="C6" s="85" t="s">
        <v>153</v>
      </c>
      <c r="D6" s="88" t="s">
        <v>154</v>
      </c>
      <c r="E6" s="119">
        <v>18143.7</v>
      </c>
    </row>
    <row r="7" spans="1:8" s="36" customFormat="1" ht="13" customHeight="1" x14ac:dyDescent="0.35">
      <c r="A7" s="69" t="s">
        <v>156</v>
      </c>
      <c r="B7" s="78">
        <v>1</v>
      </c>
      <c r="C7" s="85" t="s">
        <v>153</v>
      </c>
      <c r="D7" s="88" t="s">
        <v>154</v>
      </c>
      <c r="E7" s="121">
        <v>900</v>
      </c>
      <c r="G7" s="107"/>
      <c r="H7" s="107"/>
    </row>
    <row r="8" spans="1:8" s="36" customFormat="1" ht="13" customHeight="1" x14ac:dyDescent="0.35">
      <c r="A8" s="69" t="s">
        <v>157</v>
      </c>
      <c r="B8" s="78"/>
      <c r="C8" s="85"/>
      <c r="D8" s="88"/>
      <c r="E8" s="120"/>
      <c r="G8" s="107"/>
    </row>
    <row r="9" spans="1:8" s="36" customFormat="1" ht="13" customHeight="1" x14ac:dyDescent="0.35">
      <c r="A9" s="69" t="s">
        <v>1</v>
      </c>
      <c r="B9" s="78">
        <v>600</v>
      </c>
      <c r="C9" s="85" t="s">
        <v>2</v>
      </c>
      <c r="D9" s="88"/>
      <c r="E9" s="120"/>
      <c r="G9" s="107"/>
    </row>
    <row r="10" spans="1:8" s="36" customFormat="1" ht="13" customHeight="1" x14ac:dyDescent="0.3">
      <c r="A10" s="115" t="s">
        <v>158</v>
      </c>
      <c r="B10" s="115"/>
      <c r="C10" s="115"/>
      <c r="D10" s="115"/>
      <c r="E10" s="115"/>
      <c r="F10" s="115"/>
    </row>
    <row r="11" spans="1:8" s="36" customFormat="1" ht="13" customHeight="1" x14ac:dyDescent="0.3">
      <c r="A11" s="115" t="s">
        <v>159</v>
      </c>
      <c r="B11" s="115"/>
      <c r="C11" s="115"/>
      <c r="D11" s="115"/>
      <c r="E11" s="115"/>
      <c r="F11" s="115"/>
    </row>
    <row r="12" spans="1:8" s="36" customFormat="1" ht="13" customHeight="1" x14ac:dyDescent="0.3">
      <c r="A12" s="304" t="s">
        <v>160</v>
      </c>
      <c r="B12" s="304"/>
      <c r="C12" s="304"/>
      <c r="D12" s="304"/>
      <c r="E12" s="304"/>
    </row>
    <row r="13" spans="1:8" s="36" customFormat="1" ht="13" customHeight="1" x14ac:dyDescent="0.3">
      <c r="A13" s="124"/>
      <c r="B13" s="124"/>
      <c r="C13" s="124"/>
      <c r="D13" s="124"/>
      <c r="E13" s="124"/>
    </row>
    <row r="14" spans="1:8" s="36" customFormat="1" ht="13" customHeight="1" x14ac:dyDescent="0.3">
      <c r="A14" s="248" t="s">
        <v>96</v>
      </c>
      <c r="B14" s="249"/>
      <c r="C14" s="250"/>
      <c r="D14" s="124"/>
      <c r="E14" s="124"/>
    </row>
    <row r="15" spans="1:8" s="36" customFormat="1" ht="13" customHeight="1" x14ac:dyDescent="0.3">
      <c r="A15" s="251" t="s">
        <v>97</v>
      </c>
      <c r="B15" s="252">
        <v>0</v>
      </c>
      <c r="C15" s="253" t="s">
        <v>98</v>
      </c>
      <c r="D15" s="124"/>
      <c r="E15" s="124"/>
    </row>
    <row r="16" spans="1:8" s="36" customFormat="1" ht="13" customHeight="1" x14ac:dyDescent="0.35">
      <c r="A16" s="251" t="s">
        <v>99</v>
      </c>
      <c r="B16" s="223">
        <f>0.0075</f>
        <v>7.4999999999999997E-3</v>
      </c>
      <c r="C16" s="253"/>
      <c r="D16" s="124"/>
      <c r="E16" s="124"/>
    </row>
    <row r="17" spans="1:27" s="36" customFormat="1" ht="13" customHeight="1" x14ac:dyDescent="0.3">
      <c r="A17" s="251" t="s">
        <v>100</v>
      </c>
      <c r="B17" s="254">
        <v>0.12</v>
      </c>
      <c r="C17" s="253" t="s">
        <v>101</v>
      </c>
      <c r="D17" s="109"/>
    </row>
    <row r="18" spans="1:27" s="36" customFormat="1" ht="13" customHeight="1" x14ac:dyDescent="0.3">
      <c r="A18" s="251" t="s">
        <v>102</v>
      </c>
      <c r="B18" s="254">
        <v>0.2</v>
      </c>
      <c r="C18" s="253" t="s">
        <v>103</v>
      </c>
      <c r="D18" s="8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s="36" customFormat="1" ht="13" customHeight="1" x14ac:dyDescent="0.35">
      <c r="A19"/>
      <c r="B19"/>
      <c r="C19"/>
      <c r="D19"/>
      <c r="E1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</row>
    <row r="20" spans="1:27" s="36" customFormat="1" ht="13" customHeight="1" x14ac:dyDescent="0.3">
      <c r="A20" s="24" t="s">
        <v>104</v>
      </c>
      <c r="B20" s="112">
        <v>44470</v>
      </c>
      <c r="C20" s="113">
        <v>44926</v>
      </c>
      <c r="D20" s="113">
        <v>45291</v>
      </c>
      <c r="E20" s="113">
        <v>45657</v>
      </c>
      <c r="F20" s="113">
        <v>46022</v>
      </c>
      <c r="G20" s="113">
        <v>46387</v>
      </c>
      <c r="H20" s="113">
        <v>46752</v>
      </c>
      <c r="I20" s="113">
        <v>47118</v>
      </c>
      <c r="J20" s="113">
        <v>47483</v>
      </c>
      <c r="K20" s="113">
        <v>47848</v>
      </c>
      <c r="L20" s="113">
        <v>48213</v>
      </c>
      <c r="M20" s="113">
        <v>48579</v>
      </c>
      <c r="N20" s="113">
        <v>48944</v>
      </c>
      <c r="O20" s="113">
        <v>49309</v>
      </c>
      <c r="P20" s="113">
        <v>49674</v>
      </c>
      <c r="Q20" s="113">
        <v>50040</v>
      </c>
      <c r="R20" s="113">
        <v>50405</v>
      </c>
      <c r="S20" s="113">
        <v>50770</v>
      </c>
      <c r="T20" s="113">
        <v>51135</v>
      </c>
      <c r="U20" s="113">
        <v>51501</v>
      </c>
      <c r="V20" s="113">
        <v>51866</v>
      </c>
      <c r="W20" s="113">
        <v>52231</v>
      </c>
      <c r="X20" s="113">
        <v>52596</v>
      </c>
      <c r="Y20" s="113">
        <v>52962</v>
      </c>
      <c r="Z20" s="113">
        <v>53327</v>
      </c>
      <c r="AA20" s="113">
        <v>53692</v>
      </c>
    </row>
    <row r="21" spans="1:27" s="36" customFormat="1" ht="13" customHeight="1" x14ac:dyDescent="0.3">
      <c r="A21" s="89" t="s">
        <v>161</v>
      </c>
      <c r="B21" s="80"/>
      <c r="C21" s="80"/>
      <c r="D21" s="80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</row>
    <row r="22" spans="1:27" s="36" customFormat="1" ht="13" customHeight="1" x14ac:dyDescent="0.3">
      <c r="A22" s="36" t="s">
        <v>162</v>
      </c>
      <c r="B22" s="98">
        <v>1000</v>
      </c>
      <c r="C22" s="173" t="s">
        <v>163</v>
      </c>
    </row>
    <row r="23" spans="1:27" s="36" customFormat="1" ht="13" customHeight="1" x14ac:dyDescent="0.3">
      <c r="A23" s="24" t="s">
        <v>164</v>
      </c>
      <c r="B23" s="80"/>
      <c r="C23" s="80"/>
      <c r="D23" s="76">
        <f>E5*500/B9</f>
        <v>2343.75</v>
      </c>
      <c r="E23" s="76">
        <f>E5+84*500/B9</f>
        <v>2882.5</v>
      </c>
      <c r="F23" s="76">
        <f t="shared" ref="F23:K23" si="0">2889.81</f>
        <v>2889.81</v>
      </c>
      <c r="G23" s="76">
        <f t="shared" si="0"/>
        <v>2889.81</v>
      </c>
      <c r="H23" s="76">
        <f t="shared" si="0"/>
        <v>2889.81</v>
      </c>
      <c r="I23" s="76">
        <f t="shared" si="0"/>
        <v>2889.81</v>
      </c>
      <c r="J23" s="76">
        <f t="shared" si="0"/>
        <v>2889.81</v>
      </c>
      <c r="K23" s="76">
        <f t="shared" si="0"/>
        <v>2889.81</v>
      </c>
      <c r="L23" s="76">
        <v>2588.35</v>
      </c>
      <c r="M23" s="76">
        <v>2588.35</v>
      </c>
      <c r="N23" s="76">
        <v>2588.35</v>
      </c>
      <c r="O23" s="76">
        <v>2588.35</v>
      </c>
      <c r="P23" s="76">
        <v>2588.35</v>
      </c>
      <c r="Q23" s="76">
        <v>2588.35</v>
      </c>
      <c r="R23" s="76">
        <v>2588.35</v>
      </c>
      <c r="S23" s="76">
        <v>2588.35</v>
      </c>
      <c r="T23" s="76">
        <v>2588.35</v>
      </c>
      <c r="U23" s="76">
        <v>2588.35</v>
      </c>
      <c r="V23" s="76">
        <v>2588.35</v>
      </c>
      <c r="W23" s="76">
        <v>2588.35</v>
      </c>
      <c r="X23" s="76">
        <v>2588.35</v>
      </c>
      <c r="Y23" s="76">
        <v>2588.35</v>
      </c>
      <c r="Z23" s="76">
        <v>2588.35</v>
      </c>
      <c r="AA23" s="76">
        <v>2588.35</v>
      </c>
    </row>
    <row r="24" spans="1:27" s="36" customFormat="1" ht="13" customHeight="1" x14ac:dyDescent="0.3">
      <c r="A24" s="24" t="s">
        <v>165</v>
      </c>
      <c r="B24" s="90"/>
      <c r="C24" s="80"/>
      <c r="D24" s="91">
        <v>441.74489232468255</v>
      </c>
      <c r="E24" s="97">
        <v>441.74</v>
      </c>
      <c r="F24" s="97">
        <v>441.74</v>
      </c>
      <c r="G24" s="97">
        <v>441.74</v>
      </c>
      <c r="H24" s="97">
        <v>441.74</v>
      </c>
      <c r="I24" s="97">
        <v>441.74489232468255</v>
      </c>
      <c r="J24" s="97">
        <f t="shared" ref="J24:P24" si="1">I24</f>
        <v>441.74489232468255</v>
      </c>
      <c r="K24" s="97">
        <f t="shared" si="1"/>
        <v>441.74489232468255</v>
      </c>
      <c r="L24" s="97">
        <f t="shared" si="1"/>
        <v>441.74489232468255</v>
      </c>
      <c r="M24" s="97">
        <f t="shared" si="1"/>
        <v>441.74489232468255</v>
      </c>
      <c r="N24" s="97">
        <f t="shared" si="1"/>
        <v>441.74489232468255</v>
      </c>
      <c r="O24" s="97">
        <f t="shared" si="1"/>
        <v>441.74489232468255</v>
      </c>
      <c r="P24" s="97">
        <f t="shared" si="1"/>
        <v>441.74489232468255</v>
      </c>
      <c r="Q24" s="97">
        <v>248.48150193263393</v>
      </c>
      <c r="R24" s="97">
        <f t="shared" ref="R24:AA24" si="2">Q24</f>
        <v>248.48150193263393</v>
      </c>
      <c r="S24" s="97">
        <f t="shared" si="2"/>
        <v>248.48150193263393</v>
      </c>
      <c r="T24" s="97">
        <f t="shared" si="2"/>
        <v>248.48150193263393</v>
      </c>
      <c r="U24" s="97">
        <f t="shared" si="2"/>
        <v>248.48150193263393</v>
      </c>
      <c r="V24" s="97">
        <f t="shared" si="2"/>
        <v>248.48150193263393</v>
      </c>
      <c r="W24" s="97">
        <f t="shared" si="2"/>
        <v>248.48150193263393</v>
      </c>
      <c r="X24" s="97">
        <f t="shared" si="2"/>
        <v>248.48150193263393</v>
      </c>
      <c r="Y24" s="97">
        <f t="shared" si="2"/>
        <v>248.48150193263393</v>
      </c>
      <c r="Z24" s="97">
        <f t="shared" si="2"/>
        <v>248.48150193263393</v>
      </c>
      <c r="AA24" s="97">
        <f t="shared" si="2"/>
        <v>248.48150193263393</v>
      </c>
    </row>
    <row r="25" spans="1:27" s="100" customFormat="1" ht="13" customHeight="1" x14ac:dyDescent="0.3">
      <c r="A25" s="71" t="s">
        <v>166</v>
      </c>
      <c r="B25" s="99">
        <f>SUM(B22:B24)</f>
        <v>1000</v>
      </c>
      <c r="C25" s="99">
        <v>500</v>
      </c>
      <c r="D25" s="99">
        <f t="shared" ref="D25:AA25" si="3">SUM(D23:D24)</f>
        <v>2785.4948923246825</v>
      </c>
      <c r="E25" s="77">
        <f t="shared" si="3"/>
        <v>3324.24</v>
      </c>
      <c r="F25" s="77">
        <f t="shared" si="3"/>
        <v>3331.55</v>
      </c>
      <c r="G25" s="77">
        <f t="shared" si="3"/>
        <v>3331.55</v>
      </c>
      <c r="H25" s="77">
        <f t="shared" si="3"/>
        <v>3331.55</v>
      </c>
      <c r="I25" s="77">
        <f t="shared" si="3"/>
        <v>3331.5548923246824</v>
      </c>
      <c r="J25" s="77">
        <f t="shared" si="3"/>
        <v>3331.5548923246824</v>
      </c>
      <c r="K25" s="77">
        <f t="shared" si="3"/>
        <v>3331.5548923246824</v>
      </c>
      <c r="L25" s="77">
        <f t="shared" si="3"/>
        <v>3030.0948923246824</v>
      </c>
      <c r="M25" s="77">
        <f t="shared" si="3"/>
        <v>3030.0948923246824</v>
      </c>
      <c r="N25" s="77">
        <f t="shared" si="3"/>
        <v>3030.0948923246824</v>
      </c>
      <c r="O25" s="77">
        <f t="shared" si="3"/>
        <v>3030.0948923246824</v>
      </c>
      <c r="P25" s="77">
        <f t="shared" si="3"/>
        <v>3030.0948923246824</v>
      </c>
      <c r="Q25" s="77">
        <f t="shared" si="3"/>
        <v>2836.8315019326337</v>
      </c>
      <c r="R25" s="77">
        <f t="shared" si="3"/>
        <v>2836.8315019326337</v>
      </c>
      <c r="S25" s="77">
        <f t="shared" si="3"/>
        <v>2836.8315019326337</v>
      </c>
      <c r="T25" s="77">
        <f t="shared" si="3"/>
        <v>2836.8315019326337</v>
      </c>
      <c r="U25" s="77">
        <f t="shared" si="3"/>
        <v>2836.8315019326337</v>
      </c>
      <c r="V25" s="77">
        <f t="shared" si="3"/>
        <v>2836.8315019326337</v>
      </c>
      <c r="W25" s="77">
        <f t="shared" si="3"/>
        <v>2836.8315019326337</v>
      </c>
      <c r="X25" s="77">
        <f t="shared" si="3"/>
        <v>2836.8315019326337</v>
      </c>
      <c r="Y25" s="77">
        <f t="shared" si="3"/>
        <v>2836.8315019326337</v>
      </c>
      <c r="Z25" s="77">
        <f t="shared" si="3"/>
        <v>2836.8315019326337</v>
      </c>
      <c r="AA25" s="77">
        <f t="shared" si="3"/>
        <v>2836.8315019326337</v>
      </c>
    </row>
    <row r="26" spans="1:27" s="36" customFormat="1" ht="13" customHeight="1" x14ac:dyDescent="0.3">
      <c r="A26" s="24"/>
      <c r="B26" s="80"/>
      <c r="C26" s="80"/>
      <c r="D26" s="80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</row>
    <row r="27" spans="1:27" s="36" customFormat="1" ht="13" customHeight="1" x14ac:dyDescent="0.3">
      <c r="A27" s="89" t="s">
        <v>167</v>
      </c>
      <c r="B27" s="76"/>
      <c r="C27" s="87"/>
      <c r="D27" s="80"/>
      <c r="E27" s="73"/>
      <c r="F27" s="73"/>
      <c r="G27" s="73"/>
      <c r="H27" s="73"/>
      <c r="I27" s="73"/>
      <c r="J27" s="73"/>
      <c r="K27" s="73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</row>
    <row r="28" spans="1:27" s="36" customFormat="1" ht="13" customHeight="1" x14ac:dyDescent="0.3">
      <c r="A28" s="74" t="s">
        <v>168</v>
      </c>
      <c r="B28" s="76"/>
      <c r="C28" s="87"/>
      <c r="D28" s="80"/>
      <c r="E28" s="73"/>
      <c r="F28" s="73"/>
      <c r="G28" s="73"/>
      <c r="H28" s="73"/>
      <c r="I28" s="73"/>
      <c r="J28" s="73"/>
      <c r="K28" s="73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</row>
    <row r="29" spans="1:27" s="36" customFormat="1" ht="13" customHeight="1" x14ac:dyDescent="0.3">
      <c r="A29" s="74" t="s">
        <v>169</v>
      </c>
      <c r="B29" s="76">
        <f>6/100*B58</f>
        <v>126.57940000000001</v>
      </c>
      <c r="C29" s="76">
        <f>6/100*C58</f>
        <v>65.204399999999993</v>
      </c>
      <c r="D29" s="76">
        <f t="shared" ref="D29:AA29" si="4">6/100*D58</f>
        <v>70.004400000000004</v>
      </c>
      <c r="E29" s="76">
        <f t="shared" si="4"/>
        <v>35.549999999999997</v>
      </c>
      <c r="F29" s="76">
        <f t="shared" si="4"/>
        <v>24.375</v>
      </c>
      <c r="G29" s="76">
        <f t="shared" si="4"/>
        <v>24.375</v>
      </c>
      <c r="H29" s="76">
        <f t="shared" si="4"/>
        <v>24.375</v>
      </c>
      <c r="I29" s="76">
        <f t="shared" si="4"/>
        <v>24.375</v>
      </c>
      <c r="J29" s="76">
        <f t="shared" si="4"/>
        <v>24.375</v>
      </c>
      <c r="K29" s="76">
        <f t="shared" si="4"/>
        <v>24.375</v>
      </c>
      <c r="L29" s="76">
        <f t="shared" si="4"/>
        <v>15</v>
      </c>
      <c r="M29" s="76">
        <f t="shared" si="4"/>
        <v>15</v>
      </c>
      <c r="N29" s="76">
        <f t="shared" si="4"/>
        <v>15</v>
      </c>
      <c r="O29" s="76">
        <f t="shared" si="4"/>
        <v>15</v>
      </c>
      <c r="P29" s="76">
        <f t="shared" si="4"/>
        <v>15</v>
      </c>
      <c r="Q29" s="76">
        <f t="shared" si="4"/>
        <v>15</v>
      </c>
      <c r="R29" s="76">
        <f t="shared" si="4"/>
        <v>15</v>
      </c>
      <c r="S29" s="76">
        <f t="shared" si="4"/>
        <v>15</v>
      </c>
      <c r="T29" s="76">
        <f t="shared" si="4"/>
        <v>15</v>
      </c>
      <c r="U29" s="76">
        <f t="shared" si="4"/>
        <v>15</v>
      </c>
      <c r="V29" s="76">
        <f t="shared" si="4"/>
        <v>15</v>
      </c>
      <c r="W29" s="76">
        <f t="shared" si="4"/>
        <v>15</v>
      </c>
      <c r="X29" s="76">
        <f t="shared" si="4"/>
        <v>15</v>
      </c>
      <c r="Y29" s="76">
        <f t="shared" si="4"/>
        <v>15</v>
      </c>
      <c r="Z29" s="76">
        <f t="shared" si="4"/>
        <v>15</v>
      </c>
      <c r="AA29" s="76">
        <f t="shared" si="4"/>
        <v>15</v>
      </c>
    </row>
    <row r="30" spans="1:27" s="36" customFormat="1" ht="13" customHeight="1" x14ac:dyDescent="0.3">
      <c r="A30" s="24" t="s">
        <v>170</v>
      </c>
      <c r="B30" s="76"/>
      <c r="C30" s="87"/>
      <c r="D30" s="87"/>
      <c r="E30" s="87"/>
      <c r="F30" s="87"/>
      <c r="G30" s="87"/>
      <c r="H30" s="87"/>
      <c r="I30" s="87"/>
      <c r="J30" s="87"/>
      <c r="K30" s="7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</row>
    <row r="31" spans="1:27" s="36" customFormat="1" ht="13" customHeight="1" x14ac:dyDescent="0.3">
      <c r="A31" s="74" t="s">
        <v>171</v>
      </c>
      <c r="B31" s="76">
        <f>5/100*(B38+B55)</f>
        <v>39.166666666666664</v>
      </c>
      <c r="C31" s="87">
        <v>151.09</v>
      </c>
      <c r="D31" s="87">
        <v>151.09</v>
      </c>
      <c r="E31" s="87">
        <v>151.09</v>
      </c>
      <c r="F31" s="87">
        <v>151.09</v>
      </c>
      <c r="G31" s="87">
        <v>151.09</v>
      </c>
      <c r="H31" s="87">
        <v>151.09</v>
      </c>
      <c r="I31" s="87">
        <v>151.09</v>
      </c>
      <c r="J31" s="87">
        <v>151.09</v>
      </c>
      <c r="K31" s="87">
        <v>151.09</v>
      </c>
      <c r="L31" s="87">
        <v>151.09</v>
      </c>
      <c r="M31" s="87">
        <v>151.09</v>
      </c>
      <c r="N31" s="87">
        <v>151.09</v>
      </c>
      <c r="O31" s="87">
        <v>151.09</v>
      </c>
      <c r="P31" s="87">
        <v>151.09</v>
      </c>
      <c r="Q31" s="87">
        <v>151.09</v>
      </c>
      <c r="R31" s="87">
        <v>151.09</v>
      </c>
      <c r="S31" s="87">
        <v>151.09</v>
      </c>
      <c r="T31" s="87">
        <v>151.09</v>
      </c>
      <c r="U31" s="87">
        <v>151.09</v>
      </c>
      <c r="V31" s="87">
        <v>151.09</v>
      </c>
      <c r="W31" s="87">
        <v>151.09</v>
      </c>
      <c r="X31" s="87">
        <v>151.09</v>
      </c>
      <c r="Y31" s="87">
        <v>151.09</v>
      </c>
      <c r="Z31" s="87">
        <v>151.09</v>
      </c>
      <c r="AA31" s="87">
        <v>151.09</v>
      </c>
    </row>
    <row r="32" spans="1:27" s="110" customFormat="1" ht="13" customHeight="1" x14ac:dyDescent="0.3">
      <c r="A32" s="71" t="s">
        <v>172</v>
      </c>
      <c r="B32" s="93">
        <f>B29</f>
        <v>126.57940000000001</v>
      </c>
      <c r="C32" s="94">
        <f t="shared" ref="C32:AA32" si="5">SUM(C29:C31)</f>
        <v>216.2944</v>
      </c>
      <c r="D32" s="94">
        <f t="shared" si="5"/>
        <v>221.09440000000001</v>
      </c>
      <c r="E32" s="94">
        <f t="shared" si="5"/>
        <v>186.64</v>
      </c>
      <c r="F32" s="94">
        <f t="shared" si="5"/>
        <v>175.465</v>
      </c>
      <c r="G32" s="94">
        <f t="shared" si="5"/>
        <v>175.465</v>
      </c>
      <c r="H32" s="94">
        <f t="shared" si="5"/>
        <v>175.465</v>
      </c>
      <c r="I32" s="94">
        <f t="shared" si="5"/>
        <v>175.465</v>
      </c>
      <c r="J32" s="94">
        <f t="shared" si="5"/>
        <v>175.465</v>
      </c>
      <c r="K32" s="101">
        <f t="shared" si="5"/>
        <v>175.465</v>
      </c>
      <c r="L32" s="94">
        <f t="shared" si="5"/>
        <v>166.09</v>
      </c>
      <c r="M32" s="94">
        <f t="shared" si="5"/>
        <v>166.09</v>
      </c>
      <c r="N32" s="94">
        <f t="shared" si="5"/>
        <v>166.09</v>
      </c>
      <c r="O32" s="94">
        <f t="shared" si="5"/>
        <v>166.09</v>
      </c>
      <c r="P32" s="94">
        <f t="shared" si="5"/>
        <v>166.09</v>
      </c>
      <c r="Q32" s="94">
        <f t="shared" si="5"/>
        <v>166.09</v>
      </c>
      <c r="R32" s="94">
        <f t="shared" si="5"/>
        <v>166.09</v>
      </c>
      <c r="S32" s="94">
        <f t="shared" si="5"/>
        <v>166.09</v>
      </c>
      <c r="T32" s="94">
        <f t="shared" si="5"/>
        <v>166.09</v>
      </c>
      <c r="U32" s="94">
        <f t="shared" si="5"/>
        <v>166.09</v>
      </c>
      <c r="V32" s="94">
        <f t="shared" si="5"/>
        <v>166.09</v>
      </c>
      <c r="W32" s="94">
        <f t="shared" si="5"/>
        <v>166.09</v>
      </c>
      <c r="X32" s="94">
        <f t="shared" si="5"/>
        <v>166.09</v>
      </c>
      <c r="Y32" s="94">
        <f t="shared" si="5"/>
        <v>166.09</v>
      </c>
      <c r="Z32" s="94">
        <f t="shared" si="5"/>
        <v>166.09</v>
      </c>
      <c r="AA32" s="94">
        <f t="shared" si="5"/>
        <v>166.09</v>
      </c>
    </row>
    <row r="33" spans="1:27" s="36" customFormat="1" ht="13" customHeight="1" x14ac:dyDescent="0.3">
      <c r="A33" s="24"/>
      <c r="B33" s="76"/>
      <c r="C33" s="87"/>
      <c r="D33" s="87"/>
      <c r="E33" s="73"/>
      <c r="F33" s="73"/>
      <c r="G33" s="73"/>
      <c r="H33" s="73"/>
      <c r="I33" s="73"/>
      <c r="J33" s="73"/>
      <c r="K33" s="73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</row>
    <row r="34" spans="1:27" s="36" customFormat="1" ht="13" customHeight="1" x14ac:dyDescent="0.3">
      <c r="A34" s="89" t="s">
        <v>173</v>
      </c>
      <c r="B34" s="76"/>
      <c r="C34" s="87">
        <f>B32+C32</f>
        <v>342.87380000000002</v>
      </c>
      <c r="D34" s="87"/>
      <c r="E34" s="73"/>
      <c r="F34" s="73"/>
      <c r="G34" s="73"/>
      <c r="H34" s="73"/>
      <c r="I34" s="73"/>
      <c r="J34" s="73"/>
      <c r="K34" s="73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</row>
    <row r="35" spans="1:27" s="36" customFormat="1" ht="13" customHeight="1" x14ac:dyDescent="0.3">
      <c r="A35" s="83" t="s">
        <v>174</v>
      </c>
      <c r="B35" s="76"/>
      <c r="C35" s="87"/>
      <c r="D35" s="87"/>
      <c r="E35" s="73"/>
      <c r="F35" s="73"/>
      <c r="G35" s="73"/>
      <c r="H35" s="73"/>
      <c r="I35" s="73"/>
      <c r="J35" s="73"/>
      <c r="K35" s="73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</row>
    <row r="36" spans="1:27" s="36" customFormat="1" ht="13" customHeight="1" x14ac:dyDescent="0.3">
      <c r="A36" s="75" t="s">
        <v>175</v>
      </c>
      <c r="B36" s="76">
        <f>50000/B9</f>
        <v>83.333333333333329</v>
      </c>
      <c r="C36" s="87"/>
      <c r="D36" s="87"/>
      <c r="E36" s="73"/>
      <c r="F36" s="73"/>
      <c r="G36" s="73"/>
      <c r="H36" s="73"/>
      <c r="I36" s="73"/>
      <c r="J36" s="73"/>
      <c r="K36" s="73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s="36" customFormat="1" ht="13" customHeight="1" x14ac:dyDescent="0.3">
      <c r="A37" s="74" t="s">
        <v>176</v>
      </c>
      <c r="B37" s="76">
        <f>150*625/B9</f>
        <v>156.25</v>
      </c>
      <c r="C37" s="314" t="e">
        <f>150*13/#REF!</f>
        <v>#REF!</v>
      </c>
      <c r="D37" s="87"/>
      <c r="E37" s="73"/>
      <c r="F37" s="73"/>
      <c r="G37" s="73"/>
      <c r="H37" s="73"/>
      <c r="I37" s="73"/>
      <c r="J37" s="73"/>
      <c r="K37" s="73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</row>
    <row r="38" spans="1:27" s="36" customFormat="1" ht="13" customHeight="1" x14ac:dyDescent="0.3">
      <c r="A38" s="74" t="s">
        <v>177</v>
      </c>
      <c r="B38" s="76">
        <f>200000/B9</f>
        <v>333.33333333333331</v>
      </c>
      <c r="C38" s="87"/>
      <c r="D38" s="87"/>
      <c r="E38" s="73"/>
      <c r="F38" s="73"/>
      <c r="G38" s="73"/>
      <c r="H38" s="73"/>
      <c r="I38" s="73"/>
      <c r="J38" s="73"/>
      <c r="K38" s="73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</row>
    <row r="39" spans="1:27" s="36" customFormat="1" ht="13" customHeight="1" x14ac:dyDescent="0.3">
      <c r="A39" s="83" t="s">
        <v>178</v>
      </c>
      <c r="B39" s="76"/>
      <c r="C39" s="87"/>
      <c r="D39" s="87"/>
      <c r="E39" s="73"/>
      <c r="F39" s="73"/>
      <c r="G39" s="73"/>
      <c r="H39" s="73"/>
      <c r="I39" s="73"/>
      <c r="J39" s="73"/>
      <c r="K39" s="73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</row>
    <row r="40" spans="1:27" s="36" customFormat="1" ht="13" customHeight="1" x14ac:dyDescent="0.3">
      <c r="A40" s="74" t="s">
        <v>179</v>
      </c>
      <c r="B40" s="81">
        <v>274.26</v>
      </c>
      <c r="C40" s="87">
        <f>B40</f>
        <v>274.26</v>
      </c>
      <c r="D40" s="87">
        <f>C40</f>
        <v>274.26</v>
      </c>
      <c r="E40" s="73"/>
      <c r="F40" s="73"/>
      <c r="G40" s="73"/>
      <c r="H40" s="73"/>
      <c r="I40" s="73"/>
      <c r="J40" s="73"/>
      <c r="K40" s="73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</row>
    <row r="41" spans="1:27" s="36" customFormat="1" ht="13" customHeight="1" x14ac:dyDescent="0.3">
      <c r="A41" s="74" t="s">
        <v>180</v>
      </c>
      <c r="B41" s="82">
        <v>287.98</v>
      </c>
      <c r="C41" s="87">
        <f>B41</f>
        <v>287.98</v>
      </c>
      <c r="D41" s="87">
        <f>C41</f>
        <v>287.98</v>
      </c>
      <c r="E41" s="73"/>
      <c r="F41" s="73"/>
      <c r="G41" s="73"/>
      <c r="H41" s="73"/>
      <c r="I41" s="73"/>
      <c r="J41" s="73"/>
      <c r="K41" s="73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</row>
    <row r="42" spans="1:27" s="36" customFormat="1" ht="13" customHeight="1" x14ac:dyDescent="0.3">
      <c r="A42" s="83" t="s">
        <v>181</v>
      </c>
      <c r="B42" s="76"/>
      <c r="C42" s="87"/>
      <c r="D42" s="87"/>
      <c r="E42" s="73"/>
      <c r="F42" s="73"/>
      <c r="G42" s="73"/>
      <c r="H42" s="73"/>
      <c r="I42" s="73"/>
      <c r="J42" s="73"/>
      <c r="K42" s="73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</row>
    <row r="43" spans="1:27" s="36" customFormat="1" ht="13" customHeight="1" x14ac:dyDescent="0.3">
      <c r="A43" s="74" t="s">
        <v>182</v>
      </c>
      <c r="B43" s="76">
        <f>150*625/B9</f>
        <v>156.25</v>
      </c>
      <c r="C43" s="87"/>
      <c r="D43" s="87"/>
      <c r="E43" s="73"/>
      <c r="F43" s="73"/>
      <c r="G43" s="73"/>
      <c r="H43" s="73"/>
      <c r="I43" s="73"/>
      <c r="J43" s="73"/>
      <c r="K43" s="73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</row>
    <row r="44" spans="1:27" s="36" customFormat="1" ht="13" customHeight="1" x14ac:dyDescent="0.3">
      <c r="A44" s="74" t="s">
        <v>183</v>
      </c>
      <c r="B44" s="76">
        <f>50*625/B9</f>
        <v>52.083333333333336</v>
      </c>
      <c r="C44" s="87"/>
      <c r="D44" s="87"/>
      <c r="E44" s="73"/>
      <c r="F44" s="73"/>
      <c r="G44" s="73"/>
      <c r="H44" s="73"/>
      <c r="I44" s="73"/>
      <c r="J44" s="73"/>
      <c r="K44" s="73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</row>
    <row r="45" spans="1:27" s="36" customFormat="1" ht="13" customHeight="1" x14ac:dyDescent="0.3">
      <c r="A45" s="74" t="s">
        <v>184</v>
      </c>
      <c r="B45" s="76">
        <f>100*625/B9</f>
        <v>104.16666666666667</v>
      </c>
      <c r="C45" s="87"/>
      <c r="D45" s="87"/>
      <c r="E45" s="73"/>
      <c r="F45" s="73"/>
      <c r="G45" s="73"/>
      <c r="H45" s="73"/>
      <c r="I45" s="73"/>
      <c r="J45" s="73"/>
      <c r="K45" s="73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</row>
    <row r="46" spans="1:27" s="36" customFormat="1" ht="13" customHeight="1" x14ac:dyDescent="0.3">
      <c r="A46" s="74" t="s">
        <v>185</v>
      </c>
      <c r="B46" s="76">
        <v>12</v>
      </c>
      <c r="C46" s="87">
        <f>B46</f>
        <v>12</v>
      </c>
      <c r="D46" s="87">
        <f>C46</f>
        <v>12</v>
      </c>
      <c r="E46" s="73"/>
      <c r="F46" s="73"/>
      <c r="G46" s="73"/>
      <c r="H46" s="73"/>
      <c r="I46" s="73"/>
      <c r="J46" s="73"/>
      <c r="K46" s="73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</row>
    <row r="47" spans="1:27" s="36" customFormat="1" ht="13" customHeight="1" x14ac:dyDescent="0.3">
      <c r="A47" s="83" t="s">
        <v>186</v>
      </c>
      <c r="B47" s="76"/>
      <c r="C47" s="87"/>
      <c r="D47" s="87"/>
      <c r="E47" s="73"/>
      <c r="F47" s="73"/>
      <c r="G47" s="73"/>
      <c r="H47" s="73"/>
      <c r="I47" s="73"/>
      <c r="J47" s="73"/>
      <c r="K47" s="73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</row>
    <row r="48" spans="1:27" s="36" customFormat="1" ht="13" customHeight="1" x14ac:dyDescent="0.3">
      <c r="A48" s="74" t="s">
        <v>187</v>
      </c>
      <c r="B48" s="76">
        <v>30</v>
      </c>
      <c r="C48" s="76">
        <v>30</v>
      </c>
      <c r="D48" s="76">
        <v>30</v>
      </c>
      <c r="E48" s="76">
        <v>30</v>
      </c>
      <c r="F48" s="73"/>
      <c r="G48" s="73"/>
      <c r="H48" s="73"/>
      <c r="I48" s="73"/>
      <c r="J48" s="73"/>
      <c r="K48" s="73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</row>
    <row r="49" spans="1:28" s="36" customFormat="1" ht="13" customHeight="1" x14ac:dyDescent="0.3">
      <c r="A49" s="74" t="s">
        <v>188</v>
      </c>
      <c r="B49" s="76">
        <v>100</v>
      </c>
      <c r="C49" s="87">
        <f t="shared" ref="C49:D51" si="6">B49</f>
        <v>100</v>
      </c>
      <c r="D49" s="87">
        <f t="shared" si="6"/>
        <v>100</v>
      </c>
      <c r="E49" s="87">
        <f t="shared" ref="E49:AA49" si="7">D49</f>
        <v>100</v>
      </c>
      <c r="F49" s="87">
        <f t="shared" si="7"/>
        <v>100</v>
      </c>
      <c r="G49" s="87">
        <f t="shared" si="7"/>
        <v>100</v>
      </c>
      <c r="H49" s="87">
        <f t="shared" si="7"/>
        <v>100</v>
      </c>
      <c r="I49" s="87">
        <f t="shared" si="7"/>
        <v>100</v>
      </c>
      <c r="J49" s="87">
        <f t="shared" si="7"/>
        <v>100</v>
      </c>
      <c r="K49" s="87">
        <f t="shared" si="7"/>
        <v>100</v>
      </c>
      <c r="L49" s="87">
        <f t="shared" si="7"/>
        <v>100</v>
      </c>
      <c r="M49" s="87">
        <f t="shared" si="7"/>
        <v>100</v>
      </c>
      <c r="N49" s="87">
        <f t="shared" si="7"/>
        <v>100</v>
      </c>
      <c r="O49" s="87">
        <f t="shared" si="7"/>
        <v>100</v>
      </c>
      <c r="P49" s="87">
        <f t="shared" si="7"/>
        <v>100</v>
      </c>
      <c r="Q49" s="87">
        <f t="shared" si="7"/>
        <v>100</v>
      </c>
      <c r="R49" s="87">
        <f t="shared" si="7"/>
        <v>100</v>
      </c>
      <c r="S49" s="87">
        <f t="shared" si="7"/>
        <v>100</v>
      </c>
      <c r="T49" s="87">
        <f t="shared" si="7"/>
        <v>100</v>
      </c>
      <c r="U49" s="87">
        <f t="shared" si="7"/>
        <v>100</v>
      </c>
      <c r="V49" s="87">
        <f t="shared" si="7"/>
        <v>100</v>
      </c>
      <c r="W49" s="87">
        <f t="shared" si="7"/>
        <v>100</v>
      </c>
      <c r="X49" s="87">
        <f t="shared" si="7"/>
        <v>100</v>
      </c>
      <c r="Y49" s="87">
        <f t="shared" si="7"/>
        <v>100</v>
      </c>
      <c r="Z49" s="87">
        <f t="shared" si="7"/>
        <v>100</v>
      </c>
      <c r="AA49" s="87">
        <f t="shared" si="7"/>
        <v>100</v>
      </c>
    </row>
    <row r="50" spans="1:28" s="36" customFormat="1" ht="13" customHeight="1" x14ac:dyDescent="0.3">
      <c r="A50" s="74" t="s">
        <v>189</v>
      </c>
      <c r="B50" s="76">
        <v>20</v>
      </c>
      <c r="C50" s="87">
        <f t="shared" si="6"/>
        <v>20</v>
      </c>
      <c r="D50" s="87">
        <f t="shared" si="6"/>
        <v>20</v>
      </c>
      <c r="E50" s="87">
        <f t="shared" ref="E50:AA50" si="8">D50</f>
        <v>20</v>
      </c>
      <c r="F50" s="87">
        <f t="shared" si="8"/>
        <v>20</v>
      </c>
      <c r="G50" s="87">
        <f t="shared" si="8"/>
        <v>20</v>
      </c>
      <c r="H50" s="87">
        <f t="shared" si="8"/>
        <v>20</v>
      </c>
      <c r="I50" s="87">
        <f t="shared" si="8"/>
        <v>20</v>
      </c>
      <c r="J50" s="87">
        <f t="shared" si="8"/>
        <v>20</v>
      </c>
      <c r="K50" s="87">
        <f t="shared" si="8"/>
        <v>20</v>
      </c>
      <c r="L50" s="87">
        <f t="shared" si="8"/>
        <v>20</v>
      </c>
      <c r="M50" s="87">
        <f t="shared" si="8"/>
        <v>20</v>
      </c>
      <c r="N50" s="87">
        <f t="shared" si="8"/>
        <v>20</v>
      </c>
      <c r="O50" s="87">
        <f t="shared" si="8"/>
        <v>20</v>
      </c>
      <c r="P50" s="87">
        <f t="shared" si="8"/>
        <v>20</v>
      </c>
      <c r="Q50" s="87">
        <f t="shared" si="8"/>
        <v>20</v>
      </c>
      <c r="R50" s="87">
        <f t="shared" si="8"/>
        <v>20</v>
      </c>
      <c r="S50" s="87">
        <f t="shared" si="8"/>
        <v>20</v>
      </c>
      <c r="T50" s="87">
        <f t="shared" si="8"/>
        <v>20</v>
      </c>
      <c r="U50" s="87">
        <f t="shared" si="8"/>
        <v>20</v>
      </c>
      <c r="V50" s="87">
        <f t="shared" si="8"/>
        <v>20</v>
      </c>
      <c r="W50" s="87">
        <f t="shared" si="8"/>
        <v>20</v>
      </c>
      <c r="X50" s="87">
        <f t="shared" si="8"/>
        <v>20</v>
      </c>
      <c r="Y50" s="87">
        <f t="shared" si="8"/>
        <v>20</v>
      </c>
      <c r="Z50" s="87">
        <f t="shared" si="8"/>
        <v>20</v>
      </c>
      <c r="AA50" s="87">
        <f t="shared" si="8"/>
        <v>20</v>
      </c>
    </row>
    <row r="51" spans="1:28" s="36" customFormat="1" ht="13" customHeight="1" x14ac:dyDescent="0.3">
      <c r="A51" s="74" t="s">
        <v>190</v>
      </c>
      <c r="B51" s="76">
        <v>30</v>
      </c>
      <c r="C51" s="87">
        <f t="shared" si="6"/>
        <v>30</v>
      </c>
      <c r="D51" s="87">
        <f t="shared" si="6"/>
        <v>30</v>
      </c>
      <c r="E51" s="87">
        <f t="shared" ref="E51:AA51" si="9">D51</f>
        <v>30</v>
      </c>
      <c r="F51" s="87">
        <f t="shared" si="9"/>
        <v>30</v>
      </c>
      <c r="G51" s="87">
        <f t="shared" si="9"/>
        <v>30</v>
      </c>
      <c r="H51" s="87">
        <f t="shared" si="9"/>
        <v>30</v>
      </c>
      <c r="I51" s="87">
        <f t="shared" si="9"/>
        <v>30</v>
      </c>
      <c r="J51" s="87">
        <f t="shared" si="9"/>
        <v>30</v>
      </c>
      <c r="K51" s="87">
        <f t="shared" si="9"/>
        <v>30</v>
      </c>
      <c r="L51" s="87">
        <f t="shared" si="9"/>
        <v>30</v>
      </c>
      <c r="M51" s="87">
        <f t="shared" si="9"/>
        <v>30</v>
      </c>
      <c r="N51" s="87">
        <f t="shared" si="9"/>
        <v>30</v>
      </c>
      <c r="O51" s="87">
        <f t="shared" si="9"/>
        <v>30</v>
      </c>
      <c r="P51" s="87">
        <f t="shared" si="9"/>
        <v>30</v>
      </c>
      <c r="Q51" s="87">
        <f t="shared" si="9"/>
        <v>30</v>
      </c>
      <c r="R51" s="87">
        <f t="shared" si="9"/>
        <v>30</v>
      </c>
      <c r="S51" s="87">
        <f t="shared" si="9"/>
        <v>30</v>
      </c>
      <c r="T51" s="87">
        <f t="shared" si="9"/>
        <v>30</v>
      </c>
      <c r="U51" s="87">
        <f t="shared" si="9"/>
        <v>30</v>
      </c>
      <c r="V51" s="87">
        <f t="shared" si="9"/>
        <v>30</v>
      </c>
      <c r="W51" s="87">
        <f t="shared" si="9"/>
        <v>30</v>
      </c>
      <c r="X51" s="87">
        <f t="shared" si="9"/>
        <v>30</v>
      </c>
      <c r="Y51" s="87">
        <f t="shared" si="9"/>
        <v>30</v>
      </c>
      <c r="Z51" s="87">
        <f t="shared" si="9"/>
        <v>30</v>
      </c>
      <c r="AA51" s="87">
        <f t="shared" si="9"/>
        <v>30</v>
      </c>
    </row>
    <row r="52" spans="1:28" s="36" customFormat="1" ht="13" customHeight="1" x14ac:dyDescent="0.3">
      <c r="A52" s="74" t="s">
        <v>191</v>
      </c>
      <c r="B52" s="76"/>
      <c r="C52" s="76">
        <f t="shared" ref="C52:E53" si="10">0.5*625/2</f>
        <v>156.25</v>
      </c>
      <c r="D52" s="76">
        <f t="shared" si="10"/>
        <v>156.25</v>
      </c>
      <c r="E52" s="76">
        <f t="shared" si="10"/>
        <v>156.25</v>
      </c>
      <c r="F52" s="91">
        <f t="shared" ref="F52:K52" si="11">E52</f>
        <v>156.25</v>
      </c>
      <c r="G52" s="91">
        <f t="shared" si="11"/>
        <v>156.25</v>
      </c>
      <c r="H52" s="91">
        <f t="shared" si="11"/>
        <v>156.25</v>
      </c>
      <c r="I52" s="91">
        <f t="shared" si="11"/>
        <v>156.25</v>
      </c>
      <c r="J52" s="91">
        <f t="shared" si="11"/>
        <v>156.25</v>
      </c>
      <c r="K52" s="91">
        <f t="shared" si="11"/>
        <v>156.25</v>
      </c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</row>
    <row r="53" spans="1:28" s="36" customFormat="1" ht="13" customHeight="1" x14ac:dyDescent="0.3">
      <c r="A53" s="74" t="s">
        <v>192</v>
      </c>
      <c r="B53" s="79"/>
      <c r="C53" s="76">
        <f t="shared" si="10"/>
        <v>156.25</v>
      </c>
      <c r="D53" s="76">
        <f t="shared" si="10"/>
        <v>156.25</v>
      </c>
      <c r="E53" s="76">
        <f t="shared" si="10"/>
        <v>156.25</v>
      </c>
      <c r="F53" s="73"/>
      <c r="G53" s="73"/>
      <c r="H53" s="73"/>
      <c r="I53" s="73"/>
      <c r="J53" s="73"/>
      <c r="K53" s="73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</row>
    <row r="54" spans="1:28" s="36" customFormat="1" ht="13" customHeight="1" x14ac:dyDescent="0.3">
      <c r="A54" s="74" t="s">
        <v>193</v>
      </c>
      <c r="B54" s="76">
        <v>20</v>
      </c>
      <c r="C54" s="87">
        <f>B54</f>
        <v>20</v>
      </c>
      <c r="D54" s="87"/>
      <c r="E54" s="73"/>
      <c r="F54" s="73"/>
      <c r="G54" s="73"/>
      <c r="H54" s="73"/>
      <c r="I54" s="73"/>
      <c r="J54" s="73"/>
      <c r="K54" s="73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</row>
    <row r="55" spans="1:28" s="36" customFormat="1" ht="13" customHeight="1" x14ac:dyDescent="0.3">
      <c r="A55" s="74" t="s">
        <v>194</v>
      </c>
      <c r="B55" s="76">
        <v>450</v>
      </c>
      <c r="C55" s="87"/>
      <c r="D55" s="87"/>
      <c r="E55" s="73"/>
      <c r="F55" s="73"/>
      <c r="G55" s="73"/>
      <c r="H55" s="73"/>
      <c r="I55" s="73"/>
      <c r="J55" s="73"/>
      <c r="K55" s="73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</row>
    <row r="56" spans="1:28" s="36" customFormat="1" ht="13" customHeight="1" x14ac:dyDescent="0.3">
      <c r="A56" s="83" t="s">
        <v>195</v>
      </c>
      <c r="B56" s="76"/>
      <c r="C56" s="87"/>
      <c r="D56" s="87"/>
      <c r="E56" s="73"/>
      <c r="F56" s="73"/>
      <c r="G56" s="73"/>
      <c r="H56" s="73"/>
      <c r="I56" s="73"/>
      <c r="J56" s="73"/>
      <c r="K56" s="73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</row>
    <row r="57" spans="1:28" s="36" customFormat="1" ht="13" customHeight="1" x14ac:dyDescent="0.3">
      <c r="A57" s="74" t="s">
        <v>196</v>
      </c>
      <c r="B57" s="76"/>
      <c r="C57" s="87"/>
      <c r="D57" s="87">
        <v>100</v>
      </c>
      <c r="E57" s="87">
        <v>100</v>
      </c>
      <c r="F57" s="87">
        <v>100</v>
      </c>
      <c r="G57" s="87">
        <v>100</v>
      </c>
      <c r="H57" s="87">
        <v>100</v>
      </c>
      <c r="I57" s="87">
        <v>100</v>
      </c>
      <c r="J57" s="87">
        <v>100</v>
      </c>
      <c r="K57" s="87">
        <v>100</v>
      </c>
      <c r="L57" s="87">
        <v>100</v>
      </c>
      <c r="M57" s="87">
        <v>100</v>
      </c>
      <c r="N57" s="87">
        <v>100</v>
      </c>
      <c r="O57" s="87">
        <v>100</v>
      </c>
      <c r="P57" s="87">
        <v>100</v>
      </c>
      <c r="Q57" s="87">
        <v>100</v>
      </c>
      <c r="R57" s="87">
        <v>100</v>
      </c>
      <c r="S57" s="87">
        <v>100</v>
      </c>
      <c r="T57" s="87">
        <v>100</v>
      </c>
      <c r="U57" s="87">
        <v>100</v>
      </c>
      <c r="V57" s="87">
        <v>100</v>
      </c>
      <c r="W57" s="87">
        <v>100</v>
      </c>
      <c r="X57" s="87">
        <v>100</v>
      </c>
      <c r="Y57" s="87">
        <v>100</v>
      </c>
      <c r="Z57" s="87">
        <v>100</v>
      </c>
      <c r="AA57" s="87">
        <v>100</v>
      </c>
    </row>
    <row r="58" spans="1:28" s="110" customFormat="1" ht="13" customHeight="1" x14ac:dyDescent="0.3">
      <c r="A58" s="71" t="s">
        <v>197</v>
      </c>
      <c r="B58" s="77">
        <f>SUM(B36:B57)</f>
        <v>2109.6566666666668</v>
      </c>
      <c r="C58" s="92">
        <f>SUM(C40:C57)</f>
        <v>1086.74</v>
      </c>
      <c r="D58" s="92">
        <f>SUM(D40:D57)</f>
        <v>1166.74</v>
      </c>
      <c r="E58" s="77">
        <f t="shared" ref="E58:AA58" si="12">SUM(E48:E57)</f>
        <v>592.5</v>
      </c>
      <c r="F58" s="77">
        <f t="shared" si="12"/>
        <v>406.25</v>
      </c>
      <c r="G58" s="77">
        <f t="shared" si="12"/>
        <v>406.25</v>
      </c>
      <c r="H58" s="77">
        <f t="shared" si="12"/>
        <v>406.25</v>
      </c>
      <c r="I58" s="77">
        <f t="shared" si="12"/>
        <v>406.25</v>
      </c>
      <c r="J58" s="77">
        <f t="shared" si="12"/>
        <v>406.25</v>
      </c>
      <c r="K58" s="77">
        <f t="shared" si="12"/>
        <v>406.25</v>
      </c>
      <c r="L58" s="77">
        <f t="shared" si="12"/>
        <v>250</v>
      </c>
      <c r="M58" s="77">
        <f t="shared" si="12"/>
        <v>250</v>
      </c>
      <c r="N58" s="77">
        <f t="shared" si="12"/>
        <v>250</v>
      </c>
      <c r="O58" s="77">
        <f t="shared" si="12"/>
        <v>250</v>
      </c>
      <c r="P58" s="77">
        <f t="shared" si="12"/>
        <v>250</v>
      </c>
      <c r="Q58" s="77">
        <f t="shared" si="12"/>
        <v>250</v>
      </c>
      <c r="R58" s="77">
        <f t="shared" si="12"/>
        <v>250</v>
      </c>
      <c r="S58" s="77">
        <f t="shared" si="12"/>
        <v>250</v>
      </c>
      <c r="T58" s="77">
        <f t="shared" si="12"/>
        <v>250</v>
      </c>
      <c r="U58" s="77">
        <f t="shared" si="12"/>
        <v>250</v>
      </c>
      <c r="V58" s="77">
        <f t="shared" si="12"/>
        <v>250</v>
      </c>
      <c r="W58" s="77">
        <f t="shared" si="12"/>
        <v>250</v>
      </c>
      <c r="X58" s="77">
        <f t="shared" si="12"/>
        <v>250</v>
      </c>
      <c r="Y58" s="77">
        <f t="shared" si="12"/>
        <v>250</v>
      </c>
      <c r="Z58" s="77">
        <f t="shared" si="12"/>
        <v>250</v>
      </c>
      <c r="AA58" s="77">
        <f t="shared" si="12"/>
        <v>250</v>
      </c>
    </row>
    <row r="59" spans="1:28" s="36" customFormat="1" ht="13" customHeight="1" x14ac:dyDescent="0.3">
      <c r="A59" s="24"/>
      <c r="B59" s="76"/>
      <c r="C59" s="87"/>
      <c r="D59" s="87"/>
      <c r="E59" s="73"/>
      <c r="F59" s="73"/>
      <c r="G59" s="73"/>
      <c r="H59" s="73"/>
      <c r="I59" s="73"/>
      <c r="J59" s="73"/>
      <c r="K59" s="73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</row>
    <row r="60" spans="1:28" s="36" customFormat="1" ht="13" customHeight="1" x14ac:dyDescent="0.3">
      <c r="A60" s="71" t="s">
        <v>198</v>
      </c>
      <c r="B60" s="77">
        <f t="shared" ref="B60:AA60" si="13">B25-B32-B58</f>
        <v>-1236.2360666666668</v>
      </c>
      <c r="C60" s="77">
        <f t="shared" si="13"/>
        <v>-803.03440000000001</v>
      </c>
      <c r="D60" s="77">
        <f t="shared" si="13"/>
        <v>1397.6604923246825</v>
      </c>
      <c r="E60" s="77">
        <f t="shared" si="13"/>
        <v>2545.1</v>
      </c>
      <c r="F60" s="77">
        <f t="shared" si="13"/>
        <v>2749.835</v>
      </c>
      <c r="G60" s="77">
        <f t="shared" si="13"/>
        <v>2749.835</v>
      </c>
      <c r="H60" s="77">
        <f t="shared" si="13"/>
        <v>2749.835</v>
      </c>
      <c r="I60" s="77">
        <f t="shared" si="13"/>
        <v>2749.8398923246823</v>
      </c>
      <c r="J60" s="77">
        <f t="shared" si="13"/>
        <v>2749.8398923246823</v>
      </c>
      <c r="K60" s="77">
        <f t="shared" si="13"/>
        <v>2749.8398923246823</v>
      </c>
      <c r="L60" s="77">
        <f t="shared" si="13"/>
        <v>2614.0048923246823</v>
      </c>
      <c r="M60" s="77">
        <f t="shared" si="13"/>
        <v>2614.0048923246823</v>
      </c>
      <c r="N60" s="77">
        <f t="shared" si="13"/>
        <v>2614.0048923246823</v>
      </c>
      <c r="O60" s="77">
        <f t="shared" si="13"/>
        <v>2614.0048923246823</v>
      </c>
      <c r="P60" s="77">
        <f t="shared" si="13"/>
        <v>2614.0048923246823</v>
      </c>
      <c r="Q60" s="77">
        <f t="shared" si="13"/>
        <v>2420.7415019326336</v>
      </c>
      <c r="R60" s="77">
        <f t="shared" si="13"/>
        <v>2420.7415019326336</v>
      </c>
      <c r="S60" s="77">
        <f t="shared" si="13"/>
        <v>2420.7415019326336</v>
      </c>
      <c r="T60" s="77">
        <f t="shared" si="13"/>
        <v>2420.7415019326336</v>
      </c>
      <c r="U60" s="77">
        <f t="shared" si="13"/>
        <v>2420.7415019326336</v>
      </c>
      <c r="V60" s="77">
        <f t="shared" si="13"/>
        <v>2420.7415019326336</v>
      </c>
      <c r="W60" s="77">
        <f t="shared" si="13"/>
        <v>2420.7415019326336</v>
      </c>
      <c r="X60" s="77">
        <f t="shared" si="13"/>
        <v>2420.7415019326336</v>
      </c>
      <c r="Y60" s="77">
        <f t="shared" si="13"/>
        <v>2420.7415019326336</v>
      </c>
      <c r="Z60" s="77">
        <f t="shared" si="13"/>
        <v>2420.7415019326336</v>
      </c>
      <c r="AA60" s="77">
        <f t="shared" si="13"/>
        <v>2420.7415019326336</v>
      </c>
    </row>
    <row r="61" spans="1:28" s="36" customFormat="1" ht="13" customHeight="1" x14ac:dyDescent="0.3">
      <c r="A61" s="104" t="s">
        <v>199</v>
      </c>
      <c r="B61" s="102">
        <f>B60</f>
        <v>-1236.2360666666668</v>
      </c>
      <c r="C61" s="103">
        <f>SUM(B60:C60)</f>
        <v>-2039.2704666666668</v>
      </c>
      <c r="D61" s="103">
        <f>SUM(B60:D60)</f>
        <v>-641.6099743419843</v>
      </c>
      <c r="E61" s="103">
        <f>SUM(B60:E60)</f>
        <v>1903.4900256580156</v>
      </c>
      <c r="F61" s="103">
        <f>SUM(B60:F60)</f>
        <v>4653.3250256580159</v>
      </c>
      <c r="G61" s="103">
        <f>SUM(B60:G60)</f>
        <v>7403.1600256580159</v>
      </c>
      <c r="H61" s="103">
        <f>SUM(B60:H60)</f>
        <v>10152.995025658016</v>
      </c>
      <c r="I61" s="103">
        <f>SUM(B60:I60)</f>
        <v>12902.834917982698</v>
      </c>
      <c r="J61" s="103">
        <f>SUM(B60:J60)</f>
        <v>15652.674810307381</v>
      </c>
      <c r="K61" s="103">
        <f>SUM(B60:K60)</f>
        <v>18402.514702632063</v>
      </c>
      <c r="L61" s="103">
        <f>SUM(C60:L60)</f>
        <v>22252.755661623411</v>
      </c>
      <c r="M61" s="103">
        <f>SUM(D60:M60)</f>
        <v>25669.794953948094</v>
      </c>
      <c r="N61" s="103">
        <f>SUM(B60:N60)</f>
        <v>26244.529379606112</v>
      </c>
      <c r="O61" s="103">
        <f>SUM(B60:O60)</f>
        <v>28858.534271930796</v>
      </c>
      <c r="P61" s="103">
        <f>SUM(B60:P60)</f>
        <v>31472.539164255479</v>
      </c>
      <c r="Q61" s="103">
        <f>SUM(B60:Q60)</f>
        <v>33893.280666188111</v>
      </c>
      <c r="R61" s="103">
        <f>SUM(B60:R60)</f>
        <v>36314.022168120748</v>
      </c>
      <c r="S61" s="103">
        <f>SUM(B60:S60)</f>
        <v>38734.763670053384</v>
      </c>
      <c r="T61" s="103">
        <f>SUM(B60:T60)</f>
        <v>41155.50517198602</v>
      </c>
      <c r="U61" s="103">
        <f>SUM(B60:U60)</f>
        <v>43576.246673918657</v>
      </c>
      <c r="V61" s="103">
        <f>SUM(B60:V60)</f>
        <v>45996.988175851293</v>
      </c>
      <c r="W61" s="103">
        <f>SUM(B60:W60)</f>
        <v>48417.729677783929</v>
      </c>
      <c r="X61" s="103">
        <f>SUM(B60:X60)</f>
        <v>50838.471179716566</v>
      </c>
      <c r="Y61" s="103">
        <f>SUM(B60:Y60)</f>
        <v>53259.212681649202</v>
      </c>
      <c r="Z61" s="103">
        <f>SUM(B60:Z60)</f>
        <v>55679.954183581838</v>
      </c>
      <c r="AA61" s="103">
        <f>SUM(B60:AA60)</f>
        <v>58100.695685514474</v>
      </c>
    </row>
    <row r="62" spans="1:28" s="36" customFormat="1" ht="13" customHeight="1" x14ac:dyDescent="0.3">
      <c r="A62" s="104" t="s">
        <v>200</v>
      </c>
      <c r="B62" s="102">
        <f t="shared" ref="B62:AA62" si="14">B25-B32+B2-B58</f>
        <v>-1236.2360666666668</v>
      </c>
      <c r="C62" s="102">
        <f t="shared" si="14"/>
        <v>-803.03440000000001</v>
      </c>
      <c r="D62" s="102">
        <f t="shared" si="14"/>
        <v>1397.6604923246825</v>
      </c>
      <c r="E62" s="102">
        <f t="shared" si="14"/>
        <v>2545.1</v>
      </c>
      <c r="F62" s="102">
        <f t="shared" si="14"/>
        <v>2749.835</v>
      </c>
      <c r="G62" s="102">
        <f t="shared" si="14"/>
        <v>2749.835</v>
      </c>
      <c r="H62" s="102">
        <f t="shared" si="14"/>
        <v>2749.835</v>
      </c>
      <c r="I62" s="102">
        <f t="shared" si="14"/>
        <v>2749.8398923246823</v>
      </c>
      <c r="J62" s="102">
        <f t="shared" si="14"/>
        <v>2749.8398923246823</v>
      </c>
      <c r="K62" s="102">
        <f t="shared" si="14"/>
        <v>2749.8398923246823</v>
      </c>
      <c r="L62" s="102">
        <f t="shared" si="14"/>
        <v>2614.0048923246823</v>
      </c>
      <c r="M62" s="102">
        <f t="shared" si="14"/>
        <v>2614.0048923246823</v>
      </c>
      <c r="N62" s="102">
        <f t="shared" si="14"/>
        <v>2614.0048923246823</v>
      </c>
      <c r="O62" s="102">
        <f t="shared" si="14"/>
        <v>2614.0048923246823</v>
      </c>
      <c r="P62" s="102">
        <f t="shared" si="14"/>
        <v>2614.0048923246823</v>
      </c>
      <c r="Q62" s="102">
        <f t="shared" si="14"/>
        <v>2420.7415019326336</v>
      </c>
      <c r="R62" s="102">
        <f t="shared" si="14"/>
        <v>2420.7415019326336</v>
      </c>
      <c r="S62" s="102">
        <f t="shared" si="14"/>
        <v>2420.7415019326336</v>
      </c>
      <c r="T62" s="102">
        <f t="shared" si="14"/>
        <v>2420.7415019326336</v>
      </c>
      <c r="U62" s="102">
        <f t="shared" si="14"/>
        <v>2420.7415019326336</v>
      </c>
      <c r="V62" s="102">
        <f t="shared" si="14"/>
        <v>2420.7415019326336</v>
      </c>
      <c r="W62" s="102">
        <f t="shared" si="14"/>
        <v>2420.7415019326336</v>
      </c>
      <c r="X62" s="102">
        <f t="shared" si="14"/>
        <v>2420.7415019326336</v>
      </c>
      <c r="Y62" s="102">
        <f t="shared" si="14"/>
        <v>2420.7415019326336</v>
      </c>
      <c r="Z62" s="102">
        <f t="shared" si="14"/>
        <v>2420.7415019326336</v>
      </c>
      <c r="AA62" s="102">
        <f t="shared" si="14"/>
        <v>2420.7415019326336</v>
      </c>
    </row>
    <row r="63" spans="1:28" s="36" customFormat="1" ht="13" customHeight="1" x14ac:dyDescent="0.3"/>
    <row r="64" spans="1:28" s="36" customFormat="1" ht="13" customHeight="1" x14ac:dyDescent="0.35">
      <c r="A64" s="259"/>
      <c r="B64" s="259"/>
      <c r="C64" s="215"/>
      <c r="D64" s="215"/>
      <c r="E64" s="215"/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15"/>
      <c r="Y64" s="215"/>
      <c r="Z64" s="215"/>
      <c r="AA64" s="215"/>
      <c r="AB64" s="215"/>
    </row>
    <row r="65" spans="1:28" s="36" customFormat="1" ht="13" customHeight="1" x14ac:dyDescent="0.35">
      <c r="A65" s="270" t="s">
        <v>134</v>
      </c>
      <c r="B65" s="261">
        <f>XIRR(B62:AA62,B20:AA20)</f>
        <v>0.67894590497016893</v>
      </c>
      <c r="C65" s="215"/>
      <c r="D65" s="272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</row>
    <row r="66" spans="1:28" s="36" customFormat="1" ht="13" customHeight="1" x14ac:dyDescent="0.35">
      <c r="A66" s="270" t="s">
        <v>135</v>
      </c>
      <c r="B66" s="263">
        <f>XNPV(B16,B62:AA62,B20:AA20)</f>
        <v>52335.125686533022</v>
      </c>
      <c r="C66" s="215"/>
      <c r="D66" s="272"/>
      <c r="E66" s="215"/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15"/>
      <c r="Y66" s="215"/>
      <c r="Z66" s="215"/>
      <c r="AA66" s="215"/>
      <c r="AB66" s="215"/>
    </row>
    <row r="67" spans="1:28" s="36" customFormat="1" ht="13" customHeight="1" x14ac:dyDescent="0.35">
      <c r="A67" s="270" t="s">
        <v>136</v>
      </c>
      <c r="B67" s="265">
        <f>XNPV(B17,B62:AA62,B20:AA20)</f>
        <v>14885.567935688021</v>
      </c>
      <c r="C67" s="215"/>
      <c r="D67" s="215"/>
      <c r="E67" s="215"/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15"/>
      <c r="Y67" s="215"/>
      <c r="Z67" s="215"/>
      <c r="AA67" s="215"/>
      <c r="AB67" s="215"/>
    </row>
    <row r="68" spans="1:28" s="36" customFormat="1" ht="13" customHeight="1" x14ac:dyDescent="0.35">
      <c r="A68" s="270" t="s">
        <v>137</v>
      </c>
      <c r="B68" s="263">
        <f>XNPV(B18,B62:AA62,B20:AA20)</f>
        <v>7735.4938195868472</v>
      </c>
      <c r="C68" s="215"/>
      <c r="D68" s="109"/>
      <c r="F68" s="108"/>
      <c r="G68" s="109"/>
    </row>
    <row r="69" spans="1:28" s="36" customFormat="1" ht="13" customHeight="1" x14ac:dyDescent="0.35">
      <c r="A69" s="271" t="s">
        <v>138</v>
      </c>
      <c r="B69" s="266">
        <f>(1500-D61)/E60+3</f>
        <v>3.8414639795457877</v>
      </c>
      <c r="C69" s="109"/>
      <c r="D69" s="109"/>
      <c r="F69" s="108"/>
      <c r="G69" s="109"/>
    </row>
    <row r="70" spans="1:28" s="36" customFormat="1" ht="13" customHeight="1" x14ac:dyDescent="0.3">
      <c r="B70" s="108"/>
      <c r="C70" s="109"/>
      <c r="D70" s="170"/>
    </row>
    <row r="71" spans="1:28" s="36" customFormat="1" ht="13" customHeight="1" x14ac:dyDescent="0.3">
      <c r="B71" s="108"/>
      <c r="C71" s="109"/>
      <c r="D71" s="109"/>
      <c r="E71" s="170"/>
    </row>
    <row r="72" spans="1:28" s="36" customFormat="1" ht="13" customHeight="1" x14ac:dyDescent="0.3">
      <c r="A72" s="72" t="s">
        <v>201</v>
      </c>
      <c r="B72" s="67"/>
      <c r="C72" s="86"/>
      <c r="D72" s="86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</row>
    <row r="73" spans="1:28" s="36" customFormat="1" ht="13" customHeight="1" x14ac:dyDescent="0.3">
      <c r="A73" s="24" t="s">
        <v>104</v>
      </c>
      <c r="B73" s="112">
        <v>44470</v>
      </c>
      <c r="C73" s="113">
        <v>44926</v>
      </c>
      <c r="D73" s="113">
        <v>45291</v>
      </c>
      <c r="E73" s="113">
        <v>45657</v>
      </c>
      <c r="F73" s="113">
        <v>46022</v>
      </c>
      <c r="G73" s="113">
        <v>46387</v>
      </c>
      <c r="H73" s="113">
        <v>46752</v>
      </c>
      <c r="I73" s="113">
        <v>47118</v>
      </c>
      <c r="J73" s="113">
        <v>47483</v>
      </c>
      <c r="K73" s="113">
        <v>47848</v>
      </c>
      <c r="L73" s="113">
        <v>48213</v>
      </c>
      <c r="M73" s="113">
        <v>48579</v>
      </c>
      <c r="N73" s="113">
        <v>48944</v>
      </c>
      <c r="O73" s="113">
        <v>49309</v>
      </c>
      <c r="P73" s="113">
        <v>49674</v>
      </c>
      <c r="Q73" s="113">
        <v>50040</v>
      </c>
      <c r="R73" s="113">
        <v>50405</v>
      </c>
      <c r="S73" s="113">
        <v>50770</v>
      </c>
      <c r="T73" s="113">
        <v>51135</v>
      </c>
      <c r="U73" s="113">
        <v>51501</v>
      </c>
      <c r="V73" s="113">
        <v>51866</v>
      </c>
      <c r="W73" s="113">
        <v>52231</v>
      </c>
      <c r="X73" s="113">
        <v>52596</v>
      </c>
      <c r="Y73" s="113">
        <v>52962</v>
      </c>
      <c r="Z73" s="113">
        <v>53327</v>
      </c>
      <c r="AA73" s="113">
        <v>53692</v>
      </c>
    </row>
    <row r="74" spans="1:28" s="36" customFormat="1" ht="13" customHeight="1" x14ac:dyDescent="0.3">
      <c r="A74" s="89" t="s">
        <v>161</v>
      </c>
      <c r="B74" s="80"/>
      <c r="C74" s="80"/>
      <c r="D74" s="80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</row>
    <row r="75" spans="1:28" s="36" customFormat="1" ht="13" customHeight="1" x14ac:dyDescent="0.3">
      <c r="A75" s="36" t="s">
        <v>202</v>
      </c>
      <c r="B75" s="98">
        <v>1000</v>
      </c>
      <c r="C75" s="98">
        <v>250</v>
      </c>
      <c r="D75" s="273">
        <v>250</v>
      </c>
    </row>
    <row r="76" spans="1:28" s="36" customFormat="1" ht="13" customHeight="1" x14ac:dyDescent="0.3">
      <c r="A76" s="24" t="s">
        <v>203</v>
      </c>
      <c r="B76" s="80"/>
      <c r="C76" s="80"/>
      <c r="D76" s="76"/>
      <c r="E76" s="76">
        <f>0.75*E6</f>
        <v>13607.775000000001</v>
      </c>
      <c r="F76" s="76">
        <f>0.75*E6</f>
        <v>13607.775000000001</v>
      </c>
      <c r="G76" s="76">
        <v>13607.78</v>
      </c>
      <c r="H76" s="76">
        <v>13607.78</v>
      </c>
      <c r="I76" s="76">
        <v>13607.78</v>
      </c>
      <c r="J76" s="76">
        <v>13607.78</v>
      </c>
      <c r="K76" s="76">
        <v>13607.78</v>
      </c>
      <c r="L76" s="76">
        <v>13607.78</v>
      </c>
      <c r="M76" s="76">
        <v>13607.78</v>
      </c>
      <c r="N76" s="76">
        <v>13607.78</v>
      </c>
      <c r="O76" s="76">
        <v>13607.78</v>
      </c>
      <c r="P76" s="76">
        <v>13607.78</v>
      </c>
      <c r="Q76" s="76">
        <v>13607.78</v>
      </c>
      <c r="R76" s="76">
        <f>0.75*16000</f>
        <v>12000</v>
      </c>
      <c r="S76" s="76">
        <f t="shared" ref="S76:AA76" si="15">0.75*16000</f>
        <v>12000</v>
      </c>
      <c r="T76" s="76">
        <f t="shared" si="15"/>
        <v>12000</v>
      </c>
      <c r="U76" s="76">
        <f t="shared" si="15"/>
        <v>12000</v>
      </c>
      <c r="V76" s="76">
        <f t="shared" si="15"/>
        <v>12000</v>
      </c>
      <c r="W76" s="76">
        <f t="shared" si="15"/>
        <v>12000</v>
      </c>
      <c r="X76" s="76">
        <f t="shared" si="15"/>
        <v>12000</v>
      </c>
      <c r="Y76" s="76">
        <f t="shared" si="15"/>
        <v>12000</v>
      </c>
      <c r="Z76" s="76">
        <f t="shared" si="15"/>
        <v>12000</v>
      </c>
      <c r="AA76" s="76">
        <f t="shared" si="15"/>
        <v>12000</v>
      </c>
    </row>
    <row r="77" spans="1:28" s="36" customFormat="1" ht="13" customHeight="1" x14ac:dyDescent="0.3">
      <c r="A77" s="24" t="s">
        <v>204</v>
      </c>
      <c r="B77" s="90"/>
      <c r="C77" s="80"/>
      <c r="D77" s="91"/>
      <c r="E77" s="97">
        <v>248.48150193263393</v>
      </c>
      <c r="F77" s="97">
        <f>248.48</f>
        <v>248.48</v>
      </c>
      <c r="G77" s="97">
        <f t="shared" ref="G77:L77" si="16">248.48</f>
        <v>248.48</v>
      </c>
      <c r="H77" s="97">
        <f t="shared" si="16"/>
        <v>248.48</v>
      </c>
      <c r="I77" s="97">
        <f t="shared" si="16"/>
        <v>248.48</v>
      </c>
      <c r="J77" s="97">
        <f t="shared" si="16"/>
        <v>248.48</v>
      </c>
      <c r="K77" s="97">
        <f t="shared" si="16"/>
        <v>248.48</v>
      </c>
      <c r="L77" s="97">
        <f t="shared" si="16"/>
        <v>248.48</v>
      </c>
      <c r="M77" s="97">
        <v>3714.4802823005016</v>
      </c>
      <c r="N77" s="97">
        <v>276.08999999999997</v>
      </c>
      <c r="O77" s="97">
        <v>276.08999999999997</v>
      </c>
      <c r="P77" s="97">
        <v>276.08999999999997</v>
      </c>
      <c r="Q77" s="97">
        <v>276.08999999999997</v>
      </c>
      <c r="R77" s="97">
        <v>276.08999999999997</v>
      </c>
      <c r="S77" s="97">
        <v>276.08999999999997</v>
      </c>
      <c r="T77" s="97">
        <v>276.08999999999997</v>
      </c>
      <c r="U77" s="97">
        <v>276.08999999999997</v>
      </c>
      <c r="V77" s="97">
        <v>276.08999999999997</v>
      </c>
      <c r="W77" s="97">
        <v>276.08999999999997</v>
      </c>
      <c r="X77" s="97">
        <v>276.08999999999997</v>
      </c>
      <c r="Y77" s="97">
        <v>276.08999999999997</v>
      </c>
      <c r="Z77" s="97">
        <v>276.08999999999997</v>
      </c>
      <c r="AA77" s="97">
        <v>276.08999999999997</v>
      </c>
    </row>
    <row r="78" spans="1:28" s="36" customFormat="1" ht="13" customHeight="1" x14ac:dyDescent="0.3">
      <c r="A78" s="71" t="s">
        <v>166</v>
      </c>
      <c r="B78" s="99">
        <f>SUM(B75:B77)</f>
        <v>1000</v>
      </c>
      <c r="C78" s="99">
        <f>C75</f>
        <v>250</v>
      </c>
      <c r="D78" s="99">
        <v>250</v>
      </c>
      <c r="E78" s="77">
        <f t="shared" ref="E78:AA78" si="17">SUM(E76:E77)</f>
        <v>13856.256501932636</v>
      </c>
      <c r="F78" s="77">
        <f t="shared" si="17"/>
        <v>13856.255000000001</v>
      </c>
      <c r="G78" s="77">
        <f t="shared" si="17"/>
        <v>13856.26</v>
      </c>
      <c r="H78" s="77">
        <f t="shared" si="17"/>
        <v>13856.26</v>
      </c>
      <c r="I78" s="77">
        <f t="shared" si="17"/>
        <v>13856.26</v>
      </c>
      <c r="J78" s="77">
        <f t="shared" si="17"/>
        <v>13856.26</v>
      </c>
      <c r="K78" s="77">
        <f t="shared" si="17"/>
        <v>13856.26</v>
      </c>
      <c r="L78" s="77">
        <f t="shared" si="17"/>
        <v>13856.26</v>
      </c>
      <c r="M78" s="77">
        <f t="shared" si="17"/>
        <v>17322.260282300504</v>
      </c>
      <c r="N78" s="77">
        <f t="shared" si="17"/>
        <v>13883.87</v>
      </c>
      <c r="O78" s="77">
        <f t="shared" si="17"/>
        <v>13883.87</v>
      </c>
      <c r="P78" s="77">
        <f t="shared" si="17"/>
        <v>13883.87</v>
      </c>
      <c r="Q78" s="77">
        <f t="shared" si="17"/>
        <v>13883.87</v>
      </c>
      <c r="R78" s="77">
        <f t="shared" si="17"/>
        <v>12276.09</v>
      </c>
      <c r="S78" s="77">
        <f t="shared" si="17"/>
        <v>12276.09</v>
      </c>
      <c r="T78" s="77">
        <f t="shared" si="17"/>
        <v>12276.09</v>
      </c>
      <c r="U78" s="77">
        <f t="shared" si="17"/>
        <v>12276.09</v>
      </c>
      <c r="V78" s="77">
        <f t="shared" si="17"/>
        <v>12276.09</v>
      </c>
      <c r="W78" s="77">
        <f t="shared" si="17"/>
        <v>12276.09</v>
      </c>
      <c r="X78" s="77">
        <f t="shared" si="17"/>
        <v>12276.09</v>
      </c>
      <c r="Y78" s="77">
        <f t="shared" si="17"/>
        <v>12276.09</v>
      </c>
      <c r="Z78" s="77">
        <f t="shared" si="17"/>
        <v>12276.09</v>
      </c>
      <c r="AA78" s="77">
        <f t="shared" si="17"/>
        <v>12276.09</v>
      </c>
    </row>
    <row r="79" spans="1:28" s="36" customFormat="1" ht="13" customHeight="1" x14ac:dyDescent="0.3">
      <c r="A79" s="24"/>
      <c r="B79" s="80"/>
      <c r="C79" s="80"/>
      <c r="D79" s="80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</row>
    <row r="80" spans="1:28" s="36" customFormat="1" ht="13" customHeight="1" x14ac:dyDescent="0.3">
      <c r="A80" s="89" t="s">
        <v>167</v>
      </c>
      <c r="B80" s="76"/>
      <c r="C80" s="87"/>
      <c r="D80" s="80"/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</row>
    <row r="81" spans="1:27" s="36" customFormat="1" ht="13" customHeight="1" x14ac:dyDescent="0.3">
      <c r="A81" s="74" t="s">
        <v>168</v>
      </c>
      <c r="B81" s="76"/>
      <c r="C81" s="87"/>
      <c r="D81" s="80"/>
      <c r="E81" s="73">
        <f t="shared" ref="E81:K81" si="18">SUM(E80:E80)</f>
        <v>0</v>
      </c>
      <c r="F81" s="73">
        <f t="shared" si="18"/>
        <v>0</v>
      </c>
      <c r="G81" s="73">
        <f t="shared" si="18"/>
        <v>0</v>
      </c>
      <c r="H81" s="73">
        <f t="shared" si="18"/>
        <v>0</v>
      </c>
      <c r="I81" s="73">
        <f t="shared" si="18"/>
        <v>0</v>
      </c>
      <c r="J81" s="73">
        <f t="shared" si="18"/>
        <v>0</v>
      </c>
      <c r="K81" s="73">
        <f t="shared" si="18"/>
        <v>0</v>
      </c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</row>
    <row r="82" spans="1:27" s="36" customFormat="1" ht="13" customHeight="1" x14ac:dyDescent="0.3">
      <c r="A82" s="74" t="s">
        <v>169</v>
      </c>
      <c r="B82" s="76">
        <f>6/100*B110</f>
        <v>98.97420000000001</v>
      </c>
      <c r="C82" s="76">
        <f t="shared" ref="C82:AA82" si="19">6/100*C110</f>
        <v>13.999199999999998</v>
      </c>
      <c r="D82" s="76">
        <f t="shared" si="19"/>
        <v>33.979199999999992</v>
      </c>
      <c r="E82" s="76">
        <f t="shared" si="19"/>
        <v>19.86</v>
      </c>
      <c r="F82" s="76">
        <f t="shared" si="19"/>
        <v>39.839999999999996</v>
      </c>
      <c r="G82" s="76">
        <f t="shared" si="19"/>
        <v>19.86</v>
      </c>
      <c r="H82" s="76">
        <f t="shared" si="19"/>
        <v>39.839999999999996</v>
      </c>
      <c r="I82" s="76">
        <f t="shared" si="19"/>
        <v>19.86</v>
      </c>
      <c r="J82" s="76">
        <f t="shared" si="19"/>
        <v>39.839999999999996</v>
      </c>
      <c r="K82" s="76">
        <f t="shared" si="19"/>
        <v>19.86</v>
      </c>
      <c r="L82" s="76">
        <f t="shared" si="19"/>
        <v>39.839999999999996</v>
      </c>
      <c r="M82" s="76">
        <f t="shared" si="19"/>
        <v>19.86</v>
      </c>
      <c r="N82" s="76">
        <f t="shared" si="19"/>
        <v>39.839999999999996</v>
      </c>
      <c r="O82" s="76">
        <f t="shared" si="19"/>
        <v>19.86</v>
      </c>
      <c r="P82" s="76">
        <f t="shared" si="19"/>
        <v>39.839999999999996</v>
      </c>
      <c r="Q82" s="76">
        <f t="shared" si="19"/>
        <v>19.86</v>
      </c>
      <c r="R82" s="76">
        <f t="shared" si="19"/>
        <v>39.839999999999996</v>
      </c>
      <c r="S82" s="76">
        <f t="shared" si="19"/>
        <v>19.86</v>
      </c>
      <c r="T82" s="76">
        <f t="shared" si="19"/>
        <v>39.839999999999996</v>
      </c>
      <c r="U82" s="76">
        <f t="shared" si="19"/>
        <v>19.86</v>
      </c>
      <c r="V82" s="76">
        <f t="shared" si="19"/>
        <v>39.839999999999996</v>
      </c>
      <c r="W82" s="76">
        <f t="shared" si="19"/>
        <v>19.86</v>
      </c>
      <c r="X82" s="76">
        <f t="shared" si="19"/>
        <v>39.839999999999996</v>
      </c>
      <c r="Y82" s="76">
        <f t="shared" si="19"/>
        <v>19.86</v>
      </c>
      <c r="Z82" s="76">
        <f t="shared" si="19"/>
        <v>39.839999999999996</v>
      </c>
      <c r="AA82" s="76">
        <f t="shared" si="19"/>
        <v>19.86</v>
      </c>
    </row>
    <row r="83" spans="1:27" s="36" customFormat="1" ht="13" customHeight="1" x14ac:dyDescent="0.3">
      <c r="A83" s="24" t="s">
        <v>170</v>
      </c>
      <c r="B83" s="76"/>
      <c r="C83" s="87"/>
      <c r="D83" s="87"/>
      <c r="E83" s="87"/>
      <c r="F83" s="87"/>
      <c r="G83" s="87"/>
      <c r="H83" s="87"/>
      <c r="I83" s="87"/>
      <c r="J83" s="87"/>
      <c r="K83" s="73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</row>
    <row r="84" spans="1:27" s="36" customFormat="1" ht="13" customHeight="1" x14ac:dyDescent="0.3">
      <c r="A84" s="74" t="s">
        <v>205</v>
      </c>
      <c r="B84" s="76">
        <f>5/100*B92</f>
        <v>16.666666666666668</v>
      </c>
      <c r="C84" s="87">
        <f>5/100*B92</f>
        <v>16.666666666666668</v>
      </c>
      <c r="D84" s="87">
        <f>5/100*B92</f>
        <v>16.666666666666668</v>
      </c>
      <c r="E84" s="87">
        <f>5/100*B92</f>
        <v>16.666666666666668</v>
      </c>
      <c r="F84" s="87">
        <v>18.41</v>
      </c>
      <c r="G84" s="87">
        <v>18.41</v>
      </c>
      <c r="H84" s="87">
        <v>18.41</v>
      </c>
      <c r="I84" s="87">
        <v>18.41</v>
      </c>
      <c r="J84" s="87">
        <v>18.41</v>
      </c>
      <c r="K84" s="87">
        <v>18.41</v>
      </c>
      <c r="L84" s="87">
        <v>18.41</v>
      </c>
      <c r="M84" s="87">
        <v>18.41</v>
      </c>
      <c r="N84" s="87">
        <v>18.41</v>
      </c>
      <c r="O84" s="87">
        <v>18.41</v>
      </c>
      <c r="P84" s="87">
        <v>18.41</v>
      </c>
      <c r="Q84" s="87">
        <v>18.41</v>
      </c>
      <c r="R84" s="87">
        <v>18.41</v>
      </c>
      <c r="S84" s="87">
        <v>18.41</v>
      </c>
      <c r="T84" s="87">
        <v>18.41</v>
      </c>
      <c r="U84" s="87">
        <v>18.41</v>
      </c>
      <c r="V84" s="87">
        <v>18.41</v>
      </c>
      <c r="W84" s="87">
        <v>18.41</v>
      </c>
      <c r="X84" s="87">
        <v>18.41</v>
      </c>
      <c r="Y84" s="87">
        <v>18.41</v>
      </c>
      <c r="Z84" s="87">
        <v>18.41</v>
      </c>
      <c r="AA84" s="87">
        <v>18.41</v>
      </c>
    </row>
    <row r="85" spans="1:27" s="36" customFormat="1" ht="13" customHeight="1" x14ac:dyDescent="0.3">
      <c r="A85" s="74" t="s">
        <v>206</v>
      </c>
      <c r="B85" s="76">
        <f>5/100*B107</f>
        <v>22.5</v>
      </c>
      <c r="C85" s="76">
        <f>B85</f>
        <v>22.5</v>
      </c>
      <c r="D85" s="76">
        <f>C85</f>
        <v>22.5</v>
      </c>
      <c r="E85" s="87">
        <f>D85</f>
        <v>22.5</v>
      </c>
      <c r="F85" s="87">
        <f>E85</f>
        <v>22.5</v>
      </c>
      <c r="G85" s="87">
        <v>132.69</v>
      </c>
      <c r="H85" s="87">
        <v>132.69</v>
      </c>
      <c r="I85" s="87">
        <v>132.69</v>
      </c>
      <c r="J85" s="87">
        <v>132.69</v>
      </c>
      <c r="K85" s="87">
        <v>132.69</v>
      </c>
      <c r="L85" s="87">
        <v>132.69</v>
      </c>
      <c r="M85" s="87">
        <v>132.69</v>
      </c>
      <c r="N85" s="87">
        <v>132.69</v>
      </c>
      <c r="O85" s="87">
        <v>132.69</v>
      </c>
      <c r="P85" s="87">
        <v>132.69</v>
      </c>
      <c r="Q85" s="87">
        <v>132.69</v>
      </c>
      <c r="R85" s="87">
        <v>132.69</v>
      </c>
      <c r="S85" s="87">
        <v>132.69</v>
      </c>
      <c r="T85" s="87">
        <v>132.69</v>
      </c>
      <c r="U85" s="87">
        <v>132.69</v>
      </c>
      <c r="V85" s="87">
        <v>132.69</v>
      </c>
      <c r="W85" s="87">
        <v>132.69</v>
      </c>
      <c r="X85" s="87">
        <v>132.69</v>
      </c>
      <c r="Y85" s="87">
        <v>132.69</v>
      </c>
      <c r="Z85" s="87">
        <v>132.69</v>
      </c>
      <c r="AA85" s="87">
        <v>132.69</v>
      </c>
    </row>
    <row r="86" spans="1:27" s="36" customFormat="1" ht="13" customHeight="1" x14ac:dyDescent="0.3">
      <c r="A86" s="71" t="s">
        <v>172</v>
      </c>
      <c r="B86" s="93">
        <f t="shared" ref="B86:AA86" si="20">SUM(B82:B85)</f>
        <v>138.14086666666668</v>
      </c>
      <c r="C86" s="94">
        <f t="shared" si="20"/>
        <v>53.165866666666666</v>
      </c>
      <c r="D86" s="94">
        <f t="shared" si="20"/>
        <v>73.145866666666663</v>
      </c>
      <c r="E86" s="94">
        <f t="shared" si="20"/>
        <v>59.026666666666671</v>
      </c>
      <c r="F86" s="94">
        <f t="shared" si="20"/>
        <v>80.75</v>
      </c>
      <c r="G86" s="94">
        <f t="shared" si="20"/>
        <v>170.95999999999998</v>
      </c>
      <c r="H86" s="94">
        <f t="shared" si="20"/>
        <v>190.94</v>
      </c>
      <c r="I86" s="94">
        <f t="shared" si="20"/>
        <v>170.95999999999998</v>
      </c>
      <c r="J86" s="94">
        <f t="shared" si="20"/>
        <v>190.94</v>
      </c>
      <c r="K86" s="101">
        <f t="shared" si="20"/>
        <v>170.95999999999998</v>
      </c>
      <c r="L86" s="94">
        <f t="shared" si="20"/>
        <v>190.94</v>
      </c>
      <c r="M86" s="94">
        <f t="shared" si="20"/>
        <v>170.95999999999998</v>
      </c>
      <c r="N86" s="94">
        <f t="shared" si="20"/>
        <v>190.94</v>
      </c>
      <c r="O86" s="94">
        <f t="shared" si="20"/>
        <v>170.95999999999998</v>
      </c>
      <c r="P86" s="94">
        <f t="shared" si="20"/>
        <v>190.94</v>
      </c>
      <c r="Q86" s="94">
        <f t="shared" si="20"/>
        <v>170.95999999999998</v>
      </c>
      <c r="R86" s="94">
        <f t="shared" si="20"/>
        <v>190.94</v>
      </c>
      <c r="S86" s="94">
        <f t="shared" si="20"/>
        <v>170.95999999999998</v>
      </c>
      <c r="T86" s="94">
        <f t="shared" si="20"/>
        <v>190.94</v>
      </c>
      <c r="U86" s="94">
        <f t="shared" si="20"/>
        <v>170.95999999999998</v>
      </c>
      <c r="V86" s="94">
        <f t="shared" si="20"/>
        <v>190.94</v>
      </c>
      <c r="W86" s="94">
        <f t="shared" si="20"/>
        <v>170.95999999999998</v>
      </c>
      <c r="X86" s="94">
        <f t="shared" si="20"/>
        <v>190.94</v>
      </c>
      <c r="Y86" s="94">
        <f t="shared" si="20"/>
        <v>170.95999999999998</v>
      </c>
      <c r="Z86" s="94">
        <f t="shared" si="20"/>
        <v>190.94</v>
      </c>
      <c r="AA86" s="94">
        <f t="shared" si="20"/>
        <v>170.95999999999998</v>
      </c>
    </row>
    <row r="87" spans="1:27" s="36" customFormat="1" ht="13" customHeight="1" x14ac:dyDescent="0.3">
      <c r="A87" s="24"/>
      <c r="B87" s="76"/>
      <c r="C87" s="87"/>
      <c r="D87" s="87"/>
      <c r="E87" s="73"/>
      <c r="F87" s="73"/>
      <c r="G87" s="73"/>
      <c r="H87" s="73"/>
      <c r="I87" s="73"/>
      <c r="J87" s="73"/>
      <c r="K87" s="73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</row>
    <row r="88" spans="1:27" s="36" customFormat="1" ht="13" customHeight="1" x14ac:dyDescent="0.3">
      <c r="A88" s="89" t="s">
        <v>173</v>
      </c>
      <c r="B88" s="76"/>
      <c r="C88" s="87"/>
      <c r="D88" s="87"/>
      <c r="E88" s="73"/>
      <c r="F88" s="73"/>
      <c r="G88" s="73"/>
      <c r="H88" s="73"/>
      <c r="I88" s="73"/>
      <c r="J88" s="73"/>
      <c r="K88" s="73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</row>
    <row r="89" spans="1:27" s="36" customFormat="1" ht="13" customHeight="1" x14ac:dyDescent="0.3">
      <c r="A89" s="83" t="s">
        <v>174</v>
      </c>
      <c r="B89" s="76"/>
      <c r="C89" s="87"/>
      <c r="D89" s="87"/>
      <c r="E89" s="73"/>
      <c r="F89" s="73"/>
      <c r="G89" s="73"/>
      <c r="H89" s="73"/>
      <c r="I89" s="73"/>
      <c r="J89" s="73"/>
      <c r="K89" s="73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</row>
    <row r="90" spans="1:27" s="36" customFormat="1" ht="13" customHeight="1" x14ac:dyDescent="0.3">
      <c r="A90" s="75" t="s">
        <v>175</v>
      </c>
      <c r="B90" s="76">
        <f>50000/B9</f>
        <v>83.333333333333329</v>
      </c>
      <c r="C90" s="87"/>
      <c r="D90" s="87"/>
      <c r="E90" s="73"/>
      <c r="F90" s="73"/>
      <c r="G90" s="73"/>
      <c r="H90" s="73"/>
      <c r="I90" s="73"/>
      <c r="J90" s="73"/>
      <c r="K90" s="73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</row>
    <row r="91" spans="1:27" s="36" customFormat="1" ht="13" customHeight="1" x14ac:dyDescent="0.3">
      <c r="A91" s="74" t="s">
        <v>176</v>
      </c>
      <c r="B91" s="76">
        <f>175*666/B9</f>
        <v>194.25</v>
      </c>
      <c r="C91" s="314" t="e">
        <f>175*15/#REF!</f>
        <v>#REF!</v>
      </c>
      <c r="D91" s="87"/>
      <c r="E91" s="73"/>
      <c r="F91" s="73"/>
      <c r="G91" s="73"/>
      <c r="H91" s="73"/>
      <c r="I91" s="73"/>
      <c r="J91" s="73"/>
      <c r="K91" s="73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</row>
    <row r="92" spans="1:27" s="36" customFormat="1" ht="13" customHeight="1" x14ac:dyDescent="0.3">
      <c r="A92" s="74" t="s">
        <v>207</v>
      </c>
      <c r="B92" s="76">
        <f>200000/B9</f>
        <v>333.33333333333331</v>
      </c>
      <c r="C92" s="87"/>
      <c r="D92" s="87"/>
      <c r="E92" s="73"/>
      <c r="F92" s="73"/>
      <c r="G92" s="73"/>
      <c r="H92" s="73"/>
      <c r="I92" s="73"/>
      <c r="J92" s="73"/>
      <c r="K92" s="73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</row>
    <row r="93" spans="1:27" s="36" customFormat="1" ht="13" customHeight="1" x14ac:dyDescent="0.3">
      <c r="A93" s="83" t="s">
        <v>208</v>
      </c>
      <c r="B93" s="76"/>
      <c r="C93" s="87"/>
      <c r="D93" s="87"/>
      <c r="E93" s="73"/>
      <c r="F93" s="73"/>
      <c r="G93" s="73"/>
      <c r="H93" s="73"/>
      <c r="I93" s="73"/>
      <c r="J93" s="73"/>
      <c r="K93" s="73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</row>
    <row r="94" spans="1:27" s="36" customFormat="1" ht="13" customHeight="1" x14ac:dyDescent="0.3">
      <c r="A94" s="74" t="s">
        <v>209</v>
      </c>
      <c r="B94" s="81">
        <f>20000/B9</f>
        <v>33.333333333333336</v>
      </c>
      <c r="C94" s="87"/>
      <c r="D94" s="87"/>
      <c r="E94" s="73"/>
      <c r="F94" s="73"/>
      <c r="G94" s="73"/>
      <c r="H94" s="73"/>
      <c r="I94" s="73"/>
      <c r="J94" s="73"/>
      <c r="K94" s="73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</row>
    <row r="95" spans="1:27" s="36" customFormat="1" ht="13" customHeight="1" x14ac:dyDescent="0.3">
      <c r="A95" s="83" t="s">
        <v>181</v>
      </c>
      <c r="B95" s="76"/>
      <c r="C95" s="87"/>
      <c r="D95" s="87"/>
      <c r="E95" s="73"/>
      <c r="F95" s="73"/>
      <c r="G95" s="73"/>
      <c r="H95" s="73"/>
      <c r="I95" s="73"/>
      <c r="J95" s="73"/>
      <c r="K95" s="73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</row>
    <row r="96" spans="1:27" s="36" customFormat="1" ht="13" customHeight="1" x14ac:dyDescent="0.3">
      <c r="A96" s="74" t="s">
        <v>182</v>
      </c>
      <c r="B96" s="76">
        <f>150*666/B9</f>
        <v>166.5</v>
      </c>
      <c r="C96" s="87"/>
      <c r="D96" s="87"/>
      <c r="E96" s="73"/>
      <c r="F96" s="73"/>
      <c r="G96" s="73"/>
      <c r="H96" s="73"/>
      <c r="I96" s="73"/>
      <c r="J96" s="73"/>
      <c r="K96" s="73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</row>
    <row r="97" spans="1:27" s="36" customFormat="1" ht="13" customHeight="1" x14ac:dyDescent="0.3">
      <c r="A97" s="74" t="s">
        <v>210</v>
      </c>
      <c r="B97" s="76">
        <f>50*666/B9</f>
        <v>55.5</v>
      </c>
      <c r="C97" s="87"/>
      <c r="D97" s="87"/>
      <c r="E97" s="73"/>
      <c r="F97" s="73"/>
      <c r="G97" s="73"/>
      <c r="H97" s="73"/>
      <c r="I97" s="73"/>
      <c r="J97" s="73"/>
      <c r="K97" s="73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</row>
    <row r="98" spans="1:27" s="36" customFormat="1" ht="13" customHeight="1" x14ac:dyDescent="0.3">
      <c r="A98" s="74" t="s">
        <v>184</v>
      </c>
      <c r="B98" s="76">
        <f>60000/B9</f>
        <v>100</v>
      </c>
      <c r="C98" s="87"/>
      <c r="D98" s="87"/>
      <c r="E98" s="73"/>
      <c r="F98" s="73"/>
      <c r="G98" s="73"/>
      <c r="H98" s="73"/>
      <c r="I98" s="73"/>
      <c r="J98" s="73"/>
      <c r="K98" s="73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</row>
    <row r="99" spans="1:27" s="36" customFormat="1" ht="13" customHeight="1" x14ac:dyDescent="0.3">
      <c r="A99" s="74" t="s">
        <v>185</v>
      </c>
      <c r="B99" s="76">
        <f>1/50*666</f>
        <v>13.32</v>
      </c>
      <c r="C99" s="87">
        <f>B99</f>
        <v>13.32</v>
      </c>
      <c r="D99" s="87">
        <f>C99</f>
        <v>13.32</v>
      </c>
      <c r="E99" s="73"/>
      <c r="F99" s="73"/>
      <c r="G99" s="73"/>
      <c r="H99" s="73"/>
      <c r="I99" s="73"/>
      <c r="J99" s="73"/>
      <c r="K99" s="73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</row>
    <row r="100" spans="1:27" s="36" customFormat="1" ht="13" customHeight="1" x14ac:dyDescent="0.3">
      <c r="A100" s="83" t="s">
        <v>186</v>
      </c>
      <c r="B100" s="76"/>
      <c r="C100" s="87"/>
      <c r="D100" s="87"/>
      <c r="E100" s="73"/>
      <c r="F100" s="73"/>
      <c r="G100" s="73"/>
      <c r="H100" s="73"/>
      <c r="I100" s="73"/>
      <c r="J100" s="73"/>
      <c r="K100" s="73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</row>
    <row r="101" spans="1:27" s="36" customFormat="1" ht="13" customHeight="1" x14ac:dyDescent="0.3">
      <c r="A101" s="74" t="s">
        <v>211</v>
      </c>
      <c r="B101" s="76">
        <v>50</v>
      </c>
      <c r="C101" s="76">
        <v>50</v>
      </c>
      <c r="D101" s="76">
        <v>50</v>
      </c>
      <c r="E101" s="76">
        <v>50</v>
      </c>
      <c r="F101" s="76">
        <v>50</v>
      </c>
      <c r="G101" s="76">
        <v>50</v>
      </c>
      <c r="H101" s="76">
        <v>50</v>
      </c>
      <c r="I101" s="76">
        <v>50</v>
      </c>
      <c r="J101" s="76">
        <v>50</v>
      </c>
      <c r="K101" s="76">
        <v>50</v>
      </c>
      <c r="L101" s="76">
        <v>50</v>
      </c>
      <c r="M101" s="76">
        <v>50</v>
      </c>
      <c r="N101" s="76">
        <v>50</v>
      </c>
      <c r="O101" s="76">
        <v>50</v>
      </c>
      <c r="P101" s="76">
        <v>50</v>
      </c>
      <c r="Q101" s="76">
        <v>50</v>
      </c>
      <c r="R101" s="76">
        <v>50</v>
      </c>
      <c r="S101" s="76">
        <v>50</v>
      </c>
      <c r="T101" s="76">
        <v>50</v>
      </c>
      <c r="U101" s="76">
        <v>50</v>
      </c>
      <c r="V101" s="76">
        <v>50</v>
      </c>
      <c r="W101" s="76">
        <v>50</v>
      </c>
      <c r="X101" s="76">
        <v>50</v>
      </c>
      <c r="Y101" s="76">
        <v>50</v>
      </c>
      <c r="Z101" s="76">
        <v>50</v>
      </c>
      <c r="AA101" s="76">
        <v>50</v>
      </c>
    </row>
    <row r="102" spans="1:27" s="36" customFormat="1" ht="13" customHeight="1" x14ac:dyDescent="0.3">
      <c r="A102" s="74" t="s">
        <v>188</v>
      </c>
      <c r="B102" s="76">
        <v>100</v>
      </c>
      <c r="C102" s="87">
        <f t="shared" ref="C102:D104" si="21">B102</f>
        <v>100</v>
      </c>
      <c r="D102" s="87">
        <f t="shared" si="21"/>
        <v>100</v>
      </c>
      <c r="E102" s="87">
        <f t="shared" ref="E102:AA102" si="22">D102</f>
        <v>100</v>
      </c>
      <c r="F102" s="87">
        <f t="shared" si="22"/>
        <v>100</v>
      </c>
      <c r="G102" s="87">
        <f t="shared" si="22"/>
        <v>100</v>
      </c>
      <c r="H102" s="87">
        <f t="shared" si="22"/>
        <v>100</v>
      </c>
      <c r="I102" s="87">
        <f t="shared" si="22"/>
        <v>100</v>
      </c>
      <c r="J102" s="87">
        <f t="shared" si="22"/>
        <v>100</v>
      </c>
      <c r="K102" s="87">
        <f t="shared" si="22"/>
        <v>100</v>
      </c>
      <c r="L102" s="87">
        <f t="shared" si="22"/>
        <v>100</v>
      </c>
      <c r="M102" s="87">
        <f t="shared" si="22"/>
        <v>100</v>
      </c>
      <c r="N102" s="87">
        <f t="shared" si="22"/>
        <v>100</v>
      </c>
      <c r="O102" s="87">
        <f t="shared" si="22"/>
        <v>100</v>
      </c>
      <c r="P102" s="87">
        <f t="shared" si="22"/>
        <v>100</v>
      </c>
      <c r="Q102" s="87">
        <f t="shared" si="22"/>
        <v>100</v>
      </c>
      <c r="R102" s="87">
        <f t="shared" si="22"/>
        <v>100</v>
      </c>
      <c r="S102" s="87">
        <f t="shared" si="22"/>
        <v>100</v>
      </c>
      <c r="T102" s="87">
        <f t="shared" si="22"/>
        <v>100</v>
      </c>
      <c r="U102" s="87">
        <f t="shared" si="22"/>
        <v>100</v>
      </c>
      <c r="V102" s="87">
        <f t="shared" si="22"/>
        <v>100</v>
      </c>
      <c r="W102" s="87">
        <f t="shared" si="22"/>
        <v>100</v>
      </c>
      <c r="X102" s="87">
        <f t="shared" si="22"/>
        <v>100</v>
      </c>
      <c r="Y102" s="87">
        <f t="shared" si="22"/>
        <v>100</v>
      </c>
      <c r="Z102" s="87">
        <f t="shared" si="22"/>
        <v>100</v>
      </c>
      <c r="AA102" s="87">
        <f t="shared" si="22"/>
        <v>100</v>
      </c>
    </row>
    <row r="103" spans="1:27" s="36" customFormat="1" ht="13" customHeight="1" x14ac:dyDescent="0.3">
      <c r="A103" s="74" t="s">
        <v>189</v>
      </c>
      <c r="B103" s="76">
        <v>20</v>
      </c>
      <c r="C103" s="87">
        <f t="shared" si="21"/>
        <v>20</v>
      </c>
      <c r="D103" s="87">
        <f t="shared" si="21"/>
        <v>20</v>
      </c>
      <c r="E103" s="87">
        <f t="shared" ref="E103:AA103" si="23">D103</f>
        <v>20</v>
      </c>
      <c r="F103" s="87">
        <f t="shared" si="23"/>
        <v>20</v>
      </c>
      <c r="G103" s="87">
        <f t="shared" si="23"/>
        <v>20</v>
      </c>
      <c r="H103" s="87">
        <f t="shared" si="23"/>
        <v>20</v>
      </c>
      <c r="I103" s="87">
        <f t="shared" si="23"/>
        <v>20</v>
      </c>
      <c r="J103" s="87">
        <f t="shared" si="23"/>
        <v>20</v>
      </c>
      <c r="K103" s="87">
        <f t="shared" si="23"/>
        <v>20</v>
      </c>
      <c r="L103" s="87">
        <f t="shared" si="23"/>
        <v>20</v>
      </c>
      <c r="M103" s="87">
        <f t="shared" si="23"/>
        <v>20</v>
      </c>
      <c r="N103" s="87">
        <f t="shared" si="23"/>
        <v>20</v>
      </c>
      <c r="O103" s="87">
        <f t="shared" si="23"/>
        <v>20</v>
      </c>
      <c r="P103" s="87">
        <f t="shared" si="23"/>
        <v>20</v>
      </c>
      <c r="Q103" s="87">
        <f t="shared" si="23"/>
        <v>20</v>
      </c>
      <c r="R103" s="87">
        <f t="shared" si="23"/>
        <v>20</v>
      </c>
      <c r="S103" s="87">
        <f t="shared" si="23"/>
        <v>20</v>
      </c>
      <c r="T103" s="87">
        <f t="shared" si="23"/>
        <v>20</v>
      </c>
      <c r="U103" s="87">
        <f t="shared" si="23"/>
        <v>20</v>
      </c>
      <c r="V103" s="87">
        <f t="shared" si="23"/>
        <v>20</v>
      </c>
      <c r="W103" s="87">
        <f t="shared" si="23"/>
        <v>20</v>
      </c>
      <c r="X103" s="87">
        <f t="shared" si="23"/>
        <v>20</v>
      </c>
      <c r="Y103" s="87">
        <f t="shared" si="23"/>
        <v>20</v>
      </c>
      <c r="Z103" s="87">
        <f t="shared" si="23"/>
        <v>20</v>
      </c>
      <c r="AA103" s="87">
        <f t="shared" si="23"/>
        <v>20</v>
      </c>
    </row>
    <row r="104" spans="1:27" s="36" customFormat="1" ht="13" customHeight="1" x14ac:dyDescent="0.3">
      <c r="A104" s="74" t="s">
        <v>190</v>
      </c>
      <c r="B104" s="76">
        <v>30</v>
      </c>
      <c r="C104" s="87">
        <f t="shared" si="21"/>
        <v>30</v>
      </c>
      <c r="D104" s="87">
        <f t="shared" si="21"/>
        <v>30</v>
      </c>
      <c r="E104" s="87">
        <f t="shared" ref="E104:AA104" si="24">D104</f>
        <v>30</v>
      </c>
      <c r="F104" s="87">
        <f t="shared" si="24"/>
        <v>30</v>
      </c>
      <c r="G104" s="87">
        <f t="shared" si="24"/>
        <v>30</v>
      </c>
      <c r="H104" s="87">
        <f t="shared" si="24"/>
        <v>30</v>
      </c>
      <c r="I104" s="87">
        <f t="shared" si="24"/>
        <v>30</v>
      </c>
      <c r="J104" s="87">
        <f t="shared" si="24"/>
        <v>30</v>
      </c>
      <c r="K104" s="87">
        <f t="shared" si="24"/>
        <v>30</v>
      </c>
      <c r="L104" s="87">
        <f t="shared" si="24"/>
        <v>30</v>
      </c>
      <c r="M104" s="87">
        <f t="shared" si="24"/>
        <v>30</v>
      </c>
      <c r="N104" s="87">
        <f t="shared" si="24"/>
        <v>30</v>
      </c>
      <c r="O104" s="87">
        <f t="shared" si="24"/>
        <v>30</v>
      </c>
      <c r="P104" s="87">
        <f t="shared" si="24"/>
        <v>30</v>
      </c>
      <c r="Q104" s="87">
        <f t="shared" si="24"/>
        <v>30</v>
      </c>
      <c r="R104" s="87">
        <f t="shared" si="24"/>
        <v>30</v>
      </c>
      <c r="S104" s="87">
        <f t="shared" si="24"/>
        <v>30</v>
      </c>
      <c r="T104" s="87">
        <f t="shared" si="24"/>
        <v>30</v>
      </c>
      <c r="U104" s="87">
        <f t="shared" si="24"/>
        <v>30</v>
      </c>
      <c r="V104" s="87">
        <f t="shared" si="24"/>
        <v>30</v>
      </c>
      <c r="W104" s="87">
        <f t="shared" si="24"/>
        <v>30</v>
      </c>
      <c r="X104" s="87">
        <f t="shared" si="24"/>
        <v>30</v>
      </c>
      <c r="Y104" s="87">
        <f t="shared" si="24"/>
        <v>30</v>
      </c>
      <c r="Z104" s="87">
        <f t="shared" si="24"/>
        <v>30</v>
      </c>
      <c r="AA104" s="87">
        <f t="shared" si="24"/>
        <v>30</v>
      </c>
    </row>
    <row r="105" spans="1:27" s="109" customFormat="1" ht="13" customHeight="1" x14ac:dyDescent="0.3">
      <c r="A105" s="114" t="s">
        <v>212</v>
      </c>
      <c r="B105" s="87"/>
      <c r="C105" s="87"/>
      <c r="D105" s="87">
        <f>0.5*666</f>
        <v>333</v>
      </c>
      <c r="E105" s="87"/>
      <c r="F105" s="87">
        <f>0.5*666</f>
        <v>333</v>
      </c>
      <c r="G105" s="87"/>
      <c r="H105" s="87">
        <f t="shared" ref="H105:Z105" si="25">0.5*666</f>
        <v>333</v>
      </c>
      <c r="I105" s="87"/>
      <c r="J105" s="87">
        <f t="shared" si="25"/>
        <v>333</v>
      </c>
      <c r="K105" s="87"/>
      <c r="L105" s="87">
        <f t="shared" si="25"/>
        <v>333</v>
      </c>
      <c r="M105" s="87"/>
      <c r="N105" s="87">
        <f t="shared" si="25"/>
        <v>333</v>
      </c>
      <c r="O105" s="87"/>
      <c r="P105" s="87">
        <f t="shared" si="25"/>
        <v>333</v>
      </c>
      <c r="Q105" s="87"/>
      <c r="R105" s="87">
        <f t="shared" si="25"/>
        <v>333</v>
      </c>
      <c r="S105" s="87"/>
      <c r="T105" s="87">
        <f t="shared" si="25"/>
        <v>333</v>
      </c>
      <c r="U105" s="87"/>
      <c r="V105" s="87">
        <f t="shared" si="25"/>
        <v>333</v>
      </c>
      <c r="W105" s="87"/>
      <c r="X105" s="87">
        <f t="shared" si="25"/>
        <v>333</v>
      </c>
      <c r="Y105" s="87"/>
      <c r="Z105" s="87">
        <f t="shared" si="25"/>
        <v>333</v>
      </c>
      <c r="AA105" s="87"/>
    </row>
    <row r="106" spans="1:27" s="36" customFormat="1" ht="13" customHeight="1" x14ac:dyDescent="0.3">
      <c r="A106" s="74" t="s">
        <v>193</v>
      </c>
      <c r="B106" s="76">
        <v>20</v>
      </c>
      <c r="C106" s="87">
        <f>B106</f>
        <v>20</v>
      </c>
      <c r="D106" s="87">
        <f t="shared" ref="D106:AA106" si="26">C106</f>
        <v>20</v>
      </c>
      <c r="E106" s="87">
        <f t="shared" si="26"/>
        <v>20</v>
      </c>
      <c r="F106" s="87">
        <f t="shared" si="26"/>
        <v>20</v>
      </c>
      <c r="G106" s="87">
        <f t="shared" si="26"/>
        <v>20</v>
      </c>
      <c r="H106" s="87">
        <f t="shared" si="26"/>
        <v>20</v>
      </c>
      <c r="I106" s="87">
        <f t="shared" si="26"/>
        <v>20</v>
      </c>
      <c r="J106" s="87">
        <f t="shared" si="26"/>
        <v>20</v>
      </c>
      <c r="K106" s="87">
        <f t="shared" si="26"/>
        <v>20</v>
      </c>
      <c r="L106" s="87">
        <f t="shared" si="26"/>
        <v>20</v>
      </c>
      <c r="M106" s="87">
        <f t="shared" si="26"/>
        <v>20</v>
      </c>
      <c r="N106" s="87">
        <f t="shared" si="26"/>
        <v>20</v>
      </c>
      <c r="O106" s="87">
        <f t="shared" si="26"/>
        <v>20</v>
      </c>
      <c r="P106" s="87">
        <f t="shared" si="26"/>
        <v>20</v>
      </c>
      <c r="Q106" s="87">
        <f t="shared" si="26"/>
        <v>20</v>
      </c>
      <c r="R106" s="87">
        <f t="shared" si="26"/>
        <v>20</v>
      </c>
      <c r="S106" s="87">
        <f t="shared" si="26"/>
        <v>20</v>
      </c>
      <c r="T106" s="87">
        <f t="shared" si="26"/>
        <v>20</v>
      </c>
      <c r="U106" s="87">
        <f t="shared" si="26"/>
        <v>20</v>
      </c>
      <c r="V106" s="87">
        <f t="shared" si="26"/>
        <v>20</v>
      </c>
      <c r="W106" s="87">
        <f t="shared" si="26"/>
        <v>20</v>
      </c>
      <c r="X106" s="87">
        <f t="shared" si="26"/>
        <v>20</v>
      </c>
      <c r="Y106" s="87">
        <f t="shared" si="26"/>
        <v>20</v>
      </c>
      <c r="Z106" s="87">
        <f t="shared" si="26"/>
        <v>20</v>
      </c>
      <c r="AA106" s="87">
        <f t="shared" si="26"/>
        <v>20</v>
      </c>
    </row>
    <row r="107" spans="1:27" s="36" customFormat="1" ht="13" customHeight="1" x14ac:dyDescent="0.3">
      <c r="A107" s="74" t="s">
        <v>213</v>
      </c>
      <c r="B107" s="76">
        <v>450</v>
      </c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  <c r="Z107" s="87"/>
      <c r="AA107" s="87"/>
    </row>
    <row r="108" spans="1:27" s="36" customFormat="1" ht="13" customHeight="1" x14ac:dyDescent="0.3">
      <c r="A108" s="83" t="s">
        <v>195</v>
      </c>
      <c r="B108" s="76"/>
      <c r="C108" s="87"/>
      <c r="D108" s="87"/>
      <c r="E108" s="73"/>
      <c r="F108" s="73"/>
      <c r="G108" s="73"/>
      <c r="H108" s="73"/>
      <c r="I108" s="73"/>
      <c r="J108" s="73"/>
      <c r="K108" s="73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</row>
    <row r="109" spans="1:27" s="36" customFormat="1" ht="13" customHeight="1" x14ac:dyDescent="0.3">
      <c r="A109" s="74" t="s">
        <v>214</v>
      </c>
      <c r="B109" s="76"/>
      <c r="C109" s="87"/>
      <c r="D109" s="87"/>
      <c r="E109" s="87">
        <f>100*666/B9</f>
        <v>111</v>
      </c>
      <c r="F109" s="87">
        <f t="shared" ref="F109:AA109" si="27">E109</f>
        <v>111</v>
      </c>
      <c r="G109" s="87">
        <f t="shared" si="27"/>
        <v>111</v>
      </c>
      <c r="H109" s="87">
        <f t="shared" si="27"/>
        <v>111</v>
      </c>
      <c r="I109" s="87">
        <f t="shared" si="27"/>
        <v>111</v>
      </c>
      <c r="J109" s="87">
        <f t="shared" si="27"/>
        <v>111</v>
      </c>
      <c r="K109" s="87">
        <f t="shared" si="27"/>
        <v>111</v>
      </c>
      <c r="L109" s="87">
        <f t="shared" si="27"/>
        <v>111</v>
      </c>
      <c r="M109" s="87">
        <f t="shared" si="27"/>
        <v>111</v>
      </c>
      <c r="N109" s="87">
        <f t="shared" si="27"/>
        <v>111</v>
      </c>
      <c r="O109" s="87">
        <f t="shared" si="27"/>
        <v>111</v>
      </c>
      <c r="P109" s="87">
        <f t="shared" si="27"/>
        <v>111</v>
      </c>
      <c r="Q109" s="87">
        <f t="shared" si="27"/>
        <v>111</v>
      </c>
      <c r="R109" s="87">
        <f t="shared" si="27"/>
        <v>111</v>
      </c>
      <c r="S109" s="87">
        <f t="shared" si="27"/>
        <v>111</v>
      </c>
      <c r="T109" s="87">
        <f t="shared" si="27"/>
        <v>111</v>
      </c>
      <c r="U109" s="87">
        <f t="shared" si="27"/>
        <v>111</v>
      </c>
      <c r="V109" s="87">
        <f t="shared" si="27"/>
        <v>111</v>
      </c>
      <c r="W109" s="87">
        <f t="shared" si="27"/>
        <v>111</v>
      </c>
      <c r="X109" s="87">
        <f t="shared" si="27"/>
        <v>111</v>
      </c>
      <c r="Y109" s="87">
        <f t="shared" si="27"/>
        <v>111</v>
      </c>
      <c r="Z109" s="87">
        <f t="shared" si="27"/>
        <v>111</v>
      </c>
      <c r="AA109" s="87">
        <f t="shared" si="27"/>
        <v>111</v>
      </c>
    </row>
    <row r="110" spans="1:27" s="36" customFormat="1" ht="13" customHeight="1" x14ac:dyDescent="0.3">
      <c r="A110" s="71" t="s">
        <v>197</v>
      </c>
      <c r="B110" s="77">
        <f>SUM(B90:B109)</f>
        <v>1649.5700000000002</v>
      </c>
      <c r="C110" s="92">
        <f>SUM(C94:C109)</f>
        <v>233.32</v>
      </c>
      <c r="D110" s="92">
        <f>SUM(D94:D109)</f>
        <v>566.31999999999994</v>
      </c>
      <c r="E110" s="77">
        <f t="shared" ref="E110:AA110" si="28">SUM(E101:E109)</f>
        <v>331</v>
      </c>
      <c r="F110" s="77">
        <f t="shared" si="28"/>
        <v>664</v>
      </c>
      <c r="G110" s="77">
        <f t="shared" si="28"/>
        <v>331</v>
      </c>
      <c r="H110" s="77">
        <f t="shared" si="28"/>
        <v>664</v>
      </c>
      <c r="I110" s="77">
        <f t="shared" si="28"/>
        <v>331</v>
      </c>
      <c r="J110" s="77">
        <f t="shared" si="28"/>
        <v>664</v>
      </c>
      <c r="K110" s="77">
        <f t="shared" si="28"/>
        <v>331</v>
      </c>
      <c r="L110" s="77">
        <f t="shared" si="28"/>
        <v>664</v>
      </c>
      <c r="M110" s="77">
        <f t="shared" si="28"/>
        <v>331</v>
      </c>
      <c r="N110" s="77">
        <f t="shared" si="28"/>
        <v>664</v>
      </c>
      <c r="O110" s="77">
        <f t="shared" si="28"/>
        <v>331</v>
      </c>
      <c r="P110" s="77">
        <f t="shared" si="28"/>
        <v>664</v>
      </c>
      <c r="Q110" s="77">
        <f t="shared" si="28"/>
        <v>331</v>
      </c>
      <c r="R110" s="77">
        <f t="shared" si="28"/>
        <v>664</v>
      </c>
      <c r="S110" s="77">
        <f t="shared" si="28"/>
        <v>331</v>
      </c>
      <c r="T110" s="77">
        <f t="shared" si="28"/>
        <v>664</v>
      </c>
      <c r="U110" s="77">
        <f t="shared" si="28"/>
        <v>331</v>
      </c>
      <c r="V110" s="77">
        <f t="shared" si="28"/>
        <v>664</v>
      </c>
      <c r="W110" s="77">
        <f t="shared" si="28"/>
        <v>331</v>
      </c>
      <c r="X110" s="77">
        <f t="shared" si="28"/>
        <v>664</v>
      </c>
      <c r="Y110" s="77">
        <f t="shared" si="28"/>
        <v>331</v>
      </c>
      <c r="Z110" s="77">
        <f t="shared" si="28"/>
        <v>664</v>
      </c>
      <c r="AA110" s="77">
        <f t="shared" si="28"/>
        <v>331</v>
      </c>
    </row>
    <row r="111" spans="1:27" s="36" customFormat="1" ht="13" customHeight="1" x14ac:dyDescent="0.3">
      <c r="A111" s="24"/>
      <c r="B111" s="76"/>
      <c r="C111" s="87"/>
      <c r="D111" s="87"/>
      <c r="E111" s="73"/>
      <c r="F111" s="73"/>
      <c r="G111" s="73"/>
      <c r="H111" s="73"/>
      <c r="I111" s="73"/>
      <c r="J111" s="73"/>
      <c r="K111" s="73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</row>
    <row r="112" spans="1:27" s="36" customFormat="1" ht="13" customHeight="1" x14ac:dyDescent="0.3">
      <c r="A112" s="71" t="s">
        <v>198</v>
      </c>
      <c r="B112" s="77">
        <f t="shared" ref="B112:AA112" si="29">B78-B86-B110</f>
        <v>-787.71086666666679</v>
      </c>
      <c r="C112" s="77">
        <f t="shared" si="29"/>
        <v>-36.485866666666652</v>
      </c>
      <c r="D112" s="77">
        <f t="shared" si="29"/>
        <v>-389.46586666666661</v>
      </c>
      <c r="E112" s="77">
        <f t="shared" si="29"/>
        <v>13466.229835265969</v>
      </c>
      <c r="F112" s="77">
        <f t="shared" si="29"/>
        <v>13111.505000000001</v>
      </c>
      <c r="G112" s="77">
        <f t="shared" si="29"/>
        <v>13354.300000000001</v>
      </c>
      <c r="H112" s="77">
        <f t="shared" si="29"/>
        <v>13001.32</v>
      </c>
      <c r="I112" s="77">
        <f t="shared" si="29"/>
        <v>13354.300000000001</v>
      </c>
      <c r="J112" s="77">
        <f t="shared" si="29"/>
        <v>13001.32</v>
      </c>
      <c r="K112" s="77">
        <f t="shared" si="29"/>
        <v>13354.300000000001</v>
      </c>
      <c r="L112" s="77">
        <f t="shared" si="29"/>
        <v>13001.32</v>
      </c>
      <c r="M112" s="77">
        <f t="shared" si="29"/>
        <v>16820.300282300504</v>
      </c>
      <c r="N112" s="77">
        <f t="shared" si="29"/>
        <v>13028.93</v>
      </c>
      <c r="O112" s="77">
        <f t="shared" si="29"/>
        <v>13381.910000000002</v>
      </c>
      <c r="P112" s="77">
        <f t="shared" si="29"/>
        <v>13028.93</v>
      </c>
      <c r="Q112" s="77">
        <f t="shared" si="29"/>
        <v>13381.910000000002</v>
      </c>
      <c r="R112" s="77">
        <f t="shared" si="29"/>
        <v>11421.15</v>
      </c>
      <c r="S112" s="77">
        <f t="shared" si="29"/>
        <v>11774.130000000001</v>
      </c>
      <c r="T112" s="77">
        <f t="shared" si="29"/>
        <v>11421.15</v>
      </c>
      <c r="U112" s="77">
        <f t="shared" si="29"/>
        <v>11774.130000000001</v>
      </c>
      <c r="V112" s="77">
        <f t="shared" si="29"/>
        <v>11421.15</v>
      </c>
      <c r="W112" s="77">
        <f t="shared" si="29"/>
        <v>11774.130000000001</v>
      </c>
      <c r="X112" s="77">
        <f t="shared" si="29"/>
        <v>11421.15</v>
      </c>
      <c r="Y112" s="77">
        <f t="shared" si="29"/>
        <v>11774.130000000001</v>
      </c>
      <c r="Z112" s="77">
        <f t="shared" si="29"/>
        <v>11421.15</v>
      </c>
      <c r="AA112" s="77">
        <f t="shared" si="29"/>
        <v>11774.130000000001</v>
      </c>
    </row>
    <row r="113" spans="1:28" s="36" customFormat="1" ht="13" customHeight="1" x14ac:dyDescent="0.3">
      <c r="A113" s="104" t="s">
        <v>199</v>
      </c>
      <c r="B113" s="102">
        <f>B112</f>
        <v>-787.71086666666679</v>
      </c>
      <c r="C113" s="103">
        <f>SUM(B112:C112)</f>
        <v>-824.19673333333344</v>
      </c>
      <c r="D113" s="103">
        <f>SUM(B112:D112)</f>
        <v>-1213.6626000000001</v>
      </c>
      <c r="E113" s="103">
        <f>SUM(B112:E112)</f>
        <v>12252.567235265969</v>
      </c>
      <c r="F113" s="103">
        <f>SUM(B112:F112)</f>
        <v>25364.072235265972</v>
      </c>
      <c r="G113" s="103">
        <f>SUM(B112:G112)</f>
        <v>38718.372235265975</v>
      </c>
      <c r="H113" s="103">
        <f>SUM(B112:H112)</f>
        <v>51719.692235265975</v>
      </c>
      <c r="I113" s="103">
        <f>SUM(B112:I112)</f>
        <v>65073.992235265978</v>
      </c>
      <c r="J113" s="103">
        <f>SUM(B112:J112)</f>
        <v>78075.31223526597</v>
      </c>
      <c r="K113" s="103">
        <f>SUM(B112:K112)</f>
        <v>91429.612235265973</v>
      </c>
      <c r="L113" s="103">
        <f>SUM(C112:L112)</f>
        <v>105218.64310193263</v>
      </c>
      <c r="M113" s="103">
        <f>SUM(D112:M112)</f>
        <v>122075.42925089982</v>
      </c>
      <c r="N113" s="103">
        <f>SUM(B112:N112)</f>
        <v>134280.16251756647</v>
      </c>
      <c r="O113" s="103">
        <f>SUM(B112:O112)</f>
        <v>147662.07251756647</v>
      </c>
      <c r="P113" s="103">
        <f>SUM(B112:P112)</f>
        <v>160691.00251756646</v>
      </c>
      <c r="Q113" s="103">
        <f>SUM(B112:Q112)</f>
        <v>174072.91251756647</v>
      </c>
      <c r="R113" s="103">
        <f>SUM(B112:R112)</f>
        <v>185494.06251756646</v>
      </c>
      <c r="S113" s="103">
        <f>SUM(B112:S112)</f>
        <v>197268.19251756647</v>
      </c>
      <c r="T113" s="103">
        <f>SUM(B112:T112)</f>
        <v>208689.34251756646</v>
      </c>
      <c r="U113" s="103">
        <f>SUM(B112:U112)</f>
        <v>220463.47251756646</v>
      </c>
      <c r="V113" s="103">
        <f>SUM(B112:V112)</f>
        <v>231884.62251756646</v>
      </c>
      <c r="W113" s="103">
        <f>SUM(B112:W112)</f>
        <v>243658.75251756646</v>
      </c>
      <c r="X113" s="103">
        <f>SUM(B112:X112)</f>
        <v>255079.90251756646</v>
      </c>
      <c r="Y113" s="103">
        <f>SUM(B112:Y112)</f>
        <v>266854.03251756646</v>
      </c>
      <c r="Z113" s="103">
        <f>SUM(B112:Z112)</f>
        <v>278275.18251756649</v>
      </c>
      <c r="AA113" s="103">
        <f>SUM(B112:AA112)</f>
        <v>290049.31251756649</v>
      </c>
    </row>
    <row r="114" spans="1:28" s="36" customFormat="1" ht="13" customHeight="1" x14ac:dyDescent="0.3">
      <c r="A114" s="104" t="s">
        <v>200</v>
      </c>
      <c r="B114" s="102">
        <f>B112</f>
        <v>-787.71086666666679</v>
      </c>
      <c r="C114" s="102">
        <f>C112</f>
        <v>-36.485866666666652</v>
      </c>
      <c r="D114" s="102">
        <f t="shared" ref="D114:AA114" si="30">D112</f>
        <v>-389.46586666666661</v>
      </c>
      <c r="E114" s="102">
        <f t="shared" si="30"/>
        <v>13466.229835265969</v>
      </c>
      <c r="F114" s="102">
        <f t="shared" si="30"/>
        <v>13111.505000000001</v>
      </c>
      <c r="G114" s="102">
        <f t="shared" si="30"/>
        <v>13354.300000000001</v>
      </c>
      <c r="H114" s="102">
        <f t="shared" si="30"/>
        <v>13001.32</v>
      </c>
      <c r="I114" s="102">
        <f t="shared" si="30"/>
        <v>13354.300000000001</v>
      </c>
      <c r="J114" s="102">
        <f t="shared" si="30"/>
        <v>13001.32</v>
      </c>
      <c r="K114" s="102">
        <f t="shared" si="30"/>
        <v>13354.300000000001</v>
      </c>
      <c r="L114" s="102">
        <f t="shared" si="30"/>
        <v>13001.32</v>
      </c>
      <c r="M114" s="102">
        <f t="shared" si="30"/>
        <v>16820.300282300504</v>
      </c>
      <c r="N114" s="102">
        <f t="shared" si="30"/>
        <v>13028.93</v>
      </c>
      <c r="O114" s="102">
        <f t="shared" si="30"/>
        <v>13381.910000000002</v>
      </c>
      <c r="P114" s="102">
        <f t="shared" si="30"/>
        <v>13028.93</v>
      </c>
      <c r="Q114" s="102">
        <f t="shared" si="30"/>
        <v>13381.910000000002</v>
      </c>
      <c r="R114" s="102">
        <f t="shared" si="30"/>
        <v>11421.15</v>
      </c>
      <c r="S114" s="102">
        <f t="shared" si="30"/>
        <v>11774.130000000001</v>
      </c>
      <c r="T114" s="102">
        <f t="shared" si="30"/>
        <v>11421.15</v>
      </c>
      <c r="U114" s="102">
        <f t="shared" si="30"/>
        <v>11774.130000000001</v>
      </c>
      <c r="V114" s="102">
        <f t="shared" si="30"/>
        <v>11421.15</v>
      </c>
      <c r="W114" s="102">
        <f t="shared" si="30"/>
        <v>11774.130000000001</v>
      </c>
      <c r="X114" s="102">
        <f t="shared" si="30"/>
        <v>11421.15</v>
      </c>
      <c r="Y114" s="102">
        <f t="shared" si="30"/>
        <v>11774.130000000001</v>
      </c>
      <c r="Z114" s="102">
        <f t="shared" si="30"/>
        <v>11421.15</v>
      </c>
      <c r="AA114" s="102">
        <f t="shared" si="30"/>
        <v>11774.130000000001</v>
      </c>
    </row>
    <row r="115" spans="1:28" s="36" customFormat="1" ht="13" customHeight="1" x14ac:dyDescent="0.3"/>
    <row r="116" spans="1:28" s="36" customFormat="1" ht="12" customHeight="1" x14ac:dyDescent="0.35">
      <c r="A116" s="259"/>
      <c r="B116" s="259"/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15"/>
      <c r="Y116" s="215"/>
      <c r="Z116" s="215"/>
      <c r="AA116" s="215"/>
      <c r="AB116" s="215"/>
    </row>
    <row r="117" spans="1:28" s="36" customFormat="1" ht="12" customHeight="1" x14ac:dyDescent="0.35">
      <c r="A117" s="260" t="s">
        <v>134</v>
      </c>
      <c r="B117" s="261">
        <f>XIRR(B114:AA114,B73:AA73)/2</f>
        <v>0.84956665635108952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15"/>
      <c r="Y117" s="215"/>
      <c r="Z117" s="215"/>
      <c r="AA117" s="215"/>
      <c r="AB117" s="215"/>
    </row>
    <row r="118" spans="1:28" s="36" customFormat="1" ht="12" customHeight="1" x14ac:dyDescent="0.35">
      <c r="A118" s="260" t="s">
        <v>135</v>
      </c>
      <c r="B118" s="263">
        <f>XNPV(B16,B114:AA114,B73:AA73)</f>
        <v>261714.5991634177</v>
      </c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15"/>
      <c r="Y118" s="215"/>
      <c r="Z118" s="215"/>
      <c r="AA118" s="215"/>
      <c r="AB118" s="215"/>
    </row>
    <row r="119" spans="1:28" s="36" customFormat="1" ht="12" customHeight="1" x14ac:dyDescent="0.35">
      <c r="A119" s="260" t="s">
        <v>136</v>
      </c>
      <c r="B119" s="265">
        <f>XNPV(B17,B114:AA114,B73:AA73)</f>
        <v>77270.545017991011</v>
      </c>
      <c r="C119" s="215"/>
      <c r="D119" s="171">
        <f>B110+C110+D110</f>
        <v>2449.21</v>
      </c>
      <c r="E119" s="108"/>
      <c r="F119" s="109"/>
    </row>
    <row r="120" spans="1:28" s="36" customFormat="1" ht="12" customHeight="1" x14ac:dyDescent="0.35">
      <c r="A120" s="260" t="s">
        <v>137</v>
      </c>
      <c r="B120" s="263">
        <f>XNPV(B18,B114:AA114,B73:AA73)</f>
        <v>42159.05363279461</v>
      </c>
      <c r="C120" s="215"/>
      <c r="D120" s="171">
        <f>B86+C86+D86</f>
        <v>264.45260000000002</v>
      </c>
      <c r="E120" s="108"/>
      <c r="F120" s="109"/>
    </row>
    <row r="121" spans="1:28" s="36" customFormat="1" ht="13" customHeight="1" x14ac:dyDescent="0.35">
      <c r="A121" s="259" t="s">
        <v>138</v>
      </c>
      <c r="B121" s="266">
        <f>(1500-D113)/E112+3</f>
        <v>3.2015161357853361</v>
      </c>
      <c r="C121" s="215"/>
      <c r="D121" s="171"/>
      <c r="E121" s="108"/>
      <c r="F121" s="109"/>
    </row>
    <row r="122" spans="1:28" s="36" customFormat="1" ht="13" customHeight="1" x14ac:dyDescent="0.3">
      <c r="B122" s="108"/>
      <c r="C122" s="109"/>
      <c r="D122" s="109"/>
    </row>
    <row r="123" spans="1:28" s="36" customFormat="1" ht="13" customHeight="1" x14ac:dyDescent="0.3">
      <c r="B123" s="108"/>
      <c r="C123" s="109"/>
      <c r="D123" s="170"/>
      <c r="E123" s="170"/>
    </row>
    <row r="124" spans="1:28" s="36" customFormat="1" ht="13" customHeight="1" x14ac:dyDescent="0.3">
      <c r="A124" s="72" t="s">
        <v>215</v>
      </c>
      <c r="B124" s="67"/>
      <c r="C124" s="86"/>
      <c r="D124" s="86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1:28" s="36" customFormat="1" ht="13" customHeight="1" x14ac:dyDescent="0.3">
      <c r="A125" s="24" t="s">
        <v>104</v>
      </c>
      <c r="B125" s="112">
        <v>44470</v>
      </c>
      <c r="C125" s="113">
        <v>44926</v>
      </c>
      <c r="D125" s="113">
        <v>45291</v>
      </c>
      <c r="E125" s="113">
        <v>45657</v>
      </c>
      <c r="F125" s="113">
        <v>46022</v>
      </c>
      <c r="G125" s="113">
        <v>46387</v>
      </c>
      <c r="H125" s="113">
        <v>46752</v>
      </c>
      <c r="I125" s="113">
        <v>47118</v>
      </c>
      <c r="J125" s="113">
        <v>47483</v>
      </c>
      <c r="K125" s="113">
        <v>47848</v>
      </c>
      <c r="L125" s="113">
        <v>48213</v>
      </c>
      <c r="M125" s="113">
        <v>48579</v>
      </c>
      <c r="N125" s="113">
        <v>48944</v>
      </c>
      <c r="O125" s="113">
        <v>49309</v>
      </c>
      <c r="P125" s="113">
        <v>49674</v>
      </c>
      <c r="Q125" s="113">
        <v>50040</v>
      </c>
      <c r="R125" s="113">
        <v>50405</v>
      </c>
      <c r="S125" s="113">
        <v>50770</v>
      </c>
      <c r="T125" s="113">
        <v>51135</v>
      </c>
      <c r="U125" s="113">
        <v>51501</v>
      </c>
      <c r="V125" s="113">
        <v>51866</v>
      </c>
      <c r="W125" s="113">
        <v>52231</v>
      </c>
      <c r="X125" s="113">
        <v>52596</v>
      </c>
      <c r="Y125" s="113">
        <v>52962</v>
      </c>
      <c r="Z125" s="113">
        <v>53327</v>
      </c>
      <c r="AA125" s="113">
        <v>53692</v>
      </c>
    </row>
    <row r="126" spans="1:28" s="36" customFormat="1" ht="13" customHeight="1" x14ac:dyDescent="0.3">
      <c r="A126" s="89" t="s">
        <v>161</v>
      </c>
      <c r="B126" s="80"/>
      <c r="C126" s="80"/>
      <c r="D126" s="80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</row>
    <row r="127" spans="1:28" s="36" customFormat="1" ht="13" customHeight="1" x14ac:dyDescent="0.3">
      <c r="A127" s="24" t="s">
        <v>216</v>
      </c>
      <c r="B127" s="204">
        <f>40/100*500</f>
        <v>200</v>
      </c>
      <c r="C127" s="123">
        <f>30/100*500</f>
        <v>150</v>
      </c>
      <c r="D127" s="206">
        <f>15/100*500</f>
        <v>75</v>
      </c>
      <c r="E127" s="206">
        <f>10/100*500</f>
        <v>50</v>
      </c>
      <c r="F127" s="206">
        <f>5/100*500</f>
        <v>25</v>
      </c>
      <c r="G127" s="205"/>
      <c r="H127" s="203"/>
      <c r="I127" s="203"/>
      <c r="J127" s="203"/>
      <c r="K127" s="203"/>
      <c r="L127" s="203"/>
      <c r="M127" s="203"/>
      <c r="N127" s="203"/>
      <c r="O127" s="203"/>
      <c r="P127" s="203"/>
      <c r="Q127" s="203"/>
      <c r="R127" s="203"/>
      <c r="S127" s="203"/>
      <c r="T127" s="203"/>
      <c r="U127" s="203"/>
      <c r="V127" s="203"/>
      <c r="W127" s="203"/>
      <c r="X127" s="203"/>
      <c r="Y127" s="203"/>
      <c r="Z127" s="203"/>
      <c r="AA127" s="203"/>
    </row>
    <row r="128" spans="1:28" s="36" customFormat="1" ht="13" customHeight="1" x14ac:dyDescent="0.3">
      <c r="A128" s="24" t="s">
        <v>217</v>
      </c>
      <c r="B128" s="204">
        <f>40/100*1000</f>
        <v>400</v>
      </c>
      <c r="C128" s="206">
        <f>30/100*1000</f>
        <v>300</v>
      </c>
      <c r="D128" s="206">
        <f>15/100*1000</f>
        <v>150</v>
      </c>
      <c r="E128" s="206">
        <f>10/100*1000</f>
        <v>100</v>
      </c>
      <c r="F128" s="206">
        <f>5/100*1000</f>
        <v>50</v>
      </c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</row>
    <row r="129" spans="1:27" s="36" customFormat="1" ht="13" customHeight="1" x14ac:dyDescent="0.3">
      <c r="A129" s="24" t="s">
        <v>218</v>
      </c>
      <c r="B129" s="80"/>
      <c r="C129" s="123">
        <f>700*0.52</f>
        <v>364</v>
      </c>
      <c r="D129" s="76">
        <f>750*0.52</f>
        <v>390</v>
      </c>
      <c r="E129" s="76">
        <f>800*0.52</f>
        <v>416</v>
      </c>
      <c r="F129" s="76">
        <f>E7*0.52</f>
        <v>468</v>
      </c>
      <c r="G129" s="76">
        <f>1000*0.52</f>
        <v>520</v>
      </c>
      <c r="H129" s="76">
        <v>520</v>
      </c>
      <c r="I129" s="76">
        <v>520</v>
      </c>
      <c r="J129" s="76">
        <f>730*0.52</f>
        <v>379.6</v>
      </c>
      <c r="K129" s="76">
        <f t="shared" ref="K129:AA129" si="31">730*0.52</f>
        <v>379.6</v>
      </c>
      <c r="L129" s="76">
        <f t="shared" si="31"/>
        <v>379.6</v>
      </c>
      <c r="M129" s="76">
        <f t="shared" si="31"/>
        <v>379.6</v>
      </c>
      <c r="N129" s="76">
        <f t="shared" si="31"/>
        <v>379.6</v>
      </c>
      <c r="O129" s="76">
        <f t="shared" si="31"/>
        <v>379.6</v>
      </c>
      <c r="P129" s="76">
        <f t="shared" si="31"/>
        <v>379.6</v>
      </c>
      <c r="Q129" s="76">
        <f t="shared" si="31"/>
        <v>379.6</v>
      </c>
      <c r="R129" s="76">
        <f t="shared" si="31"/>
        <v>379.6</v>
      </c>
      <c r="S129" s="76">
        <f t="shared" si="31"/>
        <v>379.6</v>
      </c>
      <c r="T129" s="76">
        <f t="shared" si="31"/>
        <v>379.6</v>
      </c>
      <c r="U129" s="76">
        <f t="shared" si="31"/>
        <v>379.6</v>
      </c>
      <c r="V129" s="76">
        <f t="shared" si="31"/>
        <v>379.6</v>
      </c>
      <c r="W129" s="76">
        <f t="shared" si="31"/>
        <v>379.6</v>
      </c>
      <c r="X129" s="76">
        <f t="shared" si="31"/>
        <v>379.6</v>
      </c>
      <c r="Y129" s="76">
        <f t="shared" si="31"/>
        <v>379.6</v>
      </c>
      <c r="Z129" s="76">
        <f t="shared" si="31"/>
        <v>379.6</v>
      </c>
      <c r="AA129" s="76">
        <f t="shared" si="31"/>
        <v>379.6</v>
      </c>
    </row>
    <row r="130" spans="1:27" s="36" customFormat="1" ht="13" customHeight="1" x14ac:dyDescent="0.3">
      <c r="A130" s="24" t="s">
        <v>219</v>
      </c>
      <c r="B130" s="80"/>
      <c r="C130" s="123">
        <f>1000*0.52</f>
        <v>520</v>
      </c>
      <c r="D130" s="76">
        <f>1025*0.52</f>
        <v>533</v>
      </c>
      <c r="E130" s="76">
        <f>1100*0.52</f>
        <v>572</v>
      </c>
      <c r="F130" s="76">
        <f>1200*0.52</f>
        <v>624</v>
      </c>
      <c r="G130" s="76">
        <f>1200*0.52</f>
        <v>624</v>
      </c>
      <c r="H130" s="76">
        <f>1200*0.52</f>
        <v>624</v>
      </c>
      <c r="I130" s="76">
        <f>1200*0.52</f>
        <v>624</v>
      </c>
      <c r="J130" s="76">
        <f>1100*0.52</f>
        <v>572</v>
      </c>
      <c r="K130" s="76">
        <f t="shared" ref="K130:AA130" si="32">1100*0.52</f>
        <v>572</v>
      </c>
      <c r="L130" s="76">
        <f t="shared" si="32"/>
        <v>572</v>
      </c>
      <c r="M130" s="76">
        <f t="shared" si="32"/>
        <v>572</v>
      </c>
      <c r="N130" s="76">
        <f t="shared" si="32"/>
        <v>572</v>
      </c>
      <c r="O130" s="76">
        <f t="shared" si="32"/>
        <v>572</v>
      </c>
      <c r="P130" s="76">
        <f t="shared" si="32"/>
        <v>572</v>
      </c>
      <c r="Q130" s="76">
        <f t="shared" si="32"/>
        <v>572</v>
      </c>
      <c r="R130" s="76">
        <f t="shared" si="32"/>
        <v>572</v>
      </c>
      <c r="S130" s="76">
        <f t="shared" si="32"/>
        <v>572</v>
      </c>
      <c r="T130" s="76">
        <f t="shared" si="32"/>
        <v>572</v>
      </c>
      <c r="U130" s="76">
        <f t="shared" si="32"/>
        <v>572</v>
      </c>
      <c r="V130" s="76">
        <f t="shared" si="32"/>
        <v>572</v>
      </c>
      <c r="W130" s="76">
        <f t="shared" si="32"/>
        <v>572</v>
      </c>
      <c r="X130" s="76">
        <f t="shared" si="32"/>
        <v>572</v>
      </c>
      <c r="Y130" s="76">
        <f t="shared" si="32"/>
        <v>572</v>
      </c>
      <c r="Z130" s="76">
        <f t="shared" si="32"/>
        <v>572</v>
      </c>
      <c r="AA130" s="76">
        <f t="shared" si="32"/>
        <v>572</v>
      </c>
    </row>
    <row r="131" spans="1:27" s="36" customFormat="1" ht="13" customHeight="1" x14ac:dyDescent="0.3">
      <c r="A131" s="24" t="s">
        <v>220</v>
      </c>
      <c r="B131" s="90"/>
      <c r="C131" s="76">
        <v>248.48150193263393</v>
      </c>
      <c r="D131" s="91">
        <v>248.48</v>
      </c>
      <c r="E131" s="91">
        <v>248.48</v>
      </c>
      <c r="F131" s="97">
        <f>248.48</f>
        <v>248.48</v>
      </c>
      <c r="G131" s="97">
        <f t="shared" ref="G131:L131" si="33">248.48</f>
        <v>248.48</v>
      </c>
      <c r="H131" s="97">
        <f t="shared" si="33"/>
        <v>248.48</v>
      </c>
      <c r="I131" s="97">
        <f t="shared" si="33"/>
        <v>248.48</v>
      </c>
      <c r="J131" s="97">
        <f t="shared" si="33"/>
        <v>248.48</v>
      </c>
      <c r="K131" s="97">
        <f t="shared" si="33"/>
        <v>248.48</v>
      </c>
      <c r="L131" s="97">
        <f t="shared" si="33"/>
        <v>248.48</v>
      </c>
      <c r="M131" s="97">
        <v>0</v>
      </c>
      <c r="N131" s="97">
        <v>276.08999999999997</v>
      </c>
      <c r="O131" s="97">
        <v>276.08999999999997</v>
      </c>
      <c r="P131" s="97">
        <v>276.08999999999997</v>
      </c>
      <c r="Q131" s="97">
        <v>276.08999999999997</v>
      </c>
      <c r="R131" s="97">
        <v>276.08999999999997</v>
      </c>
      <c r="S131" s="97">
        <v>276.08999999999997</v>
      </c>
      <c r="T131" s="97">
        <v>276.08999999999997</v>
      </c>
      <c r="U131" s="97">
        <v>276.08999999999997</v>
      </c>
      <c r="V131" s="97">
        <v>276.08999999999997</v>
      </c>
      <c r="W131" s="97">
        <v>276.08999999999997</v>
      </c>
      <c r="X131" s="97">
        <v>276.08999999999997</v>
      </c>
      <c r="Y131" s="97">
        <v>276.08999999999997</v>
      </c>
      <c r="Z131" s="97">
        <v>276.08999999999997</v>
      </c>
      <c r="AA131" s="97">
        <v>276.08999999999997</v>
      </c>
    </row>
    <row r="132" spans="1:27" s="100" customFormat="1" ht="13" customHeight="1" x14ac:dyDescent="0.3">
      <c r="A132" s="71" t="s">
        <v>221</v>
      </c>
      <c r="B132" s="247">
        <f>B127</f>
        <v>200</v>
      </c>
      <c r="C132" s="247">
        <f>C127+C129</f>
        <v>514</v>
      </c>
      <c r="D132" s="247">
        <f t="shared" ref="D132:AA132" si="34">D127+D129</f>
        <v>465</v>
      </c>
      <c r="E132" s="247">
        <f t="shared" si="34"/>
        <v>466</v>
      </c>
      <c r="F132" s="247">
        <f t="shared" si="34"/>
        <v>493</v>
      </c>
      <c r="G132" s="247">
        <f t="shared" si="34"/>
        <v>520</v>
      </c>
      <c r="H132" s="247">
        <f t="shared" si="34"/>
        <v>520</v>
      </c>
      <c r="I132" s="247">
        <f t="shared" si="34"/>
        <v>520</v>
      </c>
      <c r="J132" s="247">
        <f t="shared" si="34"/>
        <v>379.6</v>
      </c>
      <c r="K132" s="247">
        <f t="shared" si="34"/>
        <v>379.6</v>
      </c>
      <c r="L132" s="247">
        <f t="shared" si="34"/>
        <v>379.6</v>
      </c>
      <c r="M132" s="247">
        <f t="shared" si="34"/>
        <v>379.6</v>
      </c>
      <c r="N132" s="247">
        <f t="shared" si="34"/>
        <v>379.6</v>
      </c>
      <c r="O132" s="247">
        <f t="shared" si="34"/>
        <v>379.6</v>
      </c>
      <c r="P132" s="247">
        <f t="shared" si="34"/>
        <v>379.6</v>
      </c>
      <c r="Q132" s="247">
        <f t="shared" si="34"/>
        <v>379.6</v>
      </c>
      <c r="R132" s="247">
        <f t="shared" si="34"/>
        <v>379.6</v>
      </c>
      <c r="S132" s="247">
        <f t="shared" si="34"/>
        <v>379.6</v>
      </c>
      <c r="T132" s="247">
        <f t="shared" si="34"/>
        <v>379.6</v>
      </c>
      <c r="U132" s="247">
        <f t="shared" si="34"/>
        <v>379.6</v>
      </c>
      <c r="V132" s="247">
        <f t="shared" si="34"/>
        <v>379.6</v>
      </c>
      <c r="W132" s="247">
        <f t="shared" si="34"/>
        <v>379.6</v>
      </c>
      <c r="X132" s="247">
        <f t="shared" si="34"/>
        <v>379.6</v>
      </c>
      <c r="Y132" s="247">
        <f t="shared" si="34"/>
        <v>379.6</v>
      </c>
      <c r="Z132" s="247">
        <f t="shared" si="34"/>
        <v>379.6</v>
      </c>
      <c r="AA132" s="247">
        <f t="shared" si="34"/>
        <v>379.6</v>
      </c>
    </row>
    <row r="133" spans="1:27" s="8" customFormat="1" ht="13" customHeight="1" x14ac:dyDescent="0.3">
      <c r="A133" s="71" t="s">
        <v>222</v>
      </c>
      <c r="B133" s="99">
        <f>B128</f>
        <v>400</v>
      </c>
      <c r="C133" s="77">
        <f>C128+C130+C131</f>
        <v>1068.4815019326338</v>
      </c>
      <c r="D133" s="77">
        <f t="shared" ref="D133:AA133" si="35">D128+D130+D131</f>
        <v>931.48</v>
      </c>
      <c r="E133" s="77">
        <f t="shared" si="35"/>
        <v>920.48</v>
      </c>
      <c r="F133" s="77">
        <f t="shared" si="35"/>
        <v>922.48</v>
      </c>
      <c r="G133" s="77">
        <f t="shared" si="35"/>
        <v>872.48</v>
      </c>
      <c r="H133" s="77">
        <f t="shared" si="35"/>
        <v>872.48</v>
      </c>
      <c r="I133" s="77">
        <f t="shared" si="35"/>
        <v>872.48</v>
      </c>
      <c r="J133" s="77">
        <f t="shared" si="35"/>
        <v>820.48</v>
      </c>
      <c r="K133" s="77">
        <f t="shared" si="35"/>
        <v>820.48</v>
      </c>
      <c r="L133" s="77">
        <f t="shared" si="35"/>
        <v>820.48</v>
      </c>
      <c r="M133" s="77">
        <f t="shared" si="35"/>
        <v>572</v>
      </c>
      <c r="N133" s="77">
        <f t="shared" si="35"/>
        <v>848.08999999999992</v>
      </c>
      <c r="O133" s="77">
        <f t="shared" si="35"/>
        <v>848.08999999999992</v>
      </c>
      <c r="P133" s="77">
        <f t="shared" si="35"/>
        <v>848.08999999999992</v>
      </c>
      <c r="Q133" s="77">
        <f t="shared" si="35"/>
        <v>848.08999999999992</v>
      </c>
      <c r="R133" s="77">
        <f t="shared" si="35"/>
        <v>848.08999999999992</v>
      </c>
      <c r="S133" s="77">
        <f t="shared" si="35"/>
        <v>848.08999999999992</v>
      </c>
      <c r="T133" s="77">
        <f t="shared" si="35"/>
        <v>848.08999999999992</v>
      </c>
      <c r="U133" s="77">
        <f t="shared" si="35"/>
        <v>848.08999999999992</v>
      </c>
      <c r="V133" s="77">
        <f t="shared" si="35"/>
        <v>848.08999999999992</v>
      </c>
      <c r="W133" s="77">
        <f t="shared" si="35"/>
        <v>848.08999999999992</v>
      </c>
      <c r="X133" s="77">
        <f t="shared" si="35"/>
        <v>848.08999999999992</v>
      </c>
      <c r="Y133" s="77">
        <f t="shared" si="35"/>
        <v>848.08999999999992</v>
      </c>
      <c r="Z133" s="77">
        <f t="shared" si="35"/>
        <v>848.08999999999992</v>
      </c>
      <c r="AA133" s="77">
        <f t="shared" si="35"/>
        <v>848.08999999999992</v>
      </c>
    </row>
    <row r="134" spans="1:27" s="36" customFormat="1" ht="13" customHeight="1" x14ac:dyDescent="0.3">
      <c r="A134" s="24"/>
      <c r="B134" s="80"/>
      <c r="C134" s="80"/>
      <c r="D134" s="80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</row>
    <row r="135" spans="1:27" s="36" customFormat="1" ht="13" customHeight="1" x14ac:dyDescent="0.3">
      <c r="A135" s="89" t="s">
        <v>167</v>
      </c>
      <c r="B135" s="76"/>
      <c r="C135" s="87"/>
      <c r="D135" s="80"/>
      <c r="E135" s="73">
        <v>0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73">
        <v>0</v>
      </c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</row>
    <row r="136" spans="1:27" s="36" customFormat="1" ht="13" customHeight="1" x14ac:dyDescent="0.3">
      <c r="A136" s="74" t="s">
        <v>168</v>
      </c>
      <c r="B136" s="76"/>
      <c r="C136" s="87"/>
      <c r="D136" s="80"/>
      <c r="E136" s="73">
        <f t="shared" ref="E136:K136" si="36">SUM(E135:E135)</f>
        <v>0</v>
      </c>
      <c r="F136" s="73">
        <f t="shared" si="36"/>
        <v>0</v>
      </c>
      <c r="G136" s="73">
        <f t="shared" si="36"/>
        <v>0</v>
      </c>
      <c r="H136" s="73">
        <f t="shared" si="36"/>
        <v>0</v>
      </c>
      <c r="I136" s="73">
        <f t="shared" si="36"/>
        <v>0</v>
      </c>
      <c r="J136" s="73">
        <f t="shared" si="36"/>
        <v>0</v>
      </c>
      <c r="K136" s="73">
        <f t="shared" si="36"/>
        <v>0</v>
      </c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</row>
    <row r="137" spans="1:27" s="36" customFormat="1" ht="13" customHeight="1" x14ac:dyDescent="0.3">
      <c r="A137" s="74" t="s">
        <v>223</v>
      </c>
      <c r="B137" s="76">
        <f>6/100*B169</f>
        <v>52.908599999999993</v>
      </c>
      <c r="C137" s="76">
        <f t="shared" ref="C137:AA137" si="37">6/100*C170</f>
        <v>16.247399999999999</v>
      </c>
      <c r="D137" s="76">
        <f t="shared" si="37"/>
        <v>16.247399999999999</v>
      </c>
      <c r="E137" s="76">
        <f t="shared" si="37"/>
        <v>11.6478</v>
      </c>
      <c r="F137" s="76">
        <f t="shared" si="37"/>
        <v>11.6478</v>
      </c>
      <c r="G137" s="76">
        <f t="shared" si="37"/>
        <v>11.6478</v>
      </c>
      <c r="H137" s="76">
        <f t="shared" si="37"/>
        <v>11.6478</v>
      </c>
      <c r="I137" s="76">
        <f t="shared" si="37"/>
        <v>11.748000000000001</v>
      </c>
      <c r="J137" s="76">
        <f t="shared" si="37"/>
        <v>2.2422</v>
      </c>
      <c r="K137" s="76">
        <f t="shared" si="37"/>
        <v>2.2422</v>
      </c>
      <c r="L137" s="76">
        <f t="shared" si="37"/>
        <v>2.2422</v>
      </c>
      <c r="M137" s="76">
        <f t="shared" si="37"/>
        <v>2.4029999999999996</v>
      </c>
      <c r="N137" s="76">
        <f t="shared" si="37"/>
        <v>2.4029999999999996</v>
      </c>
      <c r="O137" s="76">
        <f t="shared" si="37"/>
        <v>2.4029999999999996</v>
      </c>
      <c r="P137" s="76">
        <f t="shared" si="37"/>
        <v>2.4029999999999996</v>
      </c>
      <c r="Q137" s="76">
        <f t="shared" si="37"/>
        <v>2.4029999999999996</v>
      </c>
      <c r="R137" s="76">
        <f t="shared" si="37"/>
        <v>2.4029999999999996</v>
      </c>
      <c r="S137" s="76">
        <f t="shared" si="37"/>
        <v>2.4029999999999996</v>
      </c>
      <c r="T137" s="76">
        <f t="shared" si="37"/>
        <v>2.4029999999999996</v>
      </c>
      <c r="U137" s="76">
        <f t="shared" si="37"/>
        <v>2.4029999999999996</v>
      </c>
      <c r="V137" s="76">
        <f t="shared" si="37"/>
        <v>2.4029999999999996</v>
      </c>
      <c r="W137" s="76">
        <f t="shared" si="37"/>
        <v>2.4029999999999996</v>
      </c>
      <c r="X137" s="76">
        <f t="shared" si="37"/>
        <v>2.4029999999999996</v>
      </c>
      <c r="Y137" s="76">
        <f t="shared" si="37"/>
        <v>2.4029999999999996</v>
      </c>
      <c r="Z137" s="76">
        <f t="shared" si="37"/>
        <v>2.4029999999999996</v>
      </c>
      <c r="AA137" s="76">
        <f t="shared" si="37"/>
        <v>2.4029999999999996</v>
      </c>
    </row>
    <row r="138" spans="1:27" s="36" customFormat="1" ht="13" customHeight="1" x14ac:dyDescent="0.3">
      <c r="A138" s="74" t="s">
        <v>224</v>
      </c>
      <c r="B138" s="76">
        <f>6/100*B170</f>
        <v>84.365400000000008</v>
      </c>
      <c r="C138" s="76">
        <v>84.37</v>
      </c>
      <c r="D138" s="76">
        <v>84.37</v>
      </c>
      <c r="E138" s="76">
        <v>84.37</v>
      </c>
      <c r="F138" s="76">
        <v>84.37</v>
      </c>
      <c r="G138" s="76">
        <v>84.37</v>
      </c>
      <c r="H138" s="76">
        <v>84.37</v>
      </c>
      <c r="I138" s="76">
        <v>84.37</v>
      </c>
      <c r="J138" s="76">
        <v>84.37</v>
      </c>
      <c r="K138" s="76">
        <v>84.37</v>
      </c>
      <c r="L138" s="76">
        <v>84.37</v>
      </c>
      <c r="M138" s="76">
        <v>84.37</v>
      </c>
      <c r="N138" s="76">
        <v>84.37</v>
      </c>
      <c r="O138" s="76">
        <v>84.37</v>
      </c>
      <c r="P138" s="76">
        <v>84.37</v>
      </c>
      <c r="Q138" s="76">
        <v>84.37</v>
      </c>
      <c r="R138" s="76">
        <v>84.37</v>
      </c>
      <c r="S138" s="76">
        <v>84.37</v>
      </c>
      <c r="T138" s="76">
        <v>84.37</v>
      </c>
      <c r="U138" s="76">
        <v>84.37</v>
      </c>
      <c r="V138" s="76">
        <v>84.37</v>
      </c>
      <c r="W138" s="76">
        <v>84.37</v>
      </c>
      <c r="X138" s="76">
        <v>84.37</v>
      </c>
      <c r="Y138" s="76">
        <v>84.37</v>
      </c>
      <c r="Z138" s="76">
        <v>84.37</v>
      </c>
      <c r="AA138" s="76">
        <v>84.37</v>
      </c>
    </row>
    <row r="139" spans="1:27" s="36" customFormat="1" ht="13" customHeight="1" x14ac:dyDescent="0.3">
      <c r="A139" s="24" t="s">
        <v>170</v>
      </c>
      <c r="B139" s="76"/>
      <c r="C139" s="87"/>
      <c r="D139" s="87"/>
      <c r="E139" s="87"/>
      <c r="F139" s="87"/>
      <c r="G139" s="87"/>
      <c r="H139" s="87"/>
      <c r="I139" s="87"/>
      <c r="J139" s="87"/>
      <c r="K139" s="73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</row>
    <row r="140" spans="1:27" s="36" customFormat="1" ht="13" customHeight="1" x14ac:dyDescent="0.3">
      <c r="A140" s="74" t="s">
        <v>225</v>
      </c>
      <c r="B140" s="76">
        <f>5/100*B149</f>
        <v>4.1645000000000003</v>
      </c>
      <c r="C140" s="76">
        <v>4.16</v>
      </c>
      <c r="D140" s="76">
        <v>4.16</v>
      </c>
      <c r="E140" s="76">
        <v>4.16</v>
      </c>
      <c r="F140" s="76">
        <v>4.16</v>
      </c>
      <c r="G140" s="76">
        <v>4.16</v>
      </c>
      <c r="H140" s="76">
        <v>4.16</v>
      </c>
      <c r="I140" s="76">
        <v>4.16</v>
      </c>
      <c r="J140" s="76">
        <v>4.16</v>
      </c>
      <c r="K140" s="76">
        <v>4.16</v>
      </c>
      <c r="L140" s="76">
        <v>4.16</v>
      </c>
      <c r="M140" s="76">
        <v>4.16</v>
      </c>
      <c r="N140" s="76">
        <v>4.16</v>
      </c>
      <c r="O140" s="76">
        <v>4.16</v>
      </c>
      <c r="P140" s="76">
        <v>4.16</v>
      </c>
      <c r="Q140" s="76">
        <v>4.16</v>
      </c>
      <c r="R140" s="76">
        <v>4.16</v>
      </c>
      <c r="S140" s="76">
        <v>4.16</v>
      </c>
      <c r="T140" s="76">
        <v>4.16</v>
      </c>
      <c r="U140" s="76">
        <v>4.16</v>
      </c>
      <c r="V140" s="76">
        <v>4.16</v>
      </c>
      <c r="W140" s="76">
        <v>4.16</v>
      </c>
      <c r="X140" s="76">
        <v>4.16</v>
      </c>
      <c r="Y140" s="76">
        <v>4.16</v>
      </c>
      <c r="Z140" s="76">
        <v>4.16</v>
      </c>
      <c r="AA140" s="76">
        <v>4.16</v>
      </c>
    </row>
    <row r="141" spans="1:27" s="36" customFormat="1" ht="13" customHeight="1" x14ac:dyDescent="0.3">
      <c r="A141" s="74" t="s">
        <v>226</v>
      </c>
      <c r="B141" s="76">
        <f>5/100*B151</f>
        <v>22.5</v>
      </c>
      <c r="C141" s="76">
        <v>22.5</v>
      </c>
      <c r="D141" s="76">
        <v>22.5</v>
      </c>
      <c r="E141" s="76">
        <v>22.5</v>
      </c>
      <c r="F141" s="76">
        <v>22.5</v>
      </c>
      <c r="G141" s="76">
        <v>22.5</v>
      </c>
      <c r="H141" s="76">
        <v>22.5</v>
      </c>
      <c r="I141" s="76">
        <v>22.5</v>
      </c>
      <c r="J141" s="76">
        <v>22.5</v>
      </c>
      <c r="K141" s="76">
        <v>22.5</v>
      </c>
      <c r="L141" s="76">
        <v>22.5</v>
      </c>
      <c r="M141" s="76">
        <v>22.5</v>
      </c>
      <c r="N141" s="76">
        <v>22.5</v>
      </c>
      <c r="O141" s="76">
        <v>22.5</v>
      </c>
      <c r="P141" s="76">
        <v>22.5</v>
      </c>
      <c r="Q141" s="76">
        <v>22.5</v>
      </c>
      <c r="R141" s="76">
        <v>22.5</v>
      </c>
      <c r="S141" s="76">
        <v>22.5</v>
      </c>
      <c r="T141" s="76">
        <v>22.5</v>
      </c>
      <c r="U141" s="76">
        <v>22.5</v>
      </c>
      <c r="V141" s="76">
        <v>22.5</v>
      </c>
      <c r="W141" s="76">
        <v>22.5</v>
      </c>
      <c r="X141" s="76">
        <v>22.5</v>
      </c>
      <c r="Y141" s="76">
        <v>22.5</v>
      </c>
      <c r="Z141" s="76">
        <v>22.5</v>
      </c>
      <c r="AA141" s="76">
        <v>22.5</v>
      </c>
    </row>
    <row r="142" spans="1:27" s="100" customFormat="1" ht="13" customHeight="1" x14ac:dyDescent="0.3">
      <c r="A142" s="71" t="s">
        <v>227</v>
      </c>
      <c r="B142" s="77">
        <f>B137+B140</f>
        <v>57.073099999999997</v>
      </c>
      <c r="C142" s="77">
        <f>C137+C140</f>
        <v>20.407399999999999</v>
      </c>
      <c r="D142" s="77">
        <f t="shared" ref="D142:AA142" si="38">D137+D140</f>
        <v>20.407399999999999</v>
      </c>
      <c r="E142" s="77">
        <f t="shared" si="38"/>
        <v>15.8078</v>
      </c>
      <c r="F142" s="77">
        <f t="shared" si="38"/>
        <v>15.8078</v>
      </c>
      <c r="G142" s="77">
        <f t="shared" si="38"/>
        <v>15.8078</v>
      </c>
      <c r="H142" s="77">
        <f t="shared" si="38"/>
        <v>15.8078</v>
      </c>
      <c r="I142" s="77">
        <f t="shared" si="38"/>
        <v>15.908000000000001</v>
      </c>
      <c r="J142" s="77">
        <f t="shared" si="38"/>
        <v>6.4022000000000006</v>
      </c>
      <c r="K142" s="77">
        <f t="shared" si="38"/>
        <v>6.4022000000000006</v>
      </c>
      <c r="L142" s="77">
        <f t="shared" si="38"/>
        <v>6.4022000000000006</v>
      </c>
      <c r="M142" s="77">
        <f t="shared" si="38"/>
        <v>6.5629999999999997</v>
      </c>
      <c r="N142" s="77">
        <f t="shared" si="38"/>
        <v>6.5629999999999997</v>
      </c>
      <c r="O142" s="77">
        <f t="shared" si="38"/>
        <v>6.5629999999999997</v>
      </c>
      <c r="P142" s="77">
        <f t="shared" si="38"/>
        <v>6.5629999999999997</v>
      </c>
      <c r="Q142" s="77">
        <f t="shared" si="38"/>
        <v>6.5629999999999997</v>
      </c>
      <c r="R142" s="77">
        <f t="shared" si="38"/>
        <v>6.5629999999999997</v>
      </c>
      <c r="S142" s="77">
        <f t="shared" si="38"/>
        <v>6.5629999999999997</v>
      </c>
      <c r="T142" s="77">
        <f t="shared" si="38"/>
        <v>6.5629999999999997</v>
      </c>
      <c r="U142" s="77">
        <f t="shared" si="38"/>
        <v>6.5629999999999997</v>
      </c>
      <c r="V142" s="77">
        <f t="shared" si="38"/>
        <v>6.5629999999999997</v>
      </c>
      <c r="W142" s="77">
        <f t="shared" si="38"/>
        <v>6.5629999999999997</v>
      </c>
      <c r="X142" s="77">
        <f t="shared" si="38"/>
        <v>6.5629999999999997</v>
      </c>
      <c r="Y142" s="77">
        <f t="shared" si="38"/>
        <v>6.5629999999999997</v>
      </c>
      <c r="Z142" s="77">
        <f t="shared" si="38"/>
        <v>6.5629999999999997</v>
      </c>
      <c r="AA142" s="77">
        <f t="shared" si="38"/>
        <v>6.5629999999999997</v>
      </c>
    </row>
    <row r="143" spans="1:27" s="36" customFormat="1" ht="13" customHeight="1" x14ac:dyDescent="0.3">
      <c r="A143" s="71" t="s">
        <v>228</v>
      </c>
      <c r="B143" s="93">
        <f>B138+B141</f>
        <v>106.86540000000001</v>
      </c>
      <c r="C143" s="93">
        <f t="shared" ref="C143:AA143" si="39">C138+C141</f>
        <v>106.87</v>
      </c>
      <c r="D143" s="93">
        <f t="shared" si="39"/>
        <v>106.87</v>
      </c>
      <c r="E143" s="93">
        <f t="shared" si="39"/>
        <v>106.87</v>
      </c>
      <c r="F143" s="93">
        <f t="shared" si="39"/>
        <v>106.87</v>
      </c>
      <c r="G143" s="93">
        <f t="shared" si="39"/>
        <v>106.87</v>
      </c>
      <c r="H143" s="93">
        <f t="shared" si="39"/>
        <v>106.87</v>
      </c>
      <c r="I143" s="93">
        <f t="shared" si="39"/>
        <v>106.87</v>
      </c>
      <c r="J143" s="93">
        <f t="shared" si="39"/>
        <v>106.87</v>
      </c>
      <c r="K143" s="93">
        <f t="shared" si="39"/>
        <v>106.87</v>
      </c>
      <c r="L143" s="93">
        <f t="shared" si="39"/>
        <v>106.87</v>
      </c>
      <c r="M143" s="93">
        <f t="shared" si="39"/>
        <v>106.87</v>
      </c>
      <c r="N143" s="93">
        <f t="shared" si="39"/>
        <v>106.87</v>
      </c>
      <c r="O143" s="93">
        <f t="shared" si="39"/>
        <v>106.87</v>
      </c>
      <c r="P143" s="93">
        <f t="shared" si="39"/>
        <v>106.87</v>
      </c>
      <c r="Q143" s="93">
        <f t="shared" si="39"/>
        <v>106.87</v>
      </c>
      <c r="R143" s="93">
        <f t="shared" si="39"/>
        <v>106.87</v>
      </c>
      <c r="S143" s="93">
        <f t="shared" si="39"/>
        <v>106.87</v>
      </c>
      <c r="T143" s="93">
        <f t="shared" si="39"/>
        <v>106.87</v>
      </c>
      <c r="U143" s="93">
        <f t="shared" si="39"/>
        <v>106.87</v>
      </c>
      <c r="V143" s="93">
        <f t="shared" si="39"/>
        <v>106.87</v>
      </c>
      <c r="W143" s="93">
        <f t="shared" si="39"/>
        <v>106.87</v>
      </c>
      <c r="X143" s="93">
        <f t="shared" si="39"/>
        <v>106.87</v>
      </c>
      <c r="Y143" s="93">
        <f t="shared" si="39"/>
        <v>106.87</v>
      </c>
      <c r="Z143" s="93">
        <f t="shared" si="39"/>
        <v>106.87</v>
      </c>
      <c r="AA143" s="93">
        <f t="shared" si="39"/>
        <v>106.87</v>
      </c>
    </row>
    <row r="144" spans="1:27" s="36" customFormat="1" ht="13" customHeight="1" x14ac:dyDescent="0.3">
      <c r="A144" s="24"/>
      <c r="B144" s="76"/>
      <c r="C144" s="87"/>
      <c r="D144" s="87"/>
      <c r="E144" s="73"/>
      <c r="F144" s="73"/>
      <c r="G144" s="73"/>
      <c r="H144" s="73"/>
      <c r="I144" s="73"/>
      <c r="J144" s="73"/>
      <c r="K144" s="73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</row>
    <row r="145" spans="1:27" s="36" customFormat="1" ht="13" customHeight="1" x14ac:dyDescent="0.3">
      <c r="A145" s="89" t="s">
        <v>173</v>
      </c>
      <c r="B145" s="76"/>
      <c r="C145" s="87"/>
      <c r="D145" s="87"/>
      <c r="E145" s="73"/>
      <c r="F145" s="73"/>
      <c r="G145" s="73"/>
      <c r="H145" s="73"/>
      <c r="I145" s="73"/>
      <c r="J145" s="73"/>
      <c r="K145" s="73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</row>
    <row r="146" spans="1:27" s="36" customFormat="1" ht="13" customHeight="1" x14ac:dyDescent="0.3">
      <c r="A146" s="83" t="s">
        <v>174</v>
      </c>
      <c r="B146" s="76"/>
      <c r="C146" s="87"/>
      <c r="D146" s="87"/>
      <c r="E146" s="73"/>
      <c r="F146" s="73"/>
      <c r="G146" s="73"/>
      <c r="H146" s="73"/>
      <c r="I146" s="73"/>
      <c r="J146" s="73"/>
      <c r="K146" s="73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</row>
    <row r="147" spans="1:27" s="36" customFormat="1" ht="13" customHeight="1" x14ac:dyDescent="0.3">
      <c r="A147" s="75" t="s">
        <v>229</v>
      </c>
      <c r="B147" s="76">
        <v>46.34</v>
      </c>
      <c r="C147" s="87"/>
      <c r="D147" s="87"/>
      <c r="E147" s="73"/>
      <c r="F147" s="73"/>
      <c r="G147" s="73"/>
      <c r="H147" s="73"/>
      <c r="I147" s="73"/>
      <c r="J147" s="73"/>
      <c r="K147" s="73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</row>
    <row r="148" spans="1:27" s="36" customFormat="1" ht="13" customHeight="1" x14ac:dyDescent="0.3">
      <c r="A148" s="74" t="s">
        <v>230</v>
      </c>
      <c r="B148" s="76">
        <v>23</v>
      </c>
      <c r="C148" s="87"/>
      <c r="D148" s="87"/>
      <c r="E148" s="73"/>
      <c r="F148" s="73"/>
      <c r="G148" s="73"/>
      <c r="H148" s="73"/>
      <c r="I148" s="73"/>
      <c r="J148" s="73"/>
      <c r="K148" s="73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</row>
    <row r="149" spans="1:27" s="36" customFormat="1" ht="13" customHeight="1" x14ac:dyDescent="0.3">
      <c r="A149" s="74" t="s">
        <v>207</v>
      </c>
      <c r="B149" s="76">
        <v>83.29</v>
      </c>
      <c r="C149" s="87">
        <v>54</v>
      </c>
      <c r="D149" s="87">
        <v>54</v>
      </c>
      <c r="E149" s="73"/>
      <c r="F149" s="73"/>
      <c r="G149" s="73"/>
      <c r="H149" s="73"/>
      <c r="I149" s="73"/>
      <c r="J149" s="73"/>
      <c r="K149" s="73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</row>
    <row r="150" spans="1:27" s="36" customFormat="1" ht="13" customHeight="1" x14ac:dyDescent="0.3">
      <c r="A150" s="74" t="s">
        <v>231</v>
      </c>
      <c r="B150" s="76">
        <v>300.27</v>
      </c>
      <c r="C150" s="87">
        <v>30</v>
      </c>
      <c r="D150" s="87">
        <v>30</v>
      </c>
      <c r="E150" s="73"/>
      <c r="F150" s="73"/>
      <c r="G150" s="73"/>
      <c r="H150" s="73"/>
      <c r="I150" s="73"/>
      <c r="J150" s="73"/>
      <c r="K150" s="73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</row>
    <row r="151" spans="1:27" s="243" customFormat="1" ht="13" customHeight="1" x14ac:dyDescent="0.3">
      <c r="A151" s="239" t="s">
        <v>232</v>
      </c>
      <c r="B151" s="240">
        <v>450</v>
      </c>
      <c r="C151" s="241"/>
      <c r="D151" s="241"/>
      <c r="E151" s="242"/>
      <c r="F151" s="242"/>
      <c r="G151" s="242"/>
      <c r="H151" s="242"/>
      <c r="I151" s="242"/>
      <c r="J151" s="242"/>
      <c r="K151" s="242"/>
      <c r="L151" s="239"/>
      <c r="M151" s="239"/>
      <c r="N151" s="239"/>
      <c r="O151" s="239"/>
      <c r="P151" s="239"/>
      <c r="Q151" s="239"/>
      <c r="R151" s="239"/>
      <c r="S151" s="239"/>
      <c r="T151" s="239"/>
      <c r="U151" s="239"/>
      <c r="V151" s="239"/>
      <c r="W151" s="239"/>
      <c r="X151" s="239"/>
      <c r="Y151" s="239"/>
      <c r="Z151" s="239"/>
      <c r="AA151" s="239"/>
    </row>
    <row r="152" spans="1:27" s="36" customFormat="1" ht="13" customHeight="1" x14ac:dyDescent="0.3">
      <c r="A152" s="83" t="s">
        <v>208</v>
      </c>
      <c r="B152" s="76"/>
      <c r="C152" s="87"/>
      <c r="D152" s="87"/>
      <c r="E152" s="73"/>
      <c r="F152" s="73"/>
      <c r="G152" s="73"/>
      <c r="H152" s="73"/>
      <c r="I152" s="73"/>
      <c r="J152" s="73"/>
      <c r="K152" s="73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</row>
    <row r="153" spans="1:27" s="36" customFormat="1" ht="13" customHeight="1" x14ac:dyDescent="0.3">
      <c r="A153" s="74" t="s">
        <v>233</v>
      </c>
      <c r="B153" s="81">
        <v>54.5</v>
      </c>
      <c r="C153" s="87">
        <v>39.47</v>
      </c>
      <c r="D153" s="87">
        <v>39.47</v>
      </c>
      <c r="E153" s="87">
        <v>39.47</v>
      </c>
      <c r="F153" s="87">
        <v>39.47</v>
      </c>
      <c r="G153" s="87">
        <v>39.47</v>
      </c>
      <c r="H153" s="87">
        <v>39.47</v>
      </c>
      <c r="I153" s="87">
        <v>39.47</v>
      </c>
      <c r="J153" s="73"/>
      <c r="K153" s="73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</row>
    <row r="154" spans="1:27" s="36" customFormat="1" ht="13" customHeight="1" x14ac:dyDescent="0.3">
      <c r="A154" s="83" t="s">
        <v>181</v>
      </c>
      <c r="B154" s="76"/>
      <c r="C154" s="87"/>
      <c r="D154" s="87"/>
      <c r="E154" s="73"/>
      <c r="F154" s="73"/>
      <c r="G154" s="73"/>
      <c r="H154" s="73"/>
      <c r="I154" s="73"/>
      <c r="J154" s="73"/>
      <c r="K154" s="73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</row>
    <row r="155" spans="1:27" s="36" customFormat="1" ht="13" customHeight="1" x14ac:dyDescent="0.3">
      <c r="A155" s="74" t="s">
        <v>234</v>
      </c>
      <c r="B155" s="76">
        <v>26.33</v>
      </c>
      <c r="C155" s="87"/>
      <c r="D155" s="87"/>
      <c r="E155" s="73"/>
      <c r="F155" s="73"/>
      <c r="G155" s="73"/>
      <c r="H155" s="73"/>
      <c r="I155" s="73"/>
      <c r="J155" s="73"/>
      <c r="K155" s="73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</row>
    <row r="156" spans="1:27" s="36" customFormat="1" ht="13" customHeight="1" x14ac:dyDescent="0.3">
      <c r="A156" s="74" t="s">
        <v>235</v>
      </c>
      <c r="B156" s="76">
        <v>16.18</v>
      </c>
      <c r="C156" s="87"/>
      <c r="D156" s="87"/>
      <c r="E156" s="73"/>
      <c r="F156" s="73"/>
      <c r="G156" s="73"/>
      <c r="H156" s="73"/>
      <c r="I156" s="73"/>
      <c r="J156" s="73"/>
      <c r="K156" s="73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</row>
    <row r="157" spans="1:27" s="36" customFormat="1" ht="13" customHeight="1" x14ac:dyDescent="0.3">
      <c r="A157" s="74" t="s">
        <v>236</v>
      </c>
      <c r="B157" s="76">
        <v>74.28</v>
      </c>
      <c r="C157" s="87"/>
      <c r="D157" s="87"/>
      <c r="E157" s="73"/>
      <c r="F157" s="73"/>
      <c r="G157" s="73"/>
      <c r="H157" s="73"/>
      <c r="I157" s="73"/>
      <c r="J157" s="73"/>
      <c r="K157" s="73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</row>
    <row r="158" spans="1:27" s="36" customFormat="1" ht="13" customHeight="1" x14ac:dyDescent="0.3">
      <c r="A158" s="74" t="s">
        <v>237</v>
      </c>
      <c r="B158" s="76">
        <v>77.87</v>
      </c>
      <c r="C158" s="87"/>
      <c r="D158" s="87"/>
      <c r="E158" s="73"/>
      <c r="F158" s="73"/>
      <c r="G158" s="73"/>
      <c r="H158" s="73"/>
      <c r="I158" s="73"/>
      <c r="J158" s="73"/>
      <c r="K158" s="73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</row>
    <row r="159" spans="1:27" s="36" customFormat="1" ht="13" customHeight="1" x14ac:dyDescent="0.3">
      <c r="A159" s="83" t="s">
        <v>186</v>
      </c>
      <c r="B159" s="76"/>
      <c r="C159" s="87"/>
      <c r="D159" s="87"/>
      <c r="E159" s="73"/>
      <c r="F159" s="73"/>
      <c r="G159" s="73"/>
      <c r="H159" s="73"/>
      <c r="I159" s="73"/>
      <c r="J159" s="73"/>
      <c r="K159" s="73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</row>
    <row r="160" spans="1:27" s="36" customFormat="1" ht="13" customHeight="1" x14ac:dyDescent="0.3">
      <c r="A160" s="74" t="s">
        <v>185</v>
      </c>
      <c r="B160" s="76"/>
      <c r="C160" s="87">
        <v>27</v>
      </c>
      <c r="D160" s="87">
        <v>27</v>
      </c>
      <c r="E160" s="73"/>
      <c r="F160" s="73"/>
      <c r="G160" s="73"/>
      <c r="H160" s="73"/>
      <c r="I160" s="73"/>
      <c r="J160" s="73"/>
      <c r="K160" s="73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</row>
    <row r="161" spans="1:27" s="36" customFormat="1" ht="13" customHeight="1" x14ac:dyDescent="0.3">
      <c r="A161" s="74" t="s">
        <v>238</v>
      </c>
      <c r="B161" s="76">
        <v>118.96</v>
      </c>
      <c r="C161" s="87">
        <f t="shared" ref="C161:I161" si="40">B161</f>
        <v>118.96</v>
      </c>
      <c r="D161" s="87">
        <f t="shared" si="40"/>
        <v>118.96</v>
      </c>
      <c r="E161" s="87">
        <f t="shared" si="40"/>
        <v>118.96</v>
      </c>
      <c r="F161" s="87">
        <f t="shared" si="40"/>
        <v>118.96</v>
      </c>
      <c r="G161" s="87">
        <f t="shared" si="40"/>
        <v>118.96</v>
      </c>
      <c r="H161" s="87">
        <f t="shared" si="40"/>
        <v>118.96</v>
      </c>
      <c r="I161" s="87">
        <f t="shared" si="40"/>
        <v>118.96</v>
      </c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</row>
    <row r="162" spans="1:27" s="36" customFormat="1" ht="13" customHeight="1" x14ac:dyDescent="0.3">
      <c r="A162" s="74" t="s">
        <v>239</v>
      </c>
      <c r="B162" s="76"/>
      <c r="C162" s="87"/>
      <c r="D162" s="87"/>
      <c r="E162" s="87"/>
      <c r="F162" s="87"/>
      <c r="G162" s="87"/>
      <c r="H162" s="87"/>
      <c r="I162" s="87"/>
      <c r="J162" s="87">
        <v>18.059999999999999</v>
      </c>
      <c r="K162" s="87">
        <v>18.059999999999999</v>
      </c>
      <c r="L162" s="87">
        <v>18.059999999999999</v>
      </c>
      <c r="M162" s="87">
        <v>18.059999999999999</v>
      </c>
      <c r="N162" s="87">
        <v>18.059999999999999</v>
      </c>
      <c r="O162" s="87">
        <v>18.059999999999999</v>
      </c>
      <c r="P162" s="87">
        <v>18.059999999999999</v>
      </c>
      <c r="Q162" s="87">
        <v>18.059999999999999</v>
      </c>
      <c r="R162" s="87">
        <v>18.059999999999999</v>
      </c>
      <c r="S162" s="87">
        <v>18.059999999999999</v>
      </c>
      <c r="T162" s="87">
        <v>18.059999999999999</v>
      </c>
      <c r="U162" s="87">
        <v>18.059999999999999</v>
      </c>
      <c r="V162" s="87">
        <v>18.059999999999999</v>
      </c>
      <c r="W162" s="87">
        <v>18.059999999999999</v>
      </c>
      <c r="X162" s="87">
        <v>18.059999999999999</v>
      </c>
      <c r="Y162" s="87">
        <v>18.059999999999999</v>
      </c>
      <c r="Z162" s="87">
        <v>18.059999999999999</v>
      </c>
      <c r="AA162" s="87">
        <v>18.059999999999999</v>
      </c>
    </row>
    <row r="163" spans="1:27" s="36" customFormat="1" ht="13" customHeight="1" x14ac:dyDescent="0.3">
      <c r="A163" s="74" t="s">
        <v>240</v>
      </c>
      <c r="B163" s="76">
        <v>60.79</v>
      </c>
      <c r="C163" s="87">
        <v>28.36</v>
      </c>
      <c r="D163" s="87">
        <v>28.36</v>
      </c>
      <c r="E163" s="87">
        <v>35.700000000000003</v>
      </c>
      <c r="F163" s="87">
        <v>35.700000000000003</v>
      </c>
      <c r="G163" s="87">
        <v>35.700000000000003</v>
      </c>
      <c r="H163" s="87">
        <v>35.700000000000003</v>
      </c>
      <c r="I163" s="87">
        <v>37.369999999999997</v>
      </c>
      <c r="J163" s="87">
        <v>37.369999999999997</v>
      </c>
      <c r="K163" s="87">
        <v>37.369999999999997</v>
      </c>
      <c r="L163" s="87">
        <v>37.369999999999997</v>
      </c>
      <c r="M163" s="87">
        <v>40.049999999999997</v>
      </c>
      <c r="N163" s="87">
        <v>40.049999999999997</v>
      </c>
      <c r="O163" s="87">
        <v>40.049999999999997</v>
      </c>
      <c r="P163" s="87">
        <v>40.049999999999997</v>
      </c>
      <c r="Q163" s="87">
        <v>40.049999999999997</v>
      </c>
      <c r="R163" s="87">
        <v>40.049999999999997</v>
      </c>
      <c r="S163" s="87">
        <v>40.049999999999997</v>
      </c>
      <c r="T163" s="87">
        <v>40.049999999999997</v>
      </c>
      <c r="U163" s="87">
        <v>40.049999999999997</v>
      </c>
      <c r="V163" s="87">
        <v>40.049999999999997</v>
      </c>
      <c r="W163" s="87">
        <v>40.049999999999997</v>
      </c>
      <c r="X163" s="87">
        <v>40.049999999999997</v>
      </c>
      <c r="Y163" s="87">
        <v>40.049999999999997</v>
      </c>
      <c r="Z163" s="87">
        <v>40.049999999999997</v>
      </c>
      <c r="AA163" s="87">
        <v>40.049999999999997</v>
      </c>
    </row>
    <row r="164" spans="1:27" s="36" customFormat="1" ht="13" customHeight="1" x14ac:dyDescent="0.3">
      <c r="A164" s="74" t="s">
        <v>241</v>
      </c>
      <c r="B164" s="76"/>
      <c r="C164" s="87"/>
      <c r="D164" s="87"/>
      <c r="E164" s="87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</row>
    <row r="165" spans="1:27" s="36" customFormat="1" ht="13" customHeight="1" x14ac:dyDescent="0.3">
      <c r="A165" s="83" t="s">
        <v>242</v>
      </c>
      <c r="B165" s="76"/>
      <c r="C165" s="87"/>
      <c r="D165" s="87"/>
      <c r="E165" s="73"/>
      <c r="F165" s="73"/>
      <c r="G165" s="73"/>
      <c r="H165" s="73"/>
      <c r="I165" s="73"/>
      <c r="J165" s="73"/>
      <c r="K165" s="73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</row>
    <row r="166" spans="1:27" s="36" customFormat="1" ht="13" customHeight="1" x14ac:dyDescent="0.3">
      <c r="A166" s="74" t="s">
        <v>214</v>
      </c>
      <c r="B166" s="76"/>
      <c r="C166" s="87">
        <v>12.86</v>
      </c>
      <c r="D166" s="87">
        <v>12.86</v>
      </c>
      <c r="E166" s="87">
        <v>66.83</v>
      </c>
      <c r="F166" s="87">
        <v>66.83</v>
      </c>
      <c r="G166" s="87">
        <v>66.83</v>
      </c>
      <c r="H166" s="87">
        <v>66.83</v>
      </c>
      <c r="I166" s="87">
        <v>66.83</v>
      </c>
      <c r="J166" s="87">
        <v>62.18</v>
      </c>
      <c r="K166" s="87">
        <f t="shared" ref="K166:AA166" si="41">J166</f>
        <v>62.18</v>
      </c>
      <c r="L166" s="87">
        <f t="shared" si="41"/>
        <v>62.18</v>
      </c>
      <c r="M166" s="87">
        <v>61.89</v>
      </c>
      <c r="N166" s="87">
        <f t="shared" si="41"/>
        <v>61.89</v>
      </c>
      <c r="O166" s="87">
        <f t="shared" si="41"/>
        <v>61.89</v>
      </c>
      <c r="P166" s="87">
        <f t="shared" si="41"/>
        <v>61.89</v>
      </c>
      <c r="Q166" s="87">
        <f t="shared" si="41"/>
        <v>61.89</v>
      </c>
      <c r="R166" s="87">
        <f t="shared" si="41"/>
        <v>61.89</v>
      </c>
      <c r="S166" s="87">
        <f t="shared" si="41"/>
        <v>61.89</v>
      </c>
      <c r="T166" s="87">
        <f t="shared" si="41"/>
        <v>61.89</v>
      </c>
      <c r="U166" s="87">
        <f t="shared" si="41"/>
        <v>61.89</v>
      </c>
      <c r="V166" s="87">
        <f t="shared" si="41"/>
        <v>61.89</v>
      </c>
      <c r="W166" s="87">
        <f t="shared" si="41"/>
        <v>61.89</v>
      </c>
      <c r="X166" s="87">
        <f t="shared" si="41"/>
        <v>61.89</v>
      </c>
      <c r="Y166" s="87">
        <f t="shared" si="41"/>
        <v>61.89</v>
      </c>
      <c r="Z166" s="87">
        <f t="shared" si="41"/>
        <v>61.89</v>
      </c>
      <c r="AA166" s="87">
        <f t="shared" si="41"/>
        <v>61.89</v>
      </c>
    </row>
    <row r="167" spans="1:27" s="36" customFormat="1" ht="13" customHeight="1" x14ac:dyDescent="0.3">
      <c r="A167" s="74" t="s">
        <v>243</v>
      </c>
      <c r="B167" s="76"/>
      <c r="C167" s="87">
        <v>20</v>
      </c>
      <c r="D167" s="87">
        <v>20</v>
      </c>
      <c r="E167" s="87">
        <v>20</v>
      </c>
      <c r="F167" s="87">
        <v>20</v>
      </c>
      <c r="G167" s="87">
        <v>20</v>
      </c>
      <c r="H167" s="87">
        <v>20</v>
      </c>
      <c r="I167" s="87">
        <v>20</v>
      </c>
      <c r="J167" s="87">
        <v>20</v>
      </c>
      <c r="K167" s="87">
        <v>20</v>
      </c>
      <c r="L167" s="87">
        <v>20</v>
      </c>
      <c r="M167" s="87">
        <v>20</v>
      </c>
      <c r="N167" s="87">
        <v>20</v>
      </c>
      <c r="O167" s="87">
        <v>20</v>
      </c>
      <c r="P167" s="87">
        <v>20</v>
      </c>
      <c r="Q167" s="87">
        <v>20</v>
      </c>
      <c r="R167" s="87">
        <v>20</v>
      </c>
      <c r="S167" s="87">
        <v>20</v>
      </c>
      <c r="T167" s="87">
        <v>20</v>
      </c>
      <c r="U167" s="87">
        <v>20</v>
      </c>
      <c r="V167" s="87">
        <v>20</v>
      </c>
      <c r="W167" s="87">
        <v>20</v>
      </c>
      <c r="X167" s="87">
        <v>20</v>
      </c>
      <c r="Y167" s="87">
        <v>20</v>
      </c>
      <c r="Z167" s="87">
        <v>20</v>
      </c>
      <c r="AA167" s="87">
        <v>20</v>
      </c>
    </row>
    <row r="168" spans="1:27" s="36" customFormat="1" ht="13" customHeight="1" x14ac:dyDescent="0.3">
      <c r="A168" s="74" t="s">
        <v>244</v>
      </c>
      <c r="B168" s="76"/>
      <c r="C168" s="87">
        <v>6</v>
      </c>
      <c r="D168" s="87">
        <v>6</v>
      </c>
      <c r="E168" s="87">
        <v>17.690000000000001</v>
      </c>
      <c r="F168" s="87">
        <v>17.690000000000001</v>
      </c>
      <c r="G168" s="87">
        <v>17.690000000000001</v>
      </c>
      <c r="H168" s="87">
        <v>17.690000000000001</v>
      </c>
      <c r="I168" s="87">
        <v>10.39</v>
      </c>
      <c r="J168" s="87">
        <v>10.39</v>
      </c>
      <c r="K168" s="87">
        <v>10.39</v>
      </c>
      <c r="L168" s="87">
        <v>10.39</v>
      </c>
      <c r="M168" s="87">
        <v>5.45</v>
      </c>
      <c r="N168" s="87">
        <v>5.45</v>
      </c>
      <c r="O168" s="87">
        <v>5.45</v>
      </c>
      <c r="P168" s="87">
        <v>5.45</v>
      </c>
      <c r="Q168" s="87">
        <v>5.45</v>
      </c>
      <c r="R168" s="87">
        <v>5.45</v>
      </c>
      <c r="S168" s="87">
        <v>5.45</v>
      </c>
      <c r="T168" s="87">
        <v>5.45</v>
      </c>
      <c r="U168" s="87">
        <v>5.45</v>
      </c>
      <c r="V168" s="87">
        <v>5.45</v>
      </c>
      <c r="W168" s="87">
        <v>5.45</v>
      </c>
      <c r="X168" s="87">
        <v>5.45</v>
      </c>
      <c r="Y168" s="87">
        <v>5.45</v>
      </c>
      <c r="Z168" s="87">
        <v>5.45</v>
      </c>
      <c r="AA168" s="87">
        <v>5.45</v>
      </c>
    </row>
    <row r="169" spans="1:27" s="246" customFormat="1" ht="13" customHeight="1" x14ac:dyDescent="0.3">
      <c r="A169" s="71" t="s">
        <v>245</v>
      </c>
      <c r="B169" s="77">
        <f>B147+B148+B149+B150+B153+B155+B156+B157+B158+B161+B163</f>
        <v>881.81</v>
      </c>
      <c r="C169" s="77">
        <f t="shared" ref="C169:AA169" si="42">C147+C148+C149+C150+C153+C155+C156+C157+C158+C161+C163</f>
        <v>270.79000000000002</v>
      </c>
      <c r="D169" s="77">
        <f t="shared" si="42"/>
        <v>270.79000000000002</v>
      </c>
      <c r="E169" s="77">
        <f t="shared" si="42"/>
        <v>194.13</v>
      </c>
      <c r="F169" s="77">
        <f t="shared" si="42"/>
        <v>194.13</v>
      </c>
      <c r="G169" s="77">
        <f t="shared" si="42"/>
        <v>194.13</v>
      </c>
      <c r="H169" s="77">
        <f t="shared" si="42"/>
        <v>194.13</v>
      </c>
      <c r="I169" s="77">
        <f t="shared" si="42"/>
        <v>195.8</v>
      </c>
      <c r="J169" s="77">
        <f t="shared" si="42"/>
        <v>37.369999999999997</v>
      </c>
      <c r="K169" s="77">
        <f t="shared" si="42"/>
        <v>37.369999999999997</v>
      </c>
      <c r="L169" s="77">
        <f t="shared" si="42"/>
        <v>37.369999999999997</v>
      </c>
      <c r="M169" s="77">
        <f t="shared" si="42"/>
        <v>40.049999999999997</v>
      </c>
      <c r="N169" s="77">
        <f t="shared" si="42"/>
        <v>40.049999999999997</v>
      </c>
      <c r="O169" s="77">
        <f t="shared" si="42"/>
        <v>40.049999999999997</v>
      </c>
      <c r="P169" s="77">
        <f t="shared" si="42"/>
        <v>40.049999999999997</v>
      </c>
      <c r="Q169" s="77">
        <f t="shared" si="42"/>
        <v>40.049999999999997</v>
      </c>
      <c r="R169" s="77">
        <f t="shared" si="42"/>
        <v>40.049999999999997</v>
      </c>
      <c r="S169" s="77">
        <f t="shared" si="42"/>
        <v>40.049999999999997</v>
      </c>
      <c r="T169" s="77">
        <f t="shared" si="42"/>
        <v>40.049999999999997</v>
      </c>
      <c r="U169" s="77">
        <f t="shared" si="42"/>
        <v>40.049999999999997</v>
      </c>
      <c r="V169" s="77">
        <f t="shared" si="42"/>
        <v>40.049999999999997</v>
      </c>
      <c r="W169" s="77">
        <f t="shared" si="42"/>
        <v>40.049999999999997</v>
      </c>
      <c r="X169" s="77">
        <f t="shared" si="42"/>
        <v>40.049999999999997</v>
      </c>
      <c r="Y169" s="77">
        <f t="shared" si="42"/>
        <v>40.049999999999997</v>
      </c>
      <c r="Z169" s="77">
        <f t="shared" si="42"/>
        <v>40.049999999999997</v>
      </c>
      <c r="AA169" s="77">
        <f t="shared" si="42"/>
        <v>40.049999999999997</v>
      </c>
    </row>
    <row r="170" spans="1:27" s="36" customFormat="1" ht="13" customHeight="1" x14ac:dyDescent="0.3">
      <c r="A170" s="71" t="s">
        <v>246</v>
      </c>
      <c r="B170" s="77">
        <f>B147+B148+B149+B150+B151+B153+B155+B156+B157+B157+B158+B161+B163</f>
        <v>1406.0900000000001</v>
      </c>
      <c r="C170" s="77">
        <f t="shared" ref="C170:AA170" si="43">C147+C148+C149+C150+C151+C153+C155+C156+C157+C157+C158+C161+C163</f>
        <v>270.79000000000002</v>
      </c>
      <c r="D170" s="77">
        <f t="shared" si="43"/>
        <v>270.79000000000002</v>
      </c>
      <c r="E170" s="77">
        <f t="shared" si="43"/>
        <v>194.13</v>
      </c>
      <c r="F170" s="77">
        <f t="shared" si="43"/>
        <v>194.13</v>
      </c>
      <c r="G170" s="77">
        <f t="shared" si="43"/>
        <v>194.13</v>
      </c>
      <c r="H170" s="77">
        <f t="shared" si="43"/>
        <v>194.13</v>
      </c>
      <c r="I170" s="77">
        <f t="shared" si="43"/>
        <v>195.8</v>
      </c>
      <c r="J170" s="77">
        <f t="shared" si="43"/>
        <v>37.369999999999997</v>
      </c>
      <c r="K170" s="77">
        <f t="shared" si="43"/>
        <v>37.369999999999997</v>
      </c>
      <c r="L170" s="77">
        <f t="shared" si="43"/>
        <v>37.369999999999997</v>
      </c>
      <c r="M170" s="77">
        <f t="shared" si="43"/>
        <v>40.049999999999997</v>
      </c>
      <c r="N170" s="77">
        <f t="shared" si="43"/>
        <v>40.049999999999997</v>
      </c>
      <c r="O170" s="77">
        <f t="shared" si="43"/>
        <v>40.049999999999997</v>
      </c>
      <c r="P170" s="77">
        <f t="shared" si="43"/>
        <v>40.049999999999997</v>
      </c>
      <c r="Q170" s="77">
        <f t="shared" si="43"/>
        <v>40.049999999999997</v>
      </c>
      <c r="R170" s="77">
        <f t="shared" si="43"/>
        <v>40.049999999999997</v>
      </c>
      <c r="S170" s="77">
        <f t="shared" si="43"/>
        <v>40.049999999999997</v>
      </c>
      <c r="T170" s="77">
        <f t="shared" si="43"/>
        <v>40.049999999999997</v>
      </c>
      <c r="U170" s="77">
        <f t="shared" si="43"/>
        <v>40.049999999999997</v>
      </c>
      <c r="V170" s="77">
        <f t="shared" si="43"/>
        <v>40.049999999999997</v>
      </c>
      <c r="W170" s="77">
        <f t="shared" si="43"/>
        <v>40.049999999999997</v>
      </c>
      <c r="X170" s="77">
        <f t="shared" si="43"/>
        <v>40.049999999999997</v>
      </c>
      <c r="Y170" s="77">
        <f t="shared" si="43"/>
        <v>40.049999999999997</v>
      </c>
      <c r="Z170" s="77">
        <f t="shared" si="43"/>
        <v>40.049999999999997</v>
      </c>
      <c r="AA170" s="77">
        <f t="shared" si="43"/>
        <v>40.049999999999997</v>
      </c>
    </row>
    <row r="171" spans="1:27" s="36" customFormat="1" ht="13" customHeight="1" x14ac:dyDescent="0.3">
      <c r="A171" s="24"/>
      <c r="B171" s="76"/>
      <c r="C171" s="87"/>
      <c r="D171" s="87"/>
      <c r="E171" s="73"/>
      <c r="F171" s="73"/>
      <c r="G171" s="73"/>
      <c r="H171" s="73"/>
      <c r="I171" s="73"/>
      <c r="J171" s="73"/>
      <c r="K171" s="73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</row>
    <row r="172" spans="1:27" s="36" customFormat="1" ht="13" customHeight="1" x14ac:dyDescent="0.3">
      <c r="A172" s="71" t="s">
        <v>247</v>
      </c>
      <c r="B172" s="77">
        <f>B132-B142-B169</f>
        <v>-738.88310000000001</v>
      </c>
      <c r="C172" s="77">
        <f t="shared" ref="C172:AA172" si="44">C132-C142-C169</f>
        <v>222.80259999999998</v>
      </c>
      <c r="D172" s="77">
        <f t="shared" si="44"/>
        <v>173.80259999999998</v>
      </c>
      <c r="E172" s="77">
        <f t="shared" si="44"/>
        <v>256.06220000000002</v>
      </c>
      <c r="F172" s="77">
        <f t="shared" si="44"/>
        <v>283.06220000000002</v>
      </c>
      <c r="G172" s="77">
        <f t="shared" si="44"/>
        <v>310.06220000000002</v>
      </c>
      <c r="H172" s="77">
        <f t="shared" si="44"/>
        <v>310.06220000000002</v>
      </c>
      <c r="I172" s="77">
        <f t="shared" si="44"/>
        <v>308.29199999999997</v>
      </c>
      <c r="J172" s="77">
        <f t="shared" si="44"/>
        <v>335.82780000000002</v>
      </c>
      <c r="K172" s="77">
        <f t="shared" si="44"/>
        <v>335.82780000000002</v>
      </c>
      <c r="L172" s="77">
        <f t="shared" si="44"/>
        <v>335.82780000000002</v>
      </c>
      <c r="M172" s="77">
        <f t="shared" si="44"/>
        <v>332.98700000000002</v>
      </c>
      <c r="N172" s="77">
        <f t="shared" si="44"/>
        <v>332.98700000000002</v>
      </c>
      <c r="O172" s="77">
        <f t="shared" si="44"/>
        <v>332.98700000000002</v>
      </c>
      <c r="P172" s="77">
        <f t="shared" si="44"/>
        <v>332.98700000000002</v>
      </c>
      <c r="Q172" s="77">
        <f t="shared" si="44"/>
        <v>332.98700000000002</v>
      </c>
      <c r="R172" s="77">
        <f t="shared" si="44"/>
        <v>332.98700000000002</v>
      </c>
      <c r="S172" s="77">
        <f t="shared" si="44"/>
        <v>332.98700000000002</v>
      </c>
      <c r="T172" s="77">
        <f t="shared" si="44"/>
        <v>332.98700000000002</v>
      </c>
      <c r="U172" s="77">
        <f t="shared" si="44"/>
        <v>332.98700000000002</v>
      </c>
      <c r="V172" s="77">
        <f t="shared" si="44"/>
        <v>332.98700000000002</v>
      </c>
      <c r="W172" s="77">
        <f t="shared" si="44"/>
        <v>332.98700000000002</v>
      </c>
      <c r="X172" s="77">
        <f t="shared" si="44"/>
        <v>332.98700000000002</v>
      </c>
      <c r="Y172" s="77">
        <f t="shared" si="44"/>
        <v>332.98700000000002</v>
      </c>
      <c r="Z172" s="77">
        <f t="shared" si="44"/>
        <v>332.98700000000002</v>
      </c>
      <c r="AA172" s="77">
        <f t="shared" si="44"/>
        <v>332.98700000000002</v>
      </c>
    </row>
    <row r="173" spans="1:27" s="36" customFormat="1" ht="13" customHeight="1" x14ac:dyDescent="0.3">
      <c r="A173" s="71" t="s">
        <v>248</v>
      </c>
      <c r="B173" s="77">
        <f>B133-B143-B170</f>
        <v>-1112.9554000000003</v>
      </c>
      <c r="C173" s="77">
        <f t="shared" ref="C173:AA173" si="45">C133-C143-C170</f>
        <v>690.82150193263374</v>
      </c>
      <c r="D173" s="77">
        <f t="shared" si="45"/>
        <v>553.81999999999994</v>
      </c>
      <c r="E173" s="77">
        <f t="shared" si="45"/>
        <v>619.48</v>
      </c>
      <c r="F173" s="77">
        <f t="shared" si="45"/>
        <v>621.48</v>
      </c>
      <c r="G173" s="77">
        <f t="shared" si="45"/>
        <v>571.48</v>
      </c>
      <c r="H173" s="77">
        <f t="shared" si="45"/>
        <v>571.48</v>
      </c>
      <c r="I173" s="77">
        <f t="shared" si="45"/>
        <v>569.80999999999995</v>
      </c>
      <c r="J173" s="77">
        <f t="shared" si="45"/>
        <v>676.24</v>
      </c>
      <c r="K173" s="77">
        <f t="shared" si="45"/>
        <v>676.24</v>
      </c>
      <c r="L173" s="77">
        <f t="shared" si="45"/>
        <v>676.24</v>
      </c>
      <c r="M173" s="77">
        <f t="shared" si="45"/>
        <v>425.08</v>
      </c>
      <c r="N173" s="77">
        <f t="shared" si="45"/>
        <v>701.17</v>
      </c>
      <c r="O173" s="77">
        <f t="shared" si="45"/>
        <v>701.17</v>
      </c>
      <c r="P173" s="77">
        <f t="shared" si="45"/>
        <v>701.17</v>
      </c>
      <c r="Q173" s="77">
        <f t="shared" si="45"/>
        <v>701.17</v>
      </c>
      <c r="R173" s="77">
        <f t="shared" si="45"/>
        <v>701.17</v>
      </c>
      <c r="S173" s="77">
        <f t="shared" si="45"/>
        <v>701.17</v>
      </c>
      <c r="T173" s="77">
        <f t="shared" si="45"/>
        <v>701.17</v>
      </c>
      <c r="U173" s="77">
        <f t="shared" si="45"/>
        <v>701.17</v>
      </c>
      <c r="V173" s="77">
        <f t="shared" si="45"/>
        <v>701.17</v>
      </c>
      <c r="W173" s="77">
        <f t="shared" si="45"/>
        <v>701.17</v>
      </c>
      <c r="X173" s="77">
        <f t="shared" si="45"/>
        <v>701.17</v>
      </c>
      <c r="Y173" s="77">
        <f t="shared" si="45"/>
        <v>701.17</v>
      </c>
      <c r="Z173" s="77">
        <f t="shared" si="45"/>
        <v>701.17</v>
      </c>
      <c r="AA173" s="77">
        <f t="shared" si="45"/>
        <v>701.17</v>
      </c>
    </row>
    <row r="174" spans="1:27" s="36" customFormat="1" ht="13" customHeight="1" x14ac:dyDescent="0.3">
      <c r="A174" s="104" t="s">
        <v>249</v>
      </c>
      <c r="B174" s="102">
        <f>B172</f>
        <v>-738.88310000000001</v>
      </c>
      <c r="C174" s="103">
        <f>SUM(B172:C172)</f>
        <v>-516.08050000000003</v>
      </c>
      <c r="D174" s="103">
        <f>SUM(B172:D172)</f>
        <v>-342.27790000000005</v>
      </c>
      <c r="E174" s="103">
        <f>SUM(B172:E172)</f>
        <v>-86.215700000000027</v>
      </c>
      <c r="F174" s="103">
        <f>SUM(B172:F172)</f>
        <v>196.84649999999999</v>
      </c>
      <c r="G174" s="103">
        <f>SUM(B172:G172)</f>
        <v>506.90870000000001</v>
      </c>
      <c r="H174" s="103">
        <f>SUM(B172:H172)</f>
        <v>816.97090000000003</v>
      </c>
      <c r="I174" s="103">
        <f>SUM(B172:I172)</f>
        <v>1125.2628999999999</v>
      </c>
      <c r="J174" s="103">
        <f>SUM(B172:J172)</f>
        <v>1461.0907</v>
      </c>
      <c r="K174" s="103">
        <f t="shared" ref="K174:M175" si="46">SUM(B172:K172)</f>
        <v>1796.9185</v>
      </c>
      <c r="L174" s="103">
        <f t="shared" si="46"/>
        <v>2871.6294000000003</v>
      </c>
      <c r="M174" s="103">
        <f t="shared" si="46"/>
        <v>2981.8137999999999</v>
      </c>
      <c r="N174" s="103">
        <f>SUM(B172:N172)</f>
        <v>2798.7203</v>
      </c>
      <c r="O174" s="103">
        <f>SUM(B172:O172)</f>
        <v>3131.7073</v>
      </c>
      <c r="P174" s="103">
        <f>SUM(B172:P172)</f>
        <v>3464.6943000000001</v>
      </c>
      <c r="Q174" s="103">
        <f>SUM(B172:Q172)</f>
        <v>3797.6813000000002</v>
      </c>
      <c r="R174" s="103">
        <f>SUM(B172:R172)</f>
        <v>4130.6683000000003</v>
      </c>
      <c r="S174" s="103">
        <f>SUM(B172:S172)</f>
        <v>4463.6553000000004</v>
      </c>
      <c r="T174" s="103">
        <f>SUM(B172:T172)</f>
        <v>4796.6423000000004</v>
      </c>
      <c r="U174" s="103">
        <f>SUM(B172:U172)</f>
        <v>5129.6293000000005</v>
      </c>
      <c r="V174" s="103">
        <f>SUM(B172:V172)</f>
        <v>5462.6163000000006</v>
      </c>
      <c r="W174" s="103">
        <f>SUM(B172:W172)</f>
        <v>5795.6033000000007</v>
      </c>
      <c r="X174" s="103">
        <f>SUM(B172:X172)</f>
        <v>6128.5903000000008</v>
      </c>
      <c r="Y174" s="103">
        <f>SUM(B172:Y172)</f>
        <v>6461.5773000000008</v>
      </c>
      <c r="Z174" s="103">
        <f>SUM(B172:Z172)</f>
        <v>6794.5643000000009</v>
      </c>
      <c r="AA174" s="103">
        <f>SUM(B172:AA172)</f>
        <v>7127.551300000001</v>
      </c>
    </row>
    <row r="175" spans="1:27" s="36" customFormat="1" ht="13" customHeight="1" x14ac:dyDescent="0.3">
      <c r="A175" s="104" t="s">
        <v>250</v>
      </c>
      <c r="B175" s="102">
        <f>B173</f>
        <v>-1112.9554000000003</v>
      </c>
      <c r="C175" s="102">
        <f>B173:C173</f>
        <v>690.82150193263374</v>
      </c>
      <c r="D175" s="102">
        <f>B173:D173</f>
        <v>553.81999999999994</v>
      </c>
      <c r="E175" s="102">
        <f>B173:E173</f>
        <v>619.48</v>
      </c>
      <c r="F175" s="103">
        <f>SUM(B173:F173)</f>
        <v>1372.6461019326334</v>
      </c>
      <c r="G175" s="103">
        <f>SUM(B173:G173)</f>
        <v>1944.1261019326334</v>
      </c>
      <c r="H175" s="103">
        <f>SUM(B173:H173)</f>
        <v>2515.6061019326335</v>
      </c>
      <c r="I175" s="103">
        <f>SUM(B173:I173)</f>
        <v>3085.4161019326334</v>
      </c>
      <c r="J175" s="103">
        <f>SUM(B173:J173)</f>
        <v>3761.6561019326336</v>
      </c>
      <c r="K175" s="103">
        <f t="shared" si="46"/>
        <v>4437.8961019326334</v>
      </c>
      <c r="L175" s="103">
        <f t="shared" si="46"/>
        <v>6227.091501932633</v>
      </c>
      <c r="M175" s="103">
        <f t="shared" si="46"/>
        <v>5961.3499999999995</v>
      </c>
      <c r="N175" s="103">
        <f>SUM(B173:N173)</f>
        <v>6240.3861019326332</v>
      </c>
      <c r="O175" s="103">
        <f>SUM(B173:O173)</f>
        <v>6941.5561019326333</v>
      </c>
      <c r="P175" s="103">
        <f>SUM(B173:P173)</f>
        <v>7642.7261019326334</v>
      </c>
      <c r="Q175" s="103">
        <f>SUM(B173:Q173)</f>
        <v>8343.8961019326325</v>
      </c>
      <c r="R175" s="103">
        <f>SUM(B173:R173)</f>
        <v>9045.0661019326326</v>
      </c>
      <c r="S175" s="103">
        <f>SUM(B173:S173)</f>
        <v>9746.2361019326327</v>
      </c>
      <c r="T175" s="103">
        <f>SUM(B173:T173)</f>
        <v>10447.406101932633</v>
      </c>
      <c r="U175" s="103">
        <f>SUM(B173:U173)</f>
        <v>11148.576101932633</v>
      </c>
      <c r="V175" s="103">
        <f>SUM(B173:V173)</f>
        <v>11849.746101932633</v>
      </c>
      <c r="W175" s="103">
        <f>SUM(B173:W173)</f>
        <v>12550.916101932633</v>
      </c>
      <c r="X175" s="103">
        <f>SUM(B173:X173)</f>
        <v>13252.086101932633</v>
      </c>
      <c r="Y175" s="103">
        <f>SUM(B173:Y173)</f>
        <v>13953.256101932633</v>
      </c>
      <c r="Z175" s="103">
        <f>SUM(B173:Z173)</f>
        <v>14654.426101932633</v>
      </c>
      <c r="AA175" s="103">
        <f>SUM(B173:AA173)</f>
        <v>15355.596101932633</v>
      </c>
    </row>
    <row r="176" spans="1:27" s="36" customFormat="1" ht="13" customHeight="1" x14ac:dyDescent="0.3"/>
    <row r="177" spans="1:27" s="36" customFormat="1" ht="12" customHeight="1" x14ac:dyDescent="0.35">
      <c r="A177" s="259"/>
      <c r="B177" s="259" t="s">
        <v>251</v>
      </c>
      <c r="C177" s="259" t="s">
        <v>252</v>
      </c>
      <c r="D177"/>
      <c r="E177" s="76"/>
      <c r="F177" s="76"/>
      <c r="G177" s="76"/>
      <c r="H177" s="76"/>
      <c r="I177" s="76"/>
      <c r="J177" s="76"/>
      <c r="K177" s="76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</row>
    <row r="178" spans="1:27" s="36" customFormat="1" ht="12" customHeight="1" x14ac:dyDescent="0.35">
      <c r="A178" s="260" t="s">
        <v>134</v>
      </c>
      <c r="B178" s="261">
        <f>XIRR(B172:AA172,B125:AA125)</f>
        <v>0.3232123434543609</v>
      </c>
      <c r="C178" s="262">
        <f>B185</f>
        <v>0.50628102421760557</v>
      </c>
      <c r="D178" s="138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</row>
    <row r="179" spans="1:27" s="36" customFormat="1" ht="12" customHeight="1" x14ac:dyDescent="0.35">
      <c r="A179" s="260" t="s">
        <v>135</v>
      </c>
      <c r="B179" s="263">
        <f>XNPV(B16,B172:AA172,B125:AA125)</f>
        <v>6363.126756988062</v>
      </c>
      <c r="C179" s="264">
        <f>B186</f>
        <v>13777.540667673073</v>
      </c>
      <c r="D179" s="138"/>
      <c r="E179" s="111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</row>
    <row r="180" spans="1:27" ht="12" customHeight="1" x14ac:dyDescent="0.35">
      <c r="A180" s="260" t="s">
        <v>136</v>
      </c>
      <c r="B180" s="265">
        <f>XNPV(B17,B172:AA172,B125:AA125)</f>
        <v>1463.7733515516279</v>
      </c>
      <c r="C180" s="265">
        <f>XNPV(B17,B173:AA173,B125:AA125)</f>
        <v>3704.8266116369036</v>
      </c>
    </row>
    <row r="181" spans="1:27" ht="12" customHeight="1" x14ac:dyDescent="0.35">
      <c r="A181" s="260" t="s">
        <v>137</v>
      </c>
      <c r="B181" s="263">
        <f>XNPV(B18,B172:AA172,B125:AA125)</f>
        <v>554.38534015705852</v>
      </c>
      <c r="C181" s="267">
        <f>XNPV(B18,B173:AA173,B125:AA125)</f>
        <v>1836.2983729021348</v>
      </c>
      <c r="D181" s="180"/>
      <c r="E181" s="181"/>
      <c r="F181" s="181"/>
    </row>
    <row r="182" spans="1:27" ht="12" customHeight="1" x14ac:dyDescent="0.35">
      <c r="A182" s="259" t="s">
        <v>138</v>
      </c>
      <c r="B182" s="266">
        <v>5</v>
      </c>
      <c r="C182" s="269">
        <f>(950 -E175)/F173+3</f>
        <v>3.5318272510780715</v>
      </c>
      <c r="D182" s="140">
        <v>3</v>
      </c>
      <c r="E182" s="70"/>
      <c r="F182" s="70"/>
    </row>
    <row r="183" spans="1:27" ht="13" customHeight="1" x14ac:dyDescent="0.35">
      <c r="A183" s="257"/>
      <c r="B183" s="258"/>
      <c r="C183" s="268"/>
      <c r="D183" s="140"/>
      <c r="E183" s="70"/>
      <c r="F183" s="84"/>
    </row>
    <row r="184" spans="1:27" ht="13" customHeight="1" x14ac:dyDescent="0.35">
      <c r="A184" s="245"/>
      <c r="B184" s="244"/>
      <c r="C184" s="215"/>
      <c r="D184" s="140"/>
      <c r="E184" s="70"/>
      <c r="F184" s="84"/>
    </row>
    <row r="185" spans="1:27" ht="13" customHeight="1" x14ac:dyDescent="0.35">
      <c r="A185" s="217" t="s">
        <v>134</v>
      </c>
      <c r="B185" s="255">
        <f>XIRR(B173:AA173,B125:AA125)</f>
        <v>0.50628102421760557</v>
      </c>
      <c r="C185" s="215"/>
      <c r="D185" s="140"/>
      <c r="E185" s="70"/>
      <c r="F185" s="84"/>
    </row>
    <row r="186" spans="1:27" ht="13" customHeight="1" x14ac:dyDescent="0.35">
      <c r="A186" s="217" t="s">
        <v>135</v>
      </c>
      <c r="B186" s="256">
        <f>XNPV(B16,B173:AA173,B125:AA125)</f>
        <v>13777.540667673073</v>
      </c>
      <c r="C186" s="215"/>
      <c r="D186" s="140"/>
      <c r="E186" s="70"/>
      <c r="F186" s="84"/>
    </row>
    <row r="187" spans="1:27" ht="13" customHeight="1" x14ac:dyDescent="0.35">
      <c r="B187" s="140"/>
      <c r="D187" s="140"/>
      <c r="E187" s="70"/>
      <c r="F187" s="84"/>
    </row>
    <row r="188" spans="1:27" ht="13" customHeight="1" x14ac:dyDescent="0.35">
      <c r="B188" s="140"/>
    </row>
    <row r="190" spans="1:27" ht="13" customHeight="1" x14ac:dyDescent="0.35">
      <c r="E190" s="169"/>
    </row>
    <row r="191" spans="1:27" ht="13" customHeight="1" x14ac:dyDescent="0.35">
      <c r="E191" s="169"/>
      <c r="F191" s="169"/>
    </row>
  </sheetData>
  <mergeCells count="4">
    <mergeCell ref="A12:E12"/>
    <mergeCell ref="A1:C1"/>
    <mergeCell ref="A4:C4"/>
    <mergeCell ref="A3:E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77C087-AF3E-432E-96F9-6301E61EBE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69C799-31FF-4F1B-B0C3-48728C8175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74C0EA-CE2D-4358-910E-80C0BB17B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 EFA SCPZ DIDS AF</vt:lpstr>
      <vt:lpstr>Investment_Cost</vt:lpstr>
      <vt:lpstr>Depreciation_Charges</vt:lpstr>
      <vt:lpstr>Operating_Costs</vt:lpstr>
      <vt:lpstr>Gross_Farm_Revenues</vt:lpstr>
      <vt:lpstr>Intermediate_Consumption</vt:lpstr>
      <vt:lpstr>EFA_DIDS</vt:lpstr>
      <vt:lpstr>EFA_Agroforestry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2023-06-13T11:21:55Z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