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drawings/drawing1.xml" ContentType="application/vnd.openxmlformats-officedocument.drawing+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activeX/activeX4.xml" ContentType="application/vnd.ms-office.activeX+xml"/>
  <Override PartName="/xl/activeX/activeX3.xml" ContentType="application/vnd.ms-office.activeX+xml"/>
  <Override PartName="/xl/activeX/activeX2.xml" ContentType="application/vnd.ms-office.activeX+xml"/>
  <Override PartName="/xl/activeX/activeX1.xml" ContentType="application/vnd.ms-office.activeX+xml"/>
  <Override PartName="/xl/activeX/activeX4.bin" ContentType="application/vnd.ms-office.activeX"/>
  <Override PartName="/xl/activeX/activeX3.bin" ContentType="application/vnd.ms-office.activeX"/>
  <Override PartName="/xl/activeX/activeX2.bin" ContentType="application/vnd.ms-office.activeX"/>
  <Override PartName="/xl/activeX/activeX1.bin" ContentType="application/vnd.ms-office.activeX"/>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03"/>
  <workbookPr codeName="ThisWorkbook" defaultThemeVersion="124226"/>
  <mc:AlternateContent xmlns:mc="http://schemas.openxmlformats.org/markup-compatibility/2006">
    <mc:Choice Requires="x15">
      <x15ac:absPath xmlns:x15ac="http://schemas.microsoft.com/office/spreadsheetml/2010/11/ac" url="C:\Users\Shakil Beedassy\Desktop\BAD 2022\Projects\Staple Crops Processing Zone\August 2023\"/>
    </mc:Choice>
  </mc:AlternateContent>
  <xr:revisionPtr revIDLastSave="1" documentId="8_{9EB6C1AF-2D1D-4B3C-BCEB-19D53EE096C7}" xr6:coauthVersionLast="47" xr6:coauthVersionMax="47" xr10:uidLastSave="{E06EE249-6347-4C18-825F-FB0641777951}"/>
  <bookViews>
    <workbookView xWindow="28680" yWindow="-120" windowWidth="29040" windowHeight="15720" firstSheet="1" activeTab="1" xr2:uid="{00000000-000D-0000-FFFF-FFFF00000000}"/>
  </bookViews>
  <sheets>
    <sheet name="NDC achieved" sheetId="48" r:id="rId1"/>
    <sheet name="SummaryGHG CalculationsSCPZ" sheetId="45" r:id="rId2"/>
    <sheet name="Emissions CalculationsSCPZ" sheetId="41" r:id="rId3"/>
    <sheet name="Summary EFA SCPZ Energy" sheetId="69" r:id="rId4"/>
    <sheet name="SCPZ Biogas Assump&amp; Estimation" sheetId="10" r:id="rId5"/>
    <sheet name="ProgrammeLevelDigesterAnalysis" sheetId="11" r:id="rId6"/>
    <sheet name="ProgrBiogas Electricity Fin Anl" sheetId="52" r:id="rId7"/>
    <sheet name="SolarPV Financial Analysis" sheetId="47" r:id="rId8"/>
    <sheet name="Roads construction and rehab" sheetId="49" r:id="rId9"/>
    <sheet name="EnergyDemand" sheetId="21" r:id="rId10"/>
    <sheet name="Emissions CalculationsEthio" sheetId="36" state="hidden" r:id="rId11"/>
    <sheet name="EthBiogas Electricity Fin " sheetId="57" state="hidden" r:id="rId12"/>
    <sheet name="EthiopiaDigesterAnaly" sheetId="53" state="hidden" r:id="rId13"/>
    <sheet name="EthSolarPV Financial Analysis " sheetId="59" state="hidden" r:id="rId14"/>
    <sheet name="Emissions CalculationsGuinea " sheetId="38" r:id="rId15"/>
    <sheet name="GuiBiogas Electricity Fin " sheetId="60" r:id="rId16"/>
    <sheet name="GuineaDigesterAnaly" sheetId="56" r:id="rId17"/>
    <sheet name="GuiSolarPV Financial Analys" sheetId="61" r:id="rId18"/>
    <sheet name="Emissions CalculationsSenegal" sheetId="39" r:id="rId19"/>
    <sheet name="SenBiogas Electricity Fin Sen" sheetId="62" r:id="rId20"/>
    <sheet name="SenegalDigesterAnaly" sheetId="55" r:id="rId21"/>
    <sheet name="SenSolarPV Financial Analys" sheetId="63" r:id="rId22"/>
    <sheet name="Emissions CalculationsTogo" sheetId="40" r:id="rId23"/>
    <sheet name="TogoBiogas Electricity Fin" sheetId="64" r:id="rId24"/>
    <sheet name="TogoDigesterAnaly" sheetId="54" r:id="rId25"/>
    <sheet name="TogoSolarPV Financial Analys" sheetId="65" r:id="rId26"/>
    <sheet name="Ethiopia Crop Yields" sheetId="23" state="hidden" r:id="rId27"/>
    <sheet name="Senegal Crop Yields (3)" sheetId="25" state="hidden" r:id="rId28"/>
    <sheet name="Togo Crop Yields (4)" sheetId="26" state="hidden" r:id="rId29"/>
    <sheet name="Assump&amp;Est_Ethiopia" sheetId="12" state="hidden" r:id="rId30"/>
    <sheet name="Assump&amp;Est_Togo" sheetId="13" r:id="rId31"/>
    <sheet name="Assump&amp;Est_Senegal" sheetId="14" r:id="rId32"/>
    <sheet name="Assump&amp;Est_Guinea" sheetId="15" r:id="rId33"/>
    <sheet name="FAOSTAT_data_10-2-2019 (8)_Catt" sheetId="50" r:id="rId34"/>
    <sheet name="Updated livestock Data- 2022" sheetId="66" r:id="rId35"/>
    <sheet name="Revised PV calculations" sheetId="67" r:id="rId36"/>
    <sheet name="Sheet1" sheetId="68" r:id="rId37"/>
    <sheet name="Guinea Crop Yields (2)" sheetId="70" state="hidden" r:id="rId38"/>
  </sheets>
  <externalReferences>
    <externalReference r:id="rId39"/>
    <externalReference r:id="rId40"/>
    <externalReference r:id="rId41"/>
    <externalReference r:id="rId42"/>
  </externalReferences>
  <definedNames>
    <definedName name="AvePrice_per_cubic_meter_of_methane" localSheetId="12">EthiopiaDigesterAnaly!$B$29</definedName>
    <definedName name="AvePrice_per_cubic_meter_of_methane" localSheetId="37">[1]ProgrammeLevelDigesterAnalysis!$B$29</definedName>
    <definedName name="AvePrice_per_cubic_meter_of_methane" localSheetId="16">GuineaDigesterAnaly!$B$29</definedName>
    <definedName name="AvePrice_per_cubic_meter_of_methane" localSheetId="20">SenegalDigesterAnaly!$B$29</definedName>
    <definedName name="AvePrice_per_cubic_meter_of_methane" localSheetId="24">TogoDigesterAnaly!$B$29</definedName>
    <definedName name="AvePrice_per_cubic_meter_of_methane">ProgrammeLevelDigesterAnalysis!$B$29</definedName>
    <definedName name="AvePrice_per_liter_of_Kerosene" localSheetId="12">EthiopiaDigesterAnaly!$B$30</definedName>
    <definedName name="AvePrice_per_liter_of_Kerosene" localSheetId="37">[1]ProgrammeLevelDigesterAnalysis!$B$30</definedName>
    <definedName name="AvePrice_per_liter_of_Kerosene" localSheetId="16">GuineaDigesterAnaly!$B$30</definedName>
    <definedName name="AvePrice_per_liter_of_Kerosene" localSheetId="20">SenegalDigesterAnaly!$B$30</definedName>
    <definedName name="AvePrice_per_liter_of_Kerosene" localSheetId="24">TogoDigesterAnaly!$B$30</definedName>
    <definedName name="AvePrice_per_liter_of_Kerosene">ProgrammeLevelDigesterAnalysis!$B$30</definedName>
    <definedName name="AvPrice_of_Urea" localSheetId="12">EthiopiaDigesterAnaly!$B$33</definedName>
    <definedName name="AvPrice_of_Urea" localSheetId="37">[1]ProgrammeLevelDigesterAnalysis!$B$33</definedName>
    <definedName name="AvPrice_of_Urea" localSheetId="16">GuineaDigesterAnaly!$B$33</definedName>
    <definedName name="AvPrice_of_Urea" localSheetId="20">SenegalDigesterAnaly!$B$33</definedName>
    <definedName name="AvPrice_of_Urea" localSheetId="24">TogoDigesterAnaly!$B$33</definedName>
    <definedName name="AvPrice_of_Urea">ProgrammeLevelDigesterAnalysis!$B$33</definedName>
    <definedName name="AvPriceKerosene____2.19" localSheetId="12">EthiopiaDigesterAnaly!$B$30</definedName>
    <definedName name="AvPriceKerosene____2.19" localSheetId="16">GuineaDigesterAnaly!$B$30</definedName>
    <definedName name="AvPriceKerosene____2.19" localSheetId="20">SenegalDigesterAnaly!$B$30</definedName>
    <definedName name="AvPriceKerosene____2.19" localSheetId="24">TogoDigesterAnaly!$B$30</definedName>
    <definedName name="AvPriceKerosene____2.19">ProgrammeLevelDigesterAnalysis!$B$30</definedName>
    <definedName name="AvPriceKerosene1" localSheetId="12">EthiopiaDigesterAnaly!$B$30</definedName>
    <definedName name="AvPriceKerosene1" localSheetId="16">GuineaDigesterAnaly!$B$30</definedName>
    <definedName name="AvPriceKerosene1" localSheetId="20">SenegalDigesterAnaly!$B$30</definedName>
    <definedName name="AvPriceKerosene1" localSheetId="24">TogoDigesterAnaly!$B$30</definedName>
    <definedName name="AvPriceKerosene1">ProgrammeLevelDigesterAnalysis!$B$30</definedName>
    <definedName name="AvPriceWood_charcoal" localSheetId="12">EthiopiaDigesterAnaly!$B$32</definedName>
    <definedName name="AvPriceWood_charcoal" localSheetId="37">[1]ProgrammeLevelDigesterAnalysis!$B$32</definedName>
    <definedName name="AvPriceWood_charcoal" localSheetId="16">GuineaDigesterAnaly!$B$32</definedName>
    <definedName name="AvPriceWood_charcoal" localSheetId="20">SenegalDigesterAnaly!$B$32</definedName>
    <definedName name="AvPriceWood_charcoal" localSheetId="24">TogoDigesterAnaly!$B$32</definedName>
    <definedName name="AvPriceWood_charcoal">ProgrammeLevelDigesterAnalysis!$B$32</definedName>
    <definedName name="AvPriceWoodcharcoal" localSheetId="12">EthiopiaDigesterAnaly!$B$30</definedName>
    <definedName name="AvPriceWoodcharcoal" localSheetId="16">GuineaDigesterAnaly!$B$30</definedName>
    <definedName name="AvPriceWoodcharcoal" localSheetId="20">SenegalDigesterAnaly!$B$30</definedName>
    <definedName name="AvPriceWoodcharcoal" localSheetId="24">TogoDigesterAnaly!$B$30</definedName>
    <definedName name="AvPriceWoodcharcoal">ProgrammeLevelDigesterAnalysis!$B$30</definedName>
    <definedName name="CapitalCostperKW" localSheetId="11">'EthBiogas Electricity Fin '!$D$4</definedName>
    <definedName name="CapitalCostperKW" localSheetId="15">'GuiBiogas Electricity Fin '!$D$4</definedName>
    <definedName name="CapitalCostperKW" localSheetId="37">'[1]ProgrBiogas Electricity Fin Anl'!$D$4</definedName>
    <definedName name="CapitalCostperKW" localSheetId="19">'SenBiogas Electricity Fin Sen'!$D$4</definedName>
    <definedName name="CapitalCostperKW" localSheetId="23">'TogoBiogas Electricity Fin'!$D$4</definedName>
    <definedName name="CapitalCostperKW">'ProgrBiogas Electricity Fin Anl'!$D$4</definedName>
    <definedName name="CapUtilFactorofBiodigester" localSheetId="12">EthiopiaDigesterAnaly!$B$25</definedName>
    <definedName name="CapUtilFactorofBiodigester" localSheetId="37">[1]ProgrammeLevelDigesterAnalysis!$B$25</definedName>
    <definedName name="CapUtilFactorofBiodigester" localSheetId="16">GuineaDigesterAnaly!$B$25</definedName>
    <definedName name="CapUtilFactorofBiodigester" localSheetId="20">SenegalDigesterAnaly!$B$25</definedName>
    <definedName name="CapUtilFactorofBiodigester" localSheetId="24">TogoDigesterAnaly!$B$25</definedName>
    <definedName name="CapUtilFactorofBiodigester">ProgrammeLevelDigesterAnalysis!$B$25</definedName>
    <definedName name="Cost_of_borrowing_from_GCF" localSheetId="12">EthiopiaDigesterAnaly!$B$55</definedName>
    <definedName name="Cost_of_borrowing_from_GCF" localSheetId="37">[1]ProgrammeLevelDigesterAnalysis!$B$55</definedName>
    <definedName name="Cost_of_borrowing_from_GCF" localSheetId="16">GuineaDigesterAnaly!$B$55</definedName>
    <definedName name="Cost_of_borrowing_from_GCF" localSheetId="20">SenegalDigesterAnaly!$B$55</definedName>
    <definedName name="Cost_of_borrowing_from_GCF" localSheetId="24">TogoDigesterAnaly!$B$55</definedName>
    <definedName name="Cost_of_borrowing_from_GCF">ProgrammeLevelDigesterAnalysis!$B$55</definedName>
    <definedName name="CostofCap_DiscountRate" localSheetId="11">'EthBiogas Electricity Fin '!$C$159</definedName>
    <definedName name="CostofCap_DiscountRate" localSheetId="15">'GuiBiogas Electricity Fin '!$C$159</definedName>
    <definedName name="CostofCap_DiscountRate" localSheetId="37">'[1]ProgrBiogas Electricity Fin Anl'!$C$159</definedName>
    <definedName name="CostofCap_DiscountRate" localSheetId="19">'SenBiogas Electricity Fin Sen'!$C$159</definedName>
    <definedName name="CostofCap_DiscountRate" localSheetId="23">'TogoBiogas Electricity Fin'!$C$159</definedName>
    <definedName name="CostofCap_DiscountRate">'ProgrBiogas Electricity Fin Anl'!$C$160</definedName>
    <definedName name="CostofCapImpDiscountRate" localSheetId="11">'EthBiogas Electricity Fin '!$D$39</definedName>
    <definedName name="CostofCapImpDiscountRate" localSheetId="15">'GuiBiogas Electricity Fin '!$D$39</definedName>
    <definedName name="CostofCapImpDiscountRate" localSheetId="37">'[1]ProgrBiogas Electricity Fin Anl'!$D$39</definedName>
    <definedName name="CostofCapImpDiscountRate" localSheetId="19">'SenBiogas Electricity Fin Sen'!$D$39</definedName>
    <definedName name="CostofCapImpDiscountRate" localSheetId="23">'TogoBiogas Electricity Fin'!$D$39</definedName>
    <definedName name="CostofCapImpDiscountRate">'ProgrBiogas Electricity Fin Anl'!$D$40</definedName>
    <definedName name="CstofCapImpDiscRate" localSheetId="13">'EthSolarPV Financial Analysis '!$D$39</definedName>
    <definedName name="CstofCapImpDiscRate" localSheetId="37">'[1]SolarPV Financial Analysis'!$D$39</definedName>
    <definedName name="CstofCapImpDiscRate" localSheetId="17">'GuiSolarPV Financial Analys'!$D$39</definedName>
    <definedName name="CstofCapImpDiscRate" localSheetId="21">'SenSolarPV Financial Analys'!$D$39</definedName>
    <definedName name="CstofCapImpDiscRate" localSheetId="25">'TogoSolarPV Financial Analys'!$D$39</definedName>
    <definedName name="CstofCapImpDiscRate">'SolarPV Financial Analysis'!$D$39</definedName>
    <definedName name="Différé" localSheetId="10">#REF!</definedName>
    <definedName name="Différé" localSheetId="14">#REF!</definedName>
    <definedName name="Différé" localSheetId="2">#REF!</definedName>
    <definedName name="Différé" localSheetId="18">#REF!</definedName>
    <definedName name="Différé" localSheetId="22">#REF!</definedName>
    <definedName name="Différé" localSheetId="11">#REF!</definedName>
    <definedName name="Différé" localSheetId="15">#REF!</definedName>
    <definedName name="Différé" localSheetId="6">#REF!</definedName>
    <definedName name="Différé" localSheetId="19">#REF!</definedName>
    <definedName name="Différé" localSheetId="1">#REF!</definedName>
    <definedName name="Différé" localSheetId="23">#REF!</definedName>
    <definedName name="Différé">#REF!</definedName>
    <definedName name="discrate" localSheetId="10">#REF!</definedName>
    <definedName name="discrate" localSheetId="14">#REF!</definedName>
    <definedName name="discrate" localSheetId="2">#REF!</definedName>
    <definedName name="discrate" localSheetId="18">#REF!</definedName>
    <definedName name="discrate" localSheetId="22">#REF!</definedName>
    <definedName name="discrate" localSheetId="11">#REF!</definedName>
    <definedName name="discrate" localSheetId="15">#REF!</definedName>
    <definedName name="discrate" localSheetId="6">#REF!</definedName>
    <definedName name="discrate" localSheetId="19">#REF!</definedName>
    <definedName name="discrate" localSheetId="1">#REF!</definedName>
    <definedName name="discrate" localSheetId="23">#REF!</definedName>
    <definedName name="discrate">#REF!</definedName>
    <definedName name="Efficiency" localSheetId="10">[2]APH_NPV!$C$32</definedName>
    <definedName name="Efficiency" localSheetId="14">[2]APH_NPV!$C$32</definedName>
    <definedName name="Efficiency" localSheetId="2">[2]APH_NPV!$C$32</definedName>
    <definedName name="Efficiency" localSheetId="18">[2]APH_NPV!$C$32</definedName>
    <definedName name="Efficiency" localSheetId="22">[2]APH_NPV!$C$32</definedName>
    <definedName name="Efficiency" localSheetId="11">[2]APH_NPV!$C$32</definedName>
    <definedName name="Efficiency" localSheetId="12">EthiopiaDigesterAnaly!$B$27</definedName>
    <definedName name="Efficiency" localSheetId="15">[2]APH_NPV!$C$32</definedName>
    <definedName name="Efficiency" localSheetId="16">GuineaDigesterAnaly!$B$27</definedName>
    <definedName name="Efficiency" localSheetId="5">ProgrammeLevelDigesterAnalysis!$B$27</definedName>
    <definedName name="Efficiency" localSheetId="6">[2]APH_NPV!$C$32</definedName>
    <definedName name="Efficiency" localSheetId="19">[2]APH_NPV!$C$32</definedName>
    <definedName name="Efficiency" localSheetId="20">SenegalDigesterAnaly!$B$27</definedName>
    <definedName name="Efficiency" localSheetId="1">[2]APH_NPV!$C$32</definedName>
    <definedName name="Efficiency" localSheetId="23">[2]APH_NPV!$C$32</definedName>
    <definedName name="Efficiency" localSheetId="24">TogoDigesterAnaly!$B$27</definedName>
    <definedName name="Efficiency">[3]APH_NPV!$C$32</definedName>
    <definedName name="EfficiencyValBiogas" localSheetId="12">EthiopiaDigesterAnaly!$B$22</definedName>
    <definedName name="EfficiencyValBiogas" localSheetId="37">[1]ProgrammeLevelDigesterAnalysis!$B$22</definedName>
    <definedName name="EfficiencyValBiogas" localSheetId="16">GuineaDigesterAnaly!$B$22</definedName>
    <definedName name="EfficiencyValBiogas" localSheetId="20">SenegalDigesterAnaly!$B$22</definedName>
    <definedName name="EfficiencyValBiogas" localSheetId="24">TogoDigesterAnaly!$B$22</definedName>
    <definedName name="EfficiencyValBiogas">ProgrammeLevelDigesterAnalysis!$B$22</definedName>
    <definedName name="EfficiencyValFuelwood" localSheetId="12">EthiopiaDigesterAnaly!$B$24</definedName>
    <definedName name="EfficiencyValFuelwood" localSheetId="37">[1]ProgrammeLevelDigesterAnalysis!$B$24</definedName>
    <definedName name="EfficiencyValFuelwood" localSheetId="16">GuineaDigesterAnaly!$B$24</definedName>
    <definedName name="EfficiencyValFuelwood" localSheetId="20">SenegalDigesterAnaly!$B$24</definedName>
    <definedName name="EfficiencyValFuelwood" localSheetId="24">TogoDigesterAnaly!$B$24</definedName>
    <definedName name="EfficiencyValFuelwood">ProgrammeLevelDigesterAnalysis!$B$24</definedName>
    <definedName name="EfficiencyValKerosene" localSheetId="12">EthiopiaDigesterAnaly!$B$23</definedName>
    <definedName name="EfficiencyValKerosene" localSheetId="37">[1]ProgrammeLevelDigesterAnalysis!$B$23</definedName>
    <definedName name="EfficiencyValKerosene" localSheetId="16">GuineaDigesterAnaly!$B$23</definedName>
    <definedName name="EfficiencyValKerosene" localSheetId="20">SenegalDigesterAnaly!$B$23</definedName>
    <definedName name="EfficiencyValKerosene" localSheetId="24">TogoDigesterAnaly!$B$23</definedName>
    <definedName name="EfficiencyValKerosene">ProgrammeLevelDigesterAnalysis!$B$23</definedName>
    <definedName name="Emission_Factor_of_Biogasoline" localSheetId="12">EthiopiaDigesterAnaly!#REF!</definedName>
    <definedName name="Emission_Factor_of_Biogasoline" localSheetId="37">[1]ProgrammeLevelDigesterAnalysis!#REF!</definedName>
    <definedName name="Emission_Factor_of_Biogasoline" localSheetId="16">GuineaDigesterAnaly!#REF!</definedName>
    <definedName name="Emission_Factor_of_Biogasoline" localSheetId="20">SenegalDigesterAnaly!#REF!</definedName>
    <definedName name="Emission_Factor_of_Biogasoline" localSheetId="24">TogoDigesterAnaly!#REF!</definedName>
    <definedName name="Emission_Factor_of_Biogasoline">ProgrammeLevelDigesterAnalysis!#REF!</definedName>
    <definedName name="Emission_Factor_of_Diesel">#REF!</definedName>
    <definedName name="Emission_Factor_or_Wood_charcoal" localSheetId="12">EthiopiaDigesterAnaly!#REF!</definedName>
    <definedName name="Emission_Factor_or_Wood_charcoal" localSheetId="37">[1]ProgrammeLevelDigesterAnalysis!#REF!</definedName>
    <definedName name="Emission_Factor_or_Wood_charcoal" localSheetId="16">GuineaDigesterAnaly!#REF!</definedName>
    <definedName name="Emission_Factor_or_Wood_charcoal" localSheetId="20">SenegalDigesterAnaly!#REF!</definedName>
    <definedName name="Emission_Factor_or_Wood_charcoal" localSheetId="24">TogoDigesterAnaly!#REF!</definedName>
    <definedName name="Emission_Factor_or_Wood_charcoal">ProgrammeLevelDigesterAnalysis!#REF!</definedName>
    <definedName name="Emission_Factorof_Kerosene" localSheetId="12">EthiopiaDigesterAnaly!#REF!</definedName>
    <definedName name="Emission_Factorof_Kerosene" localSheetId="37">[1]ProgrammeLevelDigesterAnalysis!#REF!</definedName>
    <definedName name="Emission_Factorof_Kerosene" localSheetId="16">GuineaDigesterAnaly!#REF!</definedName>
    <definedName name="Emission_Factorof_Kerosene" localSheetId="20">SenegalDigesterAnaly!#REF!</definedName>
    <definedName name="Emission_Factorof_Kerosene" localSheetId="24">TogoDigesterAnaly!#REF!</definedName>
    <definedName name="Emission_Factorof_Kerosene">ProgrammeLevelDigesterAnalysis!#REF!</definedName>
    <definedName name="EscoDiscountRate" localSheetId="12">EthiopiaDigesterAnaly!$B$57</definedName>
    <definedName name="EscoDiscountRate" localSheetId="37">[1]ProgrammeLevelDigesterAnalysis!$B$57</definedName>
    <definedName name="EscoDiscountRate" localSheetId="16">GuineaDigesterAnaly!$B$57</definedName>
    <definedName name="EscoDiscountRate" localSheetId="20">SenegalDigesterAnaly!$B$57</definedName>
    <definedName name="EscoDiscountRate" localSheetId="24">TogoDigesterAnaly!$B$57</definedName>
    <definedName name="EscoDiscountRate">ProgrammeLevelDigesterAnalysis!$B$57</definedName>
    <definedName name="EvalBiogas" localSheetId="12">EthiopiaDigesterAnaly!$B$17</definedName>
    <definedName name="EvalBiogas" localSheetId="37">[1]ProgrammeLevelDigesterAnalysis!$B$17</definedName>
    <definedName name="EvalBiogas" localSheetId="16">GuineaDigesterAnaly!$B$17</definedName>
    <definedName name="EvalBiogas" localSheetId="20">SenegalDigesterAnaly!$B$17</definedName>
    <definedName name="EvalBiogas" localSheetId="24">TogoDigesterAnaly!$B$17</definedName>
    <definedName name="EvalBiogas">ProgrammeLevelDigesterAnalysis!$B$17</definedName>
    <definedName name="EvalFuelwood" localSheetId="12">EthiopiaDigesterAnaly!$B$20</definedName>
    <definedName name="EvalFuelwood" localSheetId="37">[1]ProgrammeLevelDigesterAnalysis!$B$20</definedName>
    <definedName name="EvalFuelwood" localSheetId="16">GuineaDigesterAnaly!$B$20</definedName>
    <definedName name="EvalFuelwood" localSheetId="20">SenegalDigesterAnaly!$B$20</definedName>
    <definedName name="EvalFuelwood" localSheetId="24">TogoDigesterAnaly!$B$20</definedName>
    <definedName name="EvalFuelwood">ProgrammeLevelDigesterAnalysis!$B$20</definedName>
    <definedName name="EValKerosene" localSheetId="12">EthiopiaDigesterAnaly!$B$21</definedName>
    <definedName name="EValKerosene" localSheetId="37">[1]ProgrammeLevelDigesterAnalysis!$B$21</definedName>
    <definedName name="EValKerosene" localSheetId="16">GuineaDigesterAnaly!$B$21</definedName>
    <definedName name="EValKerosene" localSheetId="20">SenegalDigesterAnaly!$B$21</definedName>
    <definedName name="EValKerosene" localSheetId="24">TogoDigesterAnaly!$B$21</definedName>
    <definedName name="EValKerosene">ProgrammeLevelDigesterAnalysis!$B$21</definedName>
    <definedName name="EValMethane" localSheetId="12">EthiopiaDigesterAnaly!$B$16</definedName>
    <definedName name="EValMethane" localSheetId="16">GuineaDigesterAnaly!$B$16</definedName>
    <definedName name="EValMethane" localSheetId="20">SenegalDigesterAnaly!$B$16</definedName>
    <definedName name="EValMethane" localSheetId="24">TogoDigesterAnaly!$B$16</definedName>
    <definedName name="EValMethane">ProgrammeLevelDigesterAnalysis!$B$16</definedName>
    <definedName name="FraisF" localSheetId="10">#REF!</definedName>
    <definedName name="FraisF" localSheetId="14">#REF!</definedName>
    <definedName name="FraisF" localSheetId="2">#REF!</definedName>
    <definedName name="FraisF" localSheetId="18">#REF!</definedName>
    <definedName name="FraisF" localSheetId="22">#REF!</definedName>
    <definedName name="FraisF" localSheetId="11">#REF!</definedName>
    <definedName name="FraisF" localSheetId="15">#REF!</definedName>
    <definedName name="FraisF" localSheetId="6">#REF!</definedName>
    <definedName name="FraisF" localSheetId="19">#REF!</definedName>
    <definedName name="FraisF" localSheetId="1">#REF!</definedName>
    <definedName name="FraisF" localSheetId="23">#REF!</definedName>
    <definedName name="FraisF">#REF!</definedName>
    <definedName name="FraisV" localSheetId="10">#REF!</definedName>
    <definedName name="FraisV" localSheetId="14">#REF!</definedName>
    <definedName name="FraisV" localSheetId="2">#REF!</definedName>
    <definedName name="FraisV" localSheetId="18">#REF!</definedName>
    <definedName name="FraisV" localSheetId="22">#REF!</definedName>
    <definedName name="FraisV" localSheetId="11">#REF!</definedName>
    <definedName name="FraisV" localSheetId="15">#REF!</definedName>
    <definedName name="FraisV" localSheetId="6">#REF!</definedName>
    <definedName name="FraisV" localSheetId="19">#REF!</definedName>
    <definedName name="FraisV" localSheetId="1">#REF!</definedName>
    <definedName name="FraisV" localSheetId="23">#REF!</definedName>
    <definedName name="FraisV">#REF!</definedName>
    <definedName name="GensetCapacityUtilFac" localSheetId="12">EthiopiaDigesterAnaly!$B$26</definedName>
    <definedName name="GensetCapacityUtilFac" localSheetId="37">[1]ProgrammeLevelDigesterAnalysis!$B$26</definedName>
    <definedName name="GensetCapacityUtilFac" localSheetId="16">GuineaDigesterAnaly!$B$26</definedName>
    <definedName name="GensetCapacityUtilFac" localSheetId="20">SenegalDigesterAnaly!$B$26</definedName>
    <definedName name="GensetCapacityUtilFac" localSheetId="24">TogoDigesterAnaly!$B$26</definedName>
    <definedName name="GensetCapacityUtilFac">ProgrammeLevelDigesterAnalysis!$B$26</definedName>
    <definedName name="invest." localSheetId="10">#REF!</definedName>
    <definedName name="invest." localSheetId="14">#REF!</definedName>
    <definedName name="invest." localSheetId="2">#REF!</definedName>
    <definedName name="invest." localSheetId="18">#REF!</definedName>
    <definedName name="invest." localSheetId="22">#REF!</definedName>
    <definedName name="invest." localSheetId="11">#REF!</definedName>
    <definedName name="invest." localSheetId="15">#REF!</definedName>
    <definedName name="invest." localSheetId="6">#REF!</definedName>
    <definedName name="invest." localSheetId="19">#REF!</definedName>
    <definedName name="invest." localSheetId="1">#REF!</definedName>
    <definedName name="invest." localSheetId="23">#REF!</definedName>
    <definedName name="invest.">#REF!</definedName>
    <definedName name="Methane" localSheetId="12">EthiopiaDigesterAnaly!$B$15</definedName>
    <definedName name="Methane" localSheetId="16">GuineaDigesterAnaly!$B$15</definedName>
    <definedName name="Methane" localSheetId="20">SenegalDigesterAnaly!$B$15</definedName>
    <definedName name="Methane" localSheetId="24">TogoDigesterAnaly!$B$15</definedName>
    <definedName name="Methane">ProgrammeLevelDigesterAnalysis!$B$15</definedName>
    <definedName name="MtEch" localSheetId="10">#REF!</definedName>
    <definedName name="MtEch" localSheetId="14">#REF!</definedName>
    <definedName name="MtEch" localSheetId="2">#REF!</definedName>
    <definedName name="MtEch" localSheetId="18">#REF!</definedName>
    <definedName name="MtEch" localSheetId="22">#REF!</definedName>
    <definedName name="MtEch" localSheetId="1">#REF!</definedName>
    <definedName name="MtEch">#REF!</definedName>
    <definedName name="MtEmprunt" localSheetId="10">#REF!</definedName>
    <definedName name="MtEmprunt" localSheetId="14">#REF!</definedName>
    <definedName name="MtEmprunt" localSheetId="2">#REF!</definedName>
    <definedName name="MtEmprunt" localSheetId="18">#REF!</definedName>
    <definedName name="MtEmprunt" localSheetId="22">#REF!</definedName>
    <definedName name="MtEmprunt" localSheetId="1">#REF!</definedName>
    <definedName name="MtEmprunt">#REF!</definedName>
    <definedName name="NbDeci">2</definedName>
    <definedName name="NbEch" localSheetId="10">#REF!</definedName>
    <definedName name="NbEch" localSheetId="14">#REF!</definedName>
    <definedName name="NbEch" localSheetId="2">#REF!</definedName>
    <definedName name="NbEch" localSheetId="18">#REF!</definedName>
    <definedName name="NbEch" localSheetId="22">#REF!</definedName>
    <definedName name="NbEch" localSheetId="11">#REF!</definedName>
    <definedName name="NbEch" localSheetId="15">#REF!</definedName>
    <definedName name="NbEch" localSheetId="6">#REF!</definedName>
    <definedName name="NbEch" localSheetId="19">#REF!</definedName>
    <definedName name="NbEch" localSheetId="1">#REF!</definedName>
    <definedName name="NbEch" localSheetId="23">#REF!</definedName>
    <definedName name="NbEch">#REF!</definedName>
    <definedName name="NbEchAn" localSheetId="10">#REF!</definedName>
    <definedName name="NbEchAn" localSheetId="14">#REF!</definedName>
    <definedName name="NbEchAn" localSheetId="2">#REF!</definedName>
    <definedName name="NbEchAn" localSheetId="18">#REF!</definedName>
    <definedName name="NbEchAn" localSheetId="22">#REF!</definedName>
    <definedName name="NbEchAn" localSheetId="11">#REF!</definedName>
    <definedName name="NbEchAn" localSheetId="15">#REF!</definedName>
    <definedName name="NbEchAn" localSheetId="6">#REF!</definedName>
    <definedName name="NbEchAn" localSheetId="19">#REF!</definedName>
    <definedName name="NbEchAn" localSheetId="1">#REF!</definedName>
    <definedName name="NbEchAn" localSheetId="23">#REF!</definedName>
    <definedName name="NbEchAn">#REF!</definedName>
    <definedName name="_xlnm.Print_Area" localSheetId="1">'SummaryGHG CalculationsSCPZ'!$B$1:$F$54</definedName>
    <definedName name="PrvESCODiscountRate" localSheetId="11">'EthBiogas Electricity Fin '!$D$41</definedName>
    <definedName name="PrvESCODiscountRate" localSheetId="15">'GuiBiogas Electricity Fin '!$D$41</definedName>
    <definedName name="PrvESCODiscountRate" localSheetId="37">'[1]ProgrBiogas Electricity Fin Anl'!$D$41</definedName>
    <definedName name="PrvESCODiscountRate" localSheetId="19">'SenBiogas Electricity Fin Sen'!$D$41</definedName>
    <definedName name="PrvESCODiscountRate" localSheetId="23">'TogoBiogas Electricity Fin'!$D$41</definedName>
    <definedName name="PrvESCODiscountRate">'ProgrBiogas Electricity Fin Anl'!$D$42</definedName>
    <definedName name="PVEfficiency" localSheetId="37">[1]EnergyDemand!$G$2</definedName>
    <definedName name="PVEfficiency">EnergyDemand!$G$2</definedName>
    <definedName name="PvESCODiscRate" localSheetId="13">'EthSolarPV Financial Analysis '!$D$41</definedName>
    <definedName name="PvESCODiscRate" localSheetId="37">'[1]SolarPV Financial Analysis'!$D$41</definedName>
    <definedName name="PvESCODiscRate" localSheetId="17">'GuiSolarPV Financial Analys'!$D$41</definedName>
    <definedName name="PvESCODiscRate" localSheetId="21">'SenSolarPV Financial Analys'!$D$41</definedName>
    <definedName name="PvESCODiscRate" localSheetId="25">'TogoSolarPV Financial Analys'!$D$41</definedName>
    <definedName name="PvESCODiscRate">'SolarPV Financial Analysis'!$D$41</definedName>
    <definedName name="ShareBiogasforElectricityGen">#REF!</definedName>
    <definedName name="ShareDirUsageBiogas">#REF!</definedName>
    <definedName name="SocDiscountRate" localSheetId="12">EthiopiaDigesterAnaly!$B$56</definedName>
    <definedName name="SocDiscountRate" localSheetId="37">[1]ProgrammeLevelDigesterAnalysis!$B$56</definedName>
    <definedName name="SocDiscountRate" localSheetId="16">GuineaDigesterAnaly!$B$56</definedName>
    <definedName name="SocDiscountRate" localSheetId="20">SenegalDigesterAnaly!$B$56</definedName>
    <definedName name="SocDiscountRate" localSheetId="24">TogoDigesterAnaly!$B$56</definedName>
    <definedName name="SocDiscountRate">ProgrammeLevelDigesterAnalysis!$B$56</definedName>
    <definedName name="SocDiscountRateVal" localSheetId="11">'EthBiogas Electricity Fin '!$C$160</definedName>
    <definedName name="SocDiscountRateVal" localSheetId="15">'GuiBiogas Electricity Fin '!$C$160</definedName>
    <definedName name="SocDiscountRateVal" localSheetId="37">'[1]ProgrBiogas Electricity Fin Anl'!$C$160</definedName>
    <definedName name="SocDiscountRateVal" localSheetId="19">'SenBiogas Electricity Fin Sen'!$C$160</definedName>
    <definedName name="SocDiscountRateVal" localSheetId="23">'TogoBiogas Electricity Fin'!$C$160</definedName>
    <definedName name="SocDiscountRateVal">'ProgrBiogas Electricity Fin Anl'!$C$161</definedName>
    <definedName name="SocDiscRate" localSheetId="13">'EthSolarPV Financial Analysis '!$D$40</definedName>
    <definedName name="SocDiscRate" localSheetId="37">'[1]SolarPV Financial Analysis'!$D$40</definedName>
    <definedName name="SocDiscRate" localSheetId="17">'GuiSolarPV Financial Analys'!$D$40</definedName>
    <definedName name="SocDiscRate" localSheetId="21">'SenSolarPV Financial Analys'!$D$40</definedName>
    <definedName name="SocDiscRate" localSheetId="25">'TogoSolarPV Financial Analys'!$D$40</definedName>
    <definedName name="SocDiscRate">'SolarPV Financial Analysis'!$D$40</definedName>
    <definedName name="SocialDiscountRate" localSheetId="11">'EthBiogas Electricity Fin '!$D$40</definedName>
    <definedName name="SocialDiscountRate" localSheetId="15">'GuiBiogas Electricity Fin '!$D$40</definedName>
    <definedName name="SocialDiscountRate" localSheetId="37">'[1]ProgrBiogas Electricity Fin Anl'!$D$40</definedName>
    <definedName name="SocialDiscountRate" localSheetId="19">'SenBiogas Electricity Fin Sen'!$D$40</definedName>
    <definedName name="SocialDiscountRate" localSheetId="23">'TogoBiogas Electricity Fin'!$D$40</definedName>
    <definedName name="SocialDiscountRate">'ProgrBiogas Electricity Fin Anl'!$D$41</definedName>
    <definedName name="TFCostBiodigester" localSheetId="12">EthiopiaDigesterAnaly!$B$28</definedName>
    <definedName name="TFCostBiodigester" localSheetId="37">[1]ProgrammeLevelDigesterAnalysis!$B$28</definedName>
    <definedName name="TFCostBiodigester" localSheetId="16">GuineaDigesterAnaly!$B$28</definedName>
    <definedName name="TFCostBiodigester" localSheetId="20">SenegalDigesterAnaly!$B$28</definedName>
    <definedName name="TFCostBiodigester" localSheetId="24">TogoDigesterAnaly!$B$28</definedName>
    <definedName name="TFCostBiodigester">ProgrammeLevelDigesterAnalysis!$B$28</definedName>
    <definedName name="TotalGas" localSheetId="10">[2]APH_NPV!$H$27</definedName>
    <definedName name="TotalGas" localSheetId="14">[2]APH_NPV!$H$27</definedName>
    <definedName name="TotalGas" localSheetId="2">[2]APH_NPV!$H$27</definedName>
    <definedName name="TotalGas" localSheetId="18">[2]APH_NPV!$H$27</definedName>
    <definedName name="TotalGas" localSheetId="22">[2]APH_NPV!$H$27</definedName>
    <definedName name="TotalGas" localSheetId="11">[2]APH_NPV!$H$27</definedName>
    <definedName name="TotalGas" localSheetId="12">EthiopiaDigesterAnaly!$I$12</definedName>
    <definedName name="TotalGas" localSheetId="15">[2]APH_NPV!$H$27</definedName>
    <definedName name="TotalGas" localSheetId="16">GuineaDigesterAnaly!$I$12</definedName>
    <definedName name="TotalGas" localSheetId="5">ProgrammeLevelDigesterAnalysis!$I$12</definedName>
    <definedName name="TotalGas" localSheetId="6">[2]APH_NPV!$H$27</definedName>
    <definedName name="TotalGas" localSheetId="19">[2]APH_NPV!$H$27</definedName>
    <definedName name="TotalGas" localSheetId="20">SenegalDigesterAnaly!$I$12</definedName>
    <definedName name="TotalGas" localSheetId="1">[2]APH_NPV!$H$27</definedName>
    <definedName name="TotalGas" localSheetId="23">[2]APH_NPV!$H$27</definedName>
    <definedName name="TotalGas" localSheetId="24">TogoDigesterAnaly!$I$12</definedName>
    <definedName name="TotalGas">[3]APH_NPV!$H$27</definedName>
    <definedName name="TotalVolume" localSheetId="10">[2]APH_NPV!$G$27</definedName>
    <definedName name="TotalVolume" localSheetId="14">[2]APH_NPV!$G$27</definedName>
    <definedName name="TotalVolume" localSheetId="2">[2]APH_NPV!$G$27</definedName>
    <definedName name="TotalVolume" localSheetId="18">[2]APH_NPV!$G$27</definedName>
    <definedName name="TotalVolume" localSheetId="22">[2]APH_NPV!$G$27</definedName>
    <definedName name="TotalVolume" localSheetId="11">[2]APH_NPV!$G$27</definedName>
    <definedName name="TotalVolume" localSheetId="12">EthiopiaDigesterAnaly!$H$12</definedName>
    <definedName name="TotalVolume" localSheetId="15">[2]APH_NPV!$G$27</definedName>
    <definedName name="TotalVolume" localSheetId="16">GuineaDigesterAnaly!$H$12</definedName>
    <definedName name="TotalVolume" localSheetId="5">ProgrammeLevelDigesterAnalysis!$H$12</definedName>
    <definedName name="TotalVolume" localSheetId="6">[2]APH_NPV!$G$27</definedName>
    <definedName name="TotalVolume" localSheetId="19">[2]APH_NPV!$G$27</definedName>
    <definedName name="TotalVolume" localSheetId="20">SenegalDigesterAnaly!$H$12</definedName>
    <definedName name="TotalVolume" localSheetId="1">[2]APH_NPV!$G$27</definedName>
    <definedName name="TotalVolume" localSheetId="23">[2]APH_NPV!$G$27</definedName>
    <definedName name="TotalVolume" localSheetId="24">TogoDigesterAnaly!$H$12</definedName>
    <definedName name="TotalVolume">[3]APH_NPV!$G$27</definedName>
    <definedName name="TxPer" localSheetId="10">#REF!</definedName>
    <definedName name="TxPer" localSheetId="14">#REF!</definedName>
    <definedName name="TxPer" localSheetId="2">#REF!</definedName>
    <definedName name="TxPer" localSheetId="18">#REF!</definedName>
    <definedName name="TxPer" localSheetId="22">#REF!</definedName>
    <definedName name="TxPer" localSheetId="11">#REF!</definedName>
    <definedName name="TxPer" localSheetId="15">#REF!</definedName>
    <definedName name="TxPer" localSheetId="6">#REF!</definedName>
    <definedName name="TxPer" localSheetId="19">#REF!</definedName>
    <definedName name="TxPer" localSheetId="1">#REF!</definedName>
    <definedName name="TxPer" localSheetId="23">#REF!</definedName>
    <definedName name="TxPer">#REF!</definedName>
    <definedName name="ValQuality_and_Standards_Agjustment" localSheetId="12">EthiopiaDigesterAnaly!$B$37</definedName>
    <definedName name="ValQuality_and_Standards_Agjustment" localSheetId="37">[1]ProgrammeLevelDigesterAnalysis!$B$37</definedName>
    <definedName name="ValQuality_and_Standards_Agjustment" localSheetId="16">GuineaDigesterAnaly!$B$37</definedName>
    <definedName name="ValQuality_and_Standards_Agjustment" localSheetId="20">SenegalDigesterAnaly!$B$37</definedName>
    <definedName name="ValQuality_and_Standards_Agjustment" localSheetId="24">TogoDigesterAnaly!$B$37</definedName>
    <definedName name="ValQuality_and_Standards_Agjustment">ProgrammeLevelDigesterAnalysis!$B$37</definedName>
    <definedName name="ValRtUrea_Utilization" localSheetId="12">EthiopiaDigesterAnaly!$B$34</definedName>
    <definedName name="ValRtUrea_Utilization" localSheetId="37">[1]ProgrammeLevelDigesterAnalysis!$B$34</definedName>
    <definedName name="ValRtUrea_Utilization" localSheetId="16">GuineaDigesterAnaly!$B$34</definedName>
    <definedName name="ValRtUrea_Utilization" localSheetId="20">SenegalDigesterAnaly!$B$34</definedName>
    <definedName name="ValRtUrea_Utilization" localSheetId="24">TogoDigesterAnaly!$B$34</definedName>
    <definedName name="ValRtUrea_Utilization">ProgrammeLevelDigesterAnalysis!$B$34</definedName>
    <definedName name="ValUncertainty_and_Market_Adjustment" localSheetId="12">EthiopiaDigesterAnaly!$B$35</definedName>
    <definedName name="ValUncertainty_and_Market_Adjustment" localSheetId="37">[1]ProgrammeLevelDigesterAnalysis!$B$35</definedName>
    <definedName name="ValUncertainty_and_Market_Adjustment" localSheetId="16">GuineaDigesterAnaly!$B$35</definedName>
    <definedName name="ValUncertainty_and_Market_Adjustment" localSheetId="20">SenegalDigesterAnaly!$B$35</definedName>
    <definedName name="ValUncertainty_and_Market_Adjustment" localSheetId="24">TogoDigesterAnaly!$B$35</definedName>
    <definedName name="ValUncertainty_and_Market_Adjustment">ProgrammeLevelDigesterAnalysis!$B$35</definedName>
    <definedName name="ValUncertainty_and_Market_Adjustment_for_Kerosene" localSheetId="12">EthiopiaDigesterAnaly!$B$36</definedName>
    <definedName name="ValUncertainty_and_Market_Adjustment_for_Kerosene" localSheetId="37">[1]ProgrammeLevelDigesterAnalysis!$B$36</definedName>
    <definedName name="ValUncertainty_and_Market_Adjustment_for_Kerosene" localSheetId="16">GuineaDigesterAnaly!$B$36</definedName>
    <definedName name="ValUncertainty_and_Market_Adjustment_for_Kerosene" localSheetId="20">SenegalDigesterAnaly!$B$36</definedName>
    <definedName name="ValUncertainty_and_Market_Adjustment_for_Kerosene" localSheetId="24">TogoDigesterAnaly!$B$36</definedName>
    <definedName name="ValUncertainty_and_Market_Adjustment_for_Kerosene">ProgrammeLevelDigesterAnalysis!$B$36</definedName>
    <definedName name="ValUncertainty_and_Market_Adjustment_for_Kerosene_and_urea" localSheetId="12">EthiopiaDigesterAnaly!$B$36</definedName>
    <definedName name="ValUncertainty_and_Market_Adjustment_for_Kerosene_and_urea" localSheetId="16">GuineaDigesterAnaly!$B$36</definedName>
    <definedName name="ValUncertainty_and_Market_Adjustment_for_Kerosene_and_urea" localSheetId="20">SenegalDigesterAnaly!$B$36</definedName>
    <definedName name="ValUncertainty_and_Market_Adjustment_for_Kerosene_and_urea" localSheetId="24">TogoDigesterAnaly!$B$36</definedName>
    <definedName name="ValUncertainty_and_Market_Adjustment_for_Kerosene_and_urea">ProgrammeLevelDigesterAnalysis!$B$36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53" i="45" l="1"/>
  <c r="D120" i="52"/>
  <c r="D117" i="47"/>
  <c r="J12" i="11"/>
  <c r="C59" i="38" l="1"/>
  <c r="D6" i="63" l="1"/>
  <c r="D82" i="63"/>
  <c r="J78" i="63"/>
  <c r="K78" i="63"/>
  <c r="L78" i="63"/>
  <c r="M78" i="63"/>
  <c r="N78" i="63"/>
  <c r="O78" i="63"/>
  <c r="P78" i="63"/>
  <c r="Q78" i="63"/>
  <c r="R78" i="63"/>
  <c r="S78" i="63"/>
  <c r="T78" i="63"/>
  <c r="U78" i="63"/>
  <c r="V78" i="63"/>
  <c r="W78" i="63"/>
  <c r="X78" i="63"/>
  <c r="Y78" i="63"/>
  <c r="Z78" i="63"/>
  <c r="AA78" i="63"/>
  <c r="AB78" i="63"/>
  <c r="I78" i="63"/>
  <c r="D78" i="63"/>
  <c r="D24" i="39"/>
  <c r="J82" i="61"/>
  <c r="K82" i="61"/>
  <c r="L82" i="61"/>
  <c r="M82" i="61"/>
  <c r="N82" i="61"/>
  <c r="O82" i="61"/>
  <c r="P82" i="61"/>
  <c r="Q82" i="61"/>
  <c r="R82" i="61"/>
  <c r="S82" i="61"/>
  <c r="T82" i="61"/>
  <c r="U82" i="61"/>
  <c r="V82" i="61"/>
  <c r="W82" i="61"/>
  <c r="X82" i="61"/>
  <c r="Y82" i="61"/>
  <c r="Z82" i="61"/>
  <c r="AA82" i="61"/>
  <c r="AB82" i="61"/>
  <c r="I82" i="61"/>
  <c r="D6" i="61"/>
  <c r="J78" i="61"/>
  <c r="K78" i="61"/>
  <c r="L78" i="61"/>
  <c r="M78" i="61"/>
  <c r="N78" i="61"/>
  <c r="O78" i="61"/>
  <c r="P78" i="61"/>
  <c r="Q78" i="61"/>
  <c r="R78" i="61"/>
  <c r="S78" i="61"/>
  <c r="T78" i="61"/>
  <c r="U78" i="61"/>
  <c r="V78" i="61"/>
  <c r="W78" i="61"/>
  <c r="X78" i="61"/>
  <c r="Y78" i="61"/>
  <c r="Z78" i="61"/>
  <c r="AA78" i="61"/>
  <c r="AB78" i="61"/>
  <c r="E23" i="41"/>
  <c r="F23" i="41"/>
  <c r="G23" i="41"/>
  <c r="H23" i="41"/>
  <c r="I23" i="41"/>
  <c r="J23" i="41"/>
  <c r="K23" i="41"/>
  <c r="L23" i="41"/>
  <c r="M23" i="41"/>
  <c r="N23" i="41"/>
  <c r="O23" i="41"/>
  <c r="P23" i="41"/>
  <c r="Q23" i="41"/>
  <c r="R23" i="41"/>
  <c r="S23" i="41"/>
  <c r="T23" i="41"/>
  <c r="U23" i="41"/>
  <c r="V23" i="41"/>
  <c r="W23" i="41"/>
  <c r="X23" i="41"/>
  <c r="Y23" i="41"/>
  <c r="Z23" i="41"/>
  <c r="AA23" i="41"/>
  <c r="AB23" i="41"/>
  <c r="E117" i="47"/>
  <c r="J82" i="47"/>
  <c r="K82" i="47"/>
  <c r="L82" i="47"/>
  <c r="M82" i="47"/>
  <c r="N82" i="47"/>
  <c r="O82" i="47"/>
  <c r="P82" i="47"/>
  <c r="Q82" i="47"/>
  <c r="R82" i="47"/>
  <c r="S82" i="47"/>
  <c r="T82" i="47"/>
  <c r="U82" i="47"/>
  <c r="V82" i="47"/>
  <c r="W82" i="47"/>
  <c r="X82" i="47"/>
  <c r="Y82" i="47"/>
  <c r="Z82" i="47"/>
  <c r="AA82" i="47"/>
  <c r="AB82" i="47"/>
  <c r="I82" i="47"/>
  <c r="D82" i="47"/>
  <c r="J78" i="47"/>
  <c r="K78" i="47"/>
  <c r="L78" i="47"/>
  <c r="M78" i="47"/>
  <c r="N78" i="47"/>
  <c r="O78" i="47"/>
  <c r="P78" i="47"/>
  <c r="Q78" i="47"/>
  <c r="R78" i="47"/>
  <c r="S78" i="47"/>
  <c r="T78" i="47"/>
  <c r="U78" i="47"/>
  <c r="V78" i="47"/>
  <c r="W78" i="47"/>
  <c r="X78" i="47"/>
  <c r="Y78" i="47"/>
  <c r="Z78" i="47"/>
  <c r="AA78" i="47"/>
  <c r="AB78" i="47"/>
  <c r="I78" i="47"/>
  <c r="D19" i="47"/>
  <c r="E85" i="21"/>
  <c r="D85" i="21"/>
  <c r="D30" i="40"/>
  <c r="D29" i="40"/>
  <c r="D118" i="65"/>
  <c r="D31" i="39"/>
  <c r="D30" i="39"/>
  <c r="AC117" i="61"/>
  <c r="AD117" i="61"/>
  <c r="AC117" i="47"/>
  <c r="AD117" i="47"/>
  <c r="G49" i="40" l="1"/>
  <c r="G51" i="39"/>
  <c r="G50" i="38"/>
  <c r="G50" i="41"/>
  <c r="AD44" i="70"/>
  <c r="AD43" i="70"/>
  <c r="AD42" i="70"/>
  <c r="AD41" i="70"/>
  <c r="AD40" i="70"/>
  <c r="AD45" i="70" s="1"/>
  <c r="AD36" i="70"/>
  <c r="AD35" i="70"/>
  <c r="AD34" i="70"/>
  <c r="AD33" i="70"/>
  <c r="AD29" i="70"/>
  <c r="AD28" i="70"/>
  <c r="AD27" i="70"/>
  <c r="AD26" i="70"/>
  <c r="AD25" i="70"/>
  <c r="AD24" i="70"/>
  <c r="AD30" i="70" s="1"/>
  <c r="AD20" i="70"/>
  <c r="AD19" i="70"/>
  <c r="AD18" i="70"/>
  <c r="AD17" i="70"/>
  <c r="AD16" i="70"/>
  <c r="AD15" i="70"/>
  <c r="AD37" i="70" l="1"/>
  <c r="AD21" i="70"/>
  <c r="C47" i="69" l="1"/>
  <c r="C46" i="69"/>
  <c r="C45" i="69"/>
  <c r="C30" i="69"/>
  <c r="C29" i="69"/>
  <c r="C28" i="69"/>
  <c r="C66" i="41" l="1"/>
  <c r="C65" i="41"/>
  <c r="C52" i="45"/>
  <c r="C51" i="45"/>
  <c r="C44" i="41" l="1"/>
  <c r="D37" i="45" l="1"/>
  <c r="D40" i="45"/>
  <c r="D45" i="45"/>
  <c r="D26" i="45" s="1"/>
  <c r="G38" i="67"/>
  <c r="D38" i="67"/>
  <c r="F38" i="67" s="1"/>
  <c r="J38" i="67" s="1"/>
  <c r="D37" i="67"/>
  <c r="F37" i="67" s="1"/>
  <c r="I37" i="67" s="1"/>
  <c r="F29" i="67"/>
  <c r="D27" i="67"/>
  <c r="F27" i="67" s="1"/>
  <c r="J27" i="67" s="1"/>
  <c r="F26" i="67"/>
  <c r="J26" i="67" s="1"/>
  <c r="D26" i="67"/>
  <c r="F18" i="67"/>
  <c r="E16" i="67"/>
  <c r="D16" i="67"/>
  <c r="E15" i="67"/>
  <c r="F15" i="67" s="1"/>
  <c r="E4" i="67"/>
  <c r="D4" i="67"/>
  <c r="F3" i="67"/>
  <c r="I3" i="67" s="1"/>
  <c r="E3" i="67"/>
  <c r="I26" i="67" l="1"/>
  <c r="H3" i="67"/>
  <c r="E45" i="45"/>
  <c r="F45" i="45"/>
  <c r="I15" i="67"/>
  <c r="J3" i="67"/>
  <c r="E29" i="67"/>
  <c r="F4" i="67"/>
  <c r="F5" i="67" s="1"/>
  <c r="J37" i="67"/>
  <c r="J15" i="67"/>
  <c r="I27" i="67"/>
  <c r="D29" i="67" s="1"/>
  <c r="F28" i="67"/>
  <c r="F30" i="67" s="1"/>
  <c r="C32" i="67" s="1"/>
  <c r="F16" i="67"/>
  <c r="I16" i="67" s="1"/>
  <c r="D18" i="67" s="1"/>
  <c r="I38" i="67"/>
  <c r="F39" i="67"/>
  <c r="F32" i="67" l="1"/>
  <c r="D49" i="21"/>
  <c r="H4" i="67"/>
  <c r="I4" i="67"/>
  <c r="J16" i="67"/>
  <c r="F17" i="67"/>
  <c r="F19" i="67" s="1"/>
  <c r="C21" i="67" s="1"/>
  <c r="F21" i="67" l="1"/>
  <c r="D33" i="21"/>
  <c r="F33" i="67"/>
  <c r="E32" i="67"/>
  <c r="D32" i="67"/>
  <c r="E21" i="67"/>
  <c r="E18" i="67"/>
  <c r="F22" i="67" l="1"/>
  <c r="D21" i="67"/>
  <c r="L16" i="21"/>
  <c r="G19" i="21"/>
  <c r="H16" i="21" s="1"/>
  <c r="I16" i="21" s="1"/>
  <c r="H15" i="21" l="1"/>
  <c r="I15" i="21" s="1"/>
  <c r="H18" i="21"/>
  <c r="I18" i="21" s="1"/>
  <c r="H17" i="21"/>
  <c r="I17" i="21" s="1"/>
  <c r="D5" i="12"/>
  <c r="D24" i="66"/>
  <c r="E24" i="66"/>
  <c r="B6" i="12" s="1"/>
  <c r="D6" i="12" s="1"/>
  <c r="B5" i="15"/>
  <c r="D5" i="15" s="1"/>
  <c r="B3" i="15"/>
  <c r="D3" i="15" s="1"/>
  <c r="D12" i="66"/>
  <c r="B12" i="66"/>
  <c r="B6" i="13"/>
  <c r="B3" i="13"/>
  <c r="D3" i="13" s="1"/>
  <c r="D4" i="14"/>
  <c r="D5" i="14"/>
  <c r="D6" i="14"/>
  <c r="B6" i="14"/>
  <c r="B5" i="14"/>
  <c r="B4" i="14"/>
  <c r="B3" i="14"/>
  <c r="D3" i="14" s="1"/>
  <c r="B5" i="66"/>
  <c r="M22" i="50"/>
  <c r="E10" i="10" l="1"/>
  <c r="C10" i="10"/>
  <c r="D6" i="13"/>
  <c r="I19" i="21"/>
  <c r="M3" i="50"/>
  <c r="B24" i="66"/>
  <c r="B3" i="12" s="1"/>
  <c r="D3" i="12" s="1"/>
  <c r="F16" i="66"/>
  <c r="O16" i="66"/>
  <c r="O18" i="66"/>
  <c r="O17" i="66"/>
  <c r="O11" i="66"/>
  <c r="P10" i="66" s="1"/>
  <c r="E10" i="66" s="1"/>
  <c r="O12" i="66"/>
  <c r="O10" i="66"/>
  <c r="F11" i="66"/>
  <c r="F10" i="66"/>
  <c r="F3" i="66"/>
  <c r="C23" i="66"/>
  <c r="C22" i="66"/>
  <c r="C21" i="66"/>
  <c r="C20" i="66"/>
  <c r="C24" i="66" s="1"/>
  <c r="B4" i="12" s="1"/>
  <c r="D4" i="12" s="1"/>
  <c r="D16" i="66"/>
  <c r="B5" i="13" s="1"/>
  <c r="C16" i="66"/>
  <c r="B4" i="13" s="1"/>
  <c r="C11" i="66"/>
  <c r="C10" i="66"/>
  <c r="C12" i="66" s="1"/>
  <c r="B4" i="15" s="1"/>
  <c r="D4" i="15" s="1"/>
  <c r="C21" i="15"/>
  <c r="F12" i="66" l="1"/>
  <c r="C11" i="10"/>
  <c r="D4" i="13"/>
  <c r="E11" i="10" s="1"/>
  <c r="C12" i="10"/>
  <c r="D5" i="13"/>
  <c r="E12" i="10" s="1"/>
  <c r="P16" i="66"/>
  <c r="E11" i="66" s="1"/>
  <c r="E12" i="66" s="1"/>
  <c r="B6" i="15" s="1"/>
  <c r="D21" i="57"/>
  <c r="D22" i="59"/>
  <c r="D21" i="60"/>
  <c r="D22" i="61"/>
  <c r="D21" i="62"/>
  <c r="D22" i="63"/>
  <c r="D21" i="64"/>
  <c r="D22" i="65"/>
  <c r="C159" i="65"/>
  <c r="C162" i="65" s="1"/>
  <c r="C158" i="65"/>
  <c r="C161" i="65" s="1"/>
  <c r="C157" i="65"/>
  <c r="C160" i="65" s="1"/>
  <c r="AD147" i="65"/>
  <c r="AD111" i="65" s="1"/>
  <c r="AC147" i="65"/>
  <c r="AC111" i="65" s="1"/>
  <c r="D141" i="65"/>
  <c r="D140" i="65"/>
  <c r="B135" i="65"/>
  <c r="B134" i="65"/>
  <c r="AD108" i="65"/>
  <c r="AC108" i="65"/>
  <c r="AM105" i="65"/>
  <c r="AL105" i="65"/>
  <c r="AK105" i="65"/>
  <c r="AJ105" i="65"/>
  <c r="AI105" i="65"/>
  <c r="AH105" i="65"/>
  <c r="AG105" i="65"/>
  <c r="AF105" i="65"/>
  <c r="AE105" i="65"/>
  <c r="AD105" i="65"/>
  <c r="AM98" i="65"/>
  <c r="AM141" i="65" s="1"/>
  <c r="AL98" i="65"/>
  <c r="AL141" i="65" s="1"/>
  <c r="AK98" i="65"/>
  <c r="AK141" i="65" s="1"/>
  <c r="AJ98" i="65"/>
  <c r="AJ141" i="65" s="1"/>
  <c r="AI98" i="65"/>
  <c r="AI141" i="65" s="1"/>
  <c r="AH98" i="65"/>
  <c r="AH141" i="65" s="1"/>
  <c r="AG98" i="65"/>
  <c r="AG141" i="65" s="1"/>
  <c r="AF98" i="65"/>
  <c r="AF141" i="65" s="1"/>
  <c r="AE98" i="65"/>
  <c r="AE141" i="65" s="1"/>
  <c r="AD98" i="65"/>
  <c r="AD141" i="65" s="1"/>
  <c r="AM97" i="65"/>
  <c r="AM140" i="65" s="1"/>
  <c r="AL97" i="65"/>
  <c r="AL140" i="65" s="1"/>
  <c r="AK97" i="65"/>
  <c r="AK140" i="65" s="1"/>
  <c r="AJ97" i="65"/>
  <c r="AJ140" i="65" s="1"/>
  <c r="AI97" i="65"/>
  <c r="AI140" i="65" s="1"/>
  <c r="AH97" i="65"/>
  <c r="AH140" i="65" s="1"/>
  <c r="AG97" i="65"/>
  <c r="AG140" i="65" s="1"/>
  <c r="AF97" i="65"/>
  <c r="AF140" i="65" s="1"/>
  <c r="AE97" i="65"/>
  <c r="AE140" i="65" s="1"/>
  <c r="AD97" i="65"/>
  <c r="AD140" i="65" s="1"/>
  <c r="M94" i="65"/>
  <c r="M137" i="65" s="1"/>
  <c r="L94" i="65"/>
  <c r="L137" i="65" s="1"/>
  <c r="K94" i="65"/>
  <c r="K137" i="65" s="1"/>
  <c r="J94" i="65"/>
  <c r="J137" i="65" s="1"/>
  <c r="I94" i="65"/>
  <c r="I137" i="65" s="1"/>
  <c r="H94" i="65"/>
  <c r="H137" i="65" s="1"/>
  <c r="G94" i="65"/>
  <c r="G137" i="65" s="1"/>
  <c r="F94" i="65"/>
  <c r="F137" i="65" s="1"/>
  <c r="E94" i="65"/>
  <c r="E137" i="65" s="1"/>
  <c r="AM84" i="65"/>
  <c r="AL84" i="65"/>
  <c r="AK84" i="65"/>
  <c r="AJ84" i="65"/>
  <c r="AI84" i="65"/>
  <c r="AH84" i="65"/>
  <c r="AG84" i="65"/>
  <c r="AF84" i="65"/>
  <c r="AE84" i="65"/>
  <c r="AD84" i="65"/>
  <c r="AC84" i="65"/>
  <c r="AM83" i="65"/>
  <c r="AM139" i="65" s="1"/>
  <c r="AL83" i="65"/>
  <c r="AL139" i="65" s="1"/>
  <c r="AK83" i="65"/>
  <c r="AK139" i="65" s="1"/>
  <c r="AJ83" i="65"/>
  <c r="AJ139" i="65" s="1"/>
  <c r="AI83" i="65"/>
  <c r="AI139" i="65" s="1"/>
  <c r="AH83" i="65"/>
  <c r="AH139" i="65" s="1"/>
  <c r="AG83" i="65"/>
  <c r="AG139" i="65" s="1"/>
  <c r="AF83" i="65"/>
  <c r="AF139" i="65" s="1"/>
  <c r="AE83" i="65"/>
  <c r="AE139" i="65" s="1"/>
  <c r="AD83" i="65"/>
  <c r="AD139" i="65" s="1"/>
  <c r="AC83" i="65"/>
  <c r="AC139" i="65" s="1"/>
  <c r="AB83" i="65"/>
  <c r="AB139" i="65" s="1"/>
  <c r="AA83" i="65"/>
  <c r="AA139" i="65" s="1"/>
  <c r="Z83" i="65"/>
  <c r="Z139" i="65" s="1"/>
  <c r="Y83" i="65"/>
  <c r="Y139" i="65" s="1"/>
  <c r="X83" i="65"/>
  <c r="X139" i="65" s="1"/>
  <c r="W83" i="65"/>
  <c r="W139" i="65" s="1"/>
  <c r="V83" i="65"/>
  <c r="V139" i="65" s="1"/>
  <c r="U83" i="65"/>
  <c r="U139" i="65" s="1"/>
  <c r="T83" i="65"/>
  <c r="T139" i="65" s="1"/>
  <c r="S83" i="65"/>
  <c r="S139" i="65" s="1"/>
  <c r="R83" i="65"/>
  <c r="R139" i="65" s="1"/>
  <c r="Q83" i="65"/>
  <c r="Q139" i="65" s="1"/>
  <c r="P83" i="65"/>
  <c r="P139" i="65" s="1"/>
  <c r="O83" i="65"/>
  <c r="O139" i="65" s="1"/>
  <c r="N83" i="65"/>
  <c r="N139" i="65" s="1"/>
  <c r="M83" i="65"/>
  <c r="M139" i="65" s="1"/>
  <c r="L83" i="65"/>
  <c r="L139" i="65" s="1"/>
  <c r="K83" i="65"/>
  <c r="K139" i="65" s="1"/>
  <c r="J83" i="65"/>
  <c r="J139" i="65" s="1"/>
  <c r="I83" i="65"/>
  <c r="I139" i="65" s="1"/>
  <c r="H83" i="65"/>
  <c r="H139" i="65" s="1"/>
  <c r="G83" i="65"/>
  <c r="G139" i="65" s="1"/>
  <c r="F83" i="65"/>
  <c r="F139" i="65" s="1"/>
  <c r="E83" i="65"/>
  <c r="E139" i="65" s="1"/>
  <c r="D83" i="65"/>
  <c r="D139" i="65" s="1"/>
  <c r="AM82" i="65"/>
  <c r="AM138" i="65" s="1"/>
  <c r="AL82" i="65"/>
  <c r="AL138" i="65" s="1"/>
  <c r="AK82" i="65"/>
  <c r="AK138" i="65" s="1"/>
  <c r="AJ82" i="65"/>
  <c r="AJ138" i="65" s="1"/>
  <c r="AI82" i="65"/>
  <c r="AI138" i="65" s="1"/>
  <c r="AH82" i="65"/>
  <c r="AH138" i="65" s="1"/>
  <c r="AG82" i="65"/>
  <c r="AG138" i="65" s="1"/>
  <c r="AF82" i="65"/>
  <c r="AF138" i="65" s="1"/>
  <c r="AE82" i="65"/>
  <c r="AE138" i="65" s="1"/>
  <c r="AM78" i="65"/>
  <c r="AL78" i="65"/>
  <c r="AL108" i="65" s="1"/>
  <c r="AK78" i="65"/>
  <c r="AK108" i="65" s="1"/>
  <c r="AJ78" i="65"/>
  <c r="AI78" i="65"/>
  <c r="AH78" i="65"/>
  <c r="AG78" i="65"/>
  <c r="AG108" i="65" s="1"/>
  <c r="AF78" i="65"/>
  <c r="AE78" i="65"/>
  <c r="D39" i="65"/>
  <c r="AD128" i="65"/>
  <c r="E22" i="65"/>
  <c r="E18" i="65"/>
  <c r="E17" i="65"/>
  <c r="D15" i="65"/>
  <c r="D14" i="65"/>
  <c r="C164" i="64"/>
  <c r="C163" i="64"/>
  <c r="C162" i="64"/>
  <c r="D143" i="64"/>
  <c r="D142" i="64"/>
  <c r="B137" i="64"/>
  <c r="B136" i="64"/>
  <c r="B120" i="64"/>
  <c r="B119" i="64"/>
  <c r="AM107" i="64"/>
  <c r="AL107" i="64"/>
  <c r="AK107" i="64"/>
  <c r="AJ107" i="64"/>
  <c r="AI107" i="64"/>
  <c r="AH107" i="64"/>
  <c r="AG107" i="64"/>
  <c r="AF107" i="64"/>
  <c r="AE107" i="64"/>
  <c r="AD107" i="64"/>
  <c r="AM100" i="64"/>
  <c r="AM143" i="64" s="1"/>
  <c r="AL100" i="64"/>
  <c r="AL143" i="64" s="1"/>
  <c r="AK100" i="64"/>
  <c r="AK143" i="64" s="1"/>
  <c r="AJ100" i="64"/>
  <c r="AJ143" i="64" s="1"/>
  <c r="AI100" i="64"/>
  <c r="AI143" i="64" s="1"/>
  <c r="AH100" i="64"/>
  <c r="AH143" i="64" s="1"/>
  <c r="AG100" i="64"/>
  <c r="AG143" i="64" s="1"/>
  <c r="AF100" i="64"/>
  <c r="AF143" i="64" s="1"/>
  <c r="AE100" i="64"/>
  <c r="AE143" i="64" s="1"/>
  <c r="AD100" i="64"/>
  <c r="AD143" i="64" s="1"/>
  <c r="AM99" i="64"/>
  <c r="AM142" i="64" s="1"/>
  <c r="AL99" i="64"/>
  <c r="AL142" i="64" s="1"/>
  <c r="AK99" i="64"/>
  <c r="AJ99" i="64"/>
  <c r="AI99" i="64"/>
  <c r="AI142" i="64" s="1"/>
  <c r="AH99" i="64"/>
  <c r="AH142" i="64" s="1"/>
  <c r="AG99" i="64"/>
  <c r="AF99" i="64"/>
  <c r="AE99" i="64"/>
  <c r="AE142" i="64" s="1"/>
  <c r="AD99" i="64"/>
  <c r="AD142" i="64" s="1"/>
  <c r="M96" i="64"/>
  <c r="L96" i="64"/>
  <c r="K96" i="64"/>
  <c r="K139" i="64" s="1"/>
  <c r="J96" i="64"/>
  <c r="J139" i="64" s="1"/>
  <c r="I96" i="64"/>
  <c r="H96" i="64"/>
  <c r="G96" i="64"/>
  <c r="G139" i="64" s="1"/>
  <c r="F96" i="64"/>
  <c r="F139" i="64" s="1"/>
  <c r="E96" i="64"/>
  <c r="AM86" i="64"/>
  <c r="AL86" i="64"/>
  <c r="AK86" i="64"/>
  <c r="AJ86" i="64"/>
  <c r="AI86" i="64"/>
  <c r="AH86" i="64"/>
  <c r="AG86" i="64"/>
  <c r="AF86" i="64"/>
  <c r="AE86" i="64"/>
  <c r="AD86" i="64"/>
  <c r="AM85" i="64"/>
  <c r="AM141" i="64" s="1"/>
  <c r="AL85" i="64"/>
  <c r="AL141" i="64" s="1"/>
  <c r="AK85" i="64"/>
  <c r="AK141" i="64" s="1"/>
  <c r="AJ85" i="64"/>
  <c r="AJ141" i="64" s="1"/>
  <c r="AI85" i="64"/>
  <c r="AI141" i="64" s="1"/>
  <c r="AH85" i="64"/>
  <c r="AH141" i="64" s="1"/>
  <c r="AG85" i="64"/>
  <c r="AG141" i="64" s="1"/>
  <c r="AF85" i="64"/>
  <c r="AF141" i="64" s="1"/>
  <c r="AE85" i="64"/>
  <c r="AE141" i="64" s="1"/>
  <c r="AD85" i="64"/>
  <c r="AD141" i="64" s="1"/>
  <c r="AC85" i="64"/>
  <c r="AC141" i="64" s="1"/>
  <c r="AB85" i="64"/>
  <c r="AB141" i="64" s="1"/>
  <c r="AA85" i="64"/>
  <c r="AA141" i="64" s="1"/>
  <c r="Z85" i="64"/>
  <c r="Z141" i="64" s="1"/>
  <c r="Y85" i="64"/>
  <c r="Y141" i="64" s="1"/>
  <c r="X85" i="64"/>
  <c r="X141" i="64" s="1"/>
  <c r="W85" i="64"/>
  <c r="W141" i="64" s="1"/>
  <c r="V85" i="64"/>
  <c r="V141" i="64" s="1"/>
  <c r="U85" i="64"/>
  <c r="U141" i="64" s="1"/>
  <c r="T85" i="64"/>
  <c r="T141" i="64" s="1"/>
  <c r="S85" i="64"/>
  <c r="S141" i="64" s="1"/>
  <c r="R85" i="64"/>
  <c r="R141" i="64" s="1"/>
  <c r="Q85" i="64"/>
  <c r="Q141" i="64" s="1"/>
  <c r="P85" i="64"/>
  <c r="P141" i="64" s="1"/>
  <c r="O85" i="64"/>
  <c r="O141" i="64" s="1"/>
  <c r="N85" i="64"/>
  <c r="N141" i="64" s="1"/>
  <c r="M85" i="64"/>
  <c r="M141" i="64" s="1"/>
  <c r="L85" i="64"/>
  <c r="L141" i="64" s="1"/>
  <c r="K85" i="64"/>
  <c r="K141" i="64" s="1"/>
  <c r="J85" i="64"/>
  <c r="J141" i="64" s="1"/>
  <c r="I85" i="64"/>
  <c r="I141" i="64" s="1"/>
  <c r="H85" i="64"/>
  <c r="H141" i="64" s="1"/>
  <c r="G85" i="64"/>
  <c r="G141" i="64" s="1"/>
  <c r="F85" i="64"/>
  <c r="F141" i="64" s="1"/>
  <c r="E85" i="64"/>
  <c r="E141" i="64" s="1"/>
  <c r="D85" i="64"/>
  <c r="D141" i="64" s="1"/>
  <c r="AM83" i="64"/>
  <c r="AL83" i="64"/>
  <c r="AK83" i="64"/>
  <c r="AJ83" i="64"/>
  <c r="AI83" i="64"/>
  <c r="AH83" i="64"/>
  <c r="AG83" i="64"/>
  <c r="AF83" i="64"/>
  <c r="AE83" i="64"/>
  <c r="AD83" i="64"/>
  <c r="C82" i="64"/>
  <c r="AM78" i="64"/>
  <c r="AL78" i="64"/>
  <c r="AL110" i="64" s="1"/>
  <c r="AK78" i="64"/>
  <c r="AJ78" i="64"/>
  <c r="AJ84" i="64" s="1"/>
  <c r="AI78" i="64"/>
  <c r="AH78" i="64"/>
  <c r="AG78" i="64"/>
  <c r="AF78" i="64"/>
  <c r="AE78" i="64"/>
  <c r="AD78" i="64"/>
  <c r="D39" i="64"/>
  <c r="D14" i="64"/>
  <c r="H12" i="64"/>
  <c r="D22" i="64" s="1"/>
  <c r="G10" i="64"/>
  <c r="G12" i="64" s="1"/>
  <c r="D10" i="64"/>
  <c r="C159" i="63"/>
  <c r="C162" i="63" s="1"/>
  <c r="C158" i="63"/>
  <c r="C161" i="63" s="1"/>
  <c r="C157" i="63"/>
  <c r="C160" i="63" s="1"/>
  <c r="AD147" i="63"/>
  <c r="AD111" i="63" s="1"/>
  <c r="AC147" i="63"/>
  <c r="AC111" i="63" s="1"/>
  <c r="D141" i="63"/>
  <c r="D140" i="63"/>
  <c r="B135" i="63"/>
  <c r="B134" i="63"/>
  <c r="AD108" i="63"/>
  <c r="AC108" i="63"/>
  <c r="AM105" i="63"/>
  <c r="AL105" i="63"/>
  <c r="AK105" i="63"/>
  <c r="AJ105" i="63"/>
  <c r="AI105" i="63"/>
  <c r="AH105" i="63"/>
  <c r="AG105" i="63"/>
  <c r="AF105" i="63"/>
  <c r="AE105" i="63"/>
  <c r="AD105" i="63"/>
  <c r="AM98" i="63"/>
  <c r="AM141" i="63" s="1"/>
  <c r="AL98" i="63"/>
  <c r="AL141" i="63" s="1"/>
  <c r="AK98" i="63"/>
  <c r="AK141" i="63" s="1"/>
  <c r="AJ98" i="63"/>
  <c r="AJ141" i="63" s="1"/>
  <c r="AI98" i="63"/>
  <c r="AI141" i="63" s="1"/>
  <c r="AH98" i="63"/>
  <c r="AH141" i="63" s="1"/>
  <c r="AG98" i="63"/>
  <c r="AG141" i="63" s="1"/>
  <c r="AF98" i="63"/>
  <c r="AF141" i="63" s="1"/>
  <c r="AE98" i="63"/>
  <c r="AE141" i="63" s="1"/>
  <c r="AD98" i="63"/>
  <c r="AD141" i="63" s="1"/>
  <c r="AM97" i="63"/>
  <c r="AM140" i="63" s="1"/>
  <c r="AL97" i="63"/>
  <c r="AL140" i="63" s="1"/>
  <c r="AK97" i="63"/>
  <c r="AK140" i="63" s="1"/>
  <c r="AJ97" i="63"/>
  <c r="AJ140" i="63" s="1"/>
  <c r="AI97" i="63"/>
  <c r="AI140" i="63" s="1"/>
  <c r="AH97" i="63"/>
  <c r="AH140" i="63" s="1"/>
  <c r="AG97" i="63"/>
  <c r="AG140" i="63" s="1"/>
  <c r="AF97" i="63"/>
  <c r="AF140" i="63" s="1"/>
  <c r="AE97" i="63"/>
  <c r="AE140" i="63" s="1"/>
  <c r="AD97" i="63"/>
  <c r="AD140" i="63" s="1"/>
  <c r="M94" i="63"/>
  <c r="M137" i="63" s="1"/>
  <c r="L94" i="63"/>
  <c r="L137" i="63" s="1"/>
  <c r="K94" i="63"/>
  <c r="K137" i="63" s="1"/>
  <c r="J94" i="63"/>
  <c r="J137" i="63" s="1"/>
  <c r="I94" i="63"/>
  <c r="I137" i="63" s="1"/>
  <c r="H94" i="63"/>
  <c r="H137" i="63" s="1"/>
  <c r="G94" i="63"/>
  <c r="G137" i="63" s="1"/>
  <c r="F94" i="63"/>
  <c r="F137" i="63" s="1"/>
  <c r="E94" i="63"/>
  <c r="E137" i="63" s="1"/>
  <c r="AM84" i="63"/>
  <c r="AL84" i="63"/>
  <c r="AK84" i="63"/>
  <c r="AJ84" i="63"/>
  <c r="AI84" i="63"/>
  <c r="AH84" i="63"/>
  <c r="AG84" i="63"/>
  <c r="AF84" i="63"/>
  <c r="AE84" i="63"/>
  <c r="AD84" i="63"/>
  <c r="AC84" i="63"/>
  <c r="AM83" i="63"/>
  <c r="AM139" i="63" s="1"/>
  <c r="AL83" i="63"/>
  <c r="AL139" i="63" s="1"/>
  <c r="AK83" i="63"/>
  <c r="AK139" i="63" s="1"/>
  <c r="AJ83" i="63"/>
  <c r="AJ139" i="63" s="1"/>
  <c r="AI83" i="63"/>
  <c r="AI139" i="63" s="1"/>
  <c r="AH83" i="63"/>
  <c r="AH139" i="63" s="1"/>
  <c r="AG83" i="63"/>
  <c r="AG139" i="63" s="1"/>
  <c r="AF83" i="63"/>
  <c r="AF139" i="63" s="1"/>
  <c r="AE83" i="63"/>
  <c r="AE139" i="63" s="1"/>
  <c r="AD83" i="63"/>
  <c r="AD139" i="63" s="1"/>
  <c r="AC83" i="63"/>
  <c r="AC139" i="63" s="1"/>
  <c r="AB83" i="63"/>
  <c r="AB139" i="63" s="1"/>
  <c r="AA83" i="63"/>
  <c r="AA139" i="63" s="1"/>
  <c r="Z83" i="63"/>
  <c r="Z139" i="63" s="1"/>
  <c r="Y83" i="63"/>
  <c r="Y139" i="63" s="1"/>
  <c r="X83" i="63"/>
  <c r="X139" i="63" s="1"/>
  <c r="W83" i="63"/>
  <c r="W139" i="63" s="1"/>
  <c r="V83" i="63"/>
  <c r="V139" i="63" s="1"/>
  <c r="U83" i="63"/>
  <c r="U139" i="63" s="1"/>
  <c r="T83" i="63"/>
  <c r="T139" i="63" s="1"/>
  <c r="S83" i="63"/>
  <c r="S139" i="63" s="1"/>
  <c r="R83" i="63"/>
  <c r="R139" i="63" s="1"/>
  <c r="Q83" i="63"/>
  <c r="Q139" i="63" s="1"/>
  <c r="P83" i="63"/>
  <c r="P139" i="63" s="1"/>
  <c r="O83" i="63"/>
  <c r="O139" i="63" s="1"/>
  <c r="N83" i="63"/>
  <c r="N139" i="63" s="1"/>
  <c r="M83" i="63"/>
  <c r="M139" i="63" s="1"/>
  <c r="L83" i="63"/>
  <c r="L139" i="63" s="1"/>
  <c r="K83" i="63"/>
  <c r="K139" i="63" s="1"/>
  <c r="J83" i="63"/>
  <c r="J139" i="63" s="1"/>
  <c r="I83" i="63"/>
  <c r="I139" i="63" s="1"/>
  <c r="H83" i="63"/>
  <c r="H139" i="63" s="1"/>
  <c r="G83" i="63"/>
  <c r="G139" i="63" s="1"/>
  <c r="F83" i="63"/>
  <c r="F139" i="63" s="1"/>
  <c r="E83" i="63"/>
  <c r="E139" i="63" s="1"/>
  <c r="D83" i="63"/>
  <c r="D139" i="63" s="1"/>
  <c r="AM82" i="63"/>
  <c r="AM138" i="63" s="1"/>
  <c r="AL82" i="63"/>
  <c r="AL138" i="63" s="1"/>
  <c r="AK82" i="63"/>
  <c r="AK138" i="63" s="1"/>
  <c r="AJ82" i="63"/>
  <c r="AJ138" i="63" s="1"/>
  <c r="AI82" i="63"/>
  <c r="AI138" i="63" s="1"/>
  <c r="AH82" i="63"/>
  <c r="AH138" i="63" s="1"/>
  <c r="AG82" i="63"/>
  <c r="AG138" i="63" s="1"/>
  <c r="AF82" i="63"/>
  <c r="AF138" i="63" s="1"/>
  <c r="AE82" i="63"/>
  <c r="AE138" i="63" s="1"/>
  <c r="AM78" i="63"/>
  <c r="AM108" i="63" s="1"/>
  <c r="AL78" i="63"/>
  <c r="AL117" i="63" s="1"/>
  <c r="AL128" i="63" s="1"/>
  <c r="AL135" i="63" s="1"/>
  <c r="AK78" i="63"/>
  <c r="AJ78" i="63"/>
  <c r="AI78" i="63"/>
  <c r="AH78" i="63"/>
  <c r="AH108" i="63" s="1"/>
  <c r="AG78" i="63"/>
  <c r="AF78" i="63"/>
  <c r="AE78" i="63"/>
  <c r="D39" i="63"/>
  <c r="AC117" i="63"/>
  <c r="AC128" i="63" s="1"/>
  <c r="E22" i="63"/>
  <c r="E18" i="63"/>
  <c r="E17" i="63"/>
  <c r="D15" i="63"/>
  <c r="D14" i="63"/>
  <c r="C164" i="62"/>
  <c r="C163" i="62"/>
  <c r="C162" i="62"/>
  <c r="D143" i="62"/>
  <c r="D142" i="62"/>
  <c r="B137" i="62"/>
  <c r="B136" i="62"/>
  <c r="B120" i="62"/>
  <c r="B119" i="62"/>
  <c r="AM107" i="62"/>
  <c r="AL107" i="62"/>
  <c r="AK107" i="62"/>
  <c r="AJ107" i="62"/>
  <c r="AI107" i="62"/>
  <c r="AH107" i="62"/>
  <c r="AG107" i="62"/>
  <c r="AF107" i="62"/>
  <c r="AE107" i="62"/>
  <c r="AD107" i="62"/>
  <c r="AM100" i="62"/>
  <c r="AM143" i="62" s="1"/>
  <c r="AL100" i="62"/>
  <c r="AL143" i="62" s="1"/>
  <c r="AK100" i="62"/>
  <c r="AK143" i="62" s="1"/>
  <c r="AJ100" i="62"/>
  <c r="AJ143" i="62" s="1"/>
  <c r="AI100" i="62"/>
  <c r="AI143" i="62" s="1"/>
  <c r="AH100" i="62"/>
  <c r="AH143" i="62" s="1"/>
  <c r="AG100" i="62"/>
  <c r="AG143" i="62" s="1"/>
  <c r="AF100" i="62"/>
  <c r="AF143" i="62" s="1"/>
  <c r="AE100" i="62"/>
  <c r="AE143" i="62" s="1"/>
  <c r="AD100" i="62"/>
  <c r="AD143" i="62" s="1"/>
  <c r="AM99" i="62"/>
  <c r="AM142" i="62" s="1"/>
  <c r="AL99" i="62"/>
  <c r="AL142" i="62" s="1"/>
  <c r="AK99" i="62"/>
  <c r="AK142" i="62" s="1"/>
  <c r="AJ99" i="62"/>
  <c r="AJ142" i="62" s="1"/>
  <c r="AI99" i="62"/>
  <c r="AI142" i="62" s="1"/>
  <c r="AH99" i="62"/>
  <c r="AH142" i="62" s="1"/>
  <c r="AG99" i="62"/>
  <c r="AG142" i="62" s="1"/>
  <c r="AF99" i="62"/>
  <c r="AF142" i="62" s="1"/>
  <c r="AE99" i="62"/>
  <c r="AE142" i="62" s="1"/>
  <c r="AD99" i="62"/>
  <c r="AD142" i="62" s="1"/>
  <c r="M96" i="62"/>
  <c r="M139" i="62" s="1"/>
  <c r="L96" i="62"/>
  <c r="L139" i="62" s="1"/>
  <c r="K96" i="62"/>
  <c r="K139" i="62" s="1"/>
  <c r="J96" i="62"/>
  <c r="J139" i="62" s="1"/>
  <c r="I96" i="62"/>
  <c r="I139" i="62" s="1"/>
  <c r="H96" i="62"/>
  <c r="H139" i="62" s="1"/>
  <c r="G96" i="62"/>
  <c r="G139" i="62" s="1"/>
  <c r="F96" i="62"/>
  <c r="F139" i="62" s="1"/>
  <c r="E96" i="62"/>
  <c r="E139" i="62" s="1"/>
  <c r="AM86" i="62"/>
  <c r="AL86" i="62"/>
  <c r="AK86" i="62"/>
  <c r="AJ86" i="62"/>
  <c r="AI86" i="62"/>
  <c r="AH86" i="62"/>
  <c r="AG86" i="62"/>
  <c r="AF86" i="62"/>
  <c r="AE86" i="62"/>
  <c r="AD86" i="62"/>
  <c r="AM85" i="62"/>
  <c r="AM141" i="62" s="1"/>
  <c r="AL85" i="62"/>
  <c r="AL141" i="62" s="1"/>
  <c r="AK85" i="62"/>
  <c r="AK141" i="62" s="1"/>
  <c r="AJ85" i="62"/>
  <c r="AJ141" i="62" s="1"/>
  <c r="AI85" i="62"/>
  <c r="AI141" i="62" s="1"/>
  <c r="AH85" i="62"/>
  <c r="AH141" i="62" s="1"/>
  <c r="AG85" i="62"/>
  <c r="AG141" i="62" s="1"/>
  <c r="AF85" i="62"/>
  <c r="AF141" i="62" s="1"/>
  <c r="AE85" i="62"/>
  <c r="AE141" i="62" s="1"/>
  <c r="AD85" i="62"/>
  <c r="AD141" i="62" s="1"/>
  <c r="AC85" i="62"/>
  <c r="AC141" i="62" s="1"/>
  <c r="AB85" i="62"/>
  <c r="AB141" i="62" s="1"/>
  <c r="AA85" i="62"/>
  <c r="AA141" i="62" s="1"/>
  <c r="Z85" i="62"/>
  <c r="Z141" i="62" s="1"/>
  <c r="Y85" i="62"/>
  <c r="Y141" i="62" s="1"/>
  <c r="X85" i="62"/>
  <c r="X141" i="62" s="1"/>
  <c r="W85" i="62"/>
  <c r="W141" i="62" s="1"/>
  <c r="V85" i="62"/>
  <c r="V141" i="62" s="1"/>
  <c r="U85" i="62"/>
  <c r="U141" i="62" s="1"/>
  <c r="T85" i="62"/>
  <c r="T141" i="62" s="1"/>
  <c r="S85" i="62"/>
  <c r="S141" i="62" s="1"/>
  <c r="R85" i="62"/>
  <c r="R141" i="62" s="1"/>
  <c r="Q85" i="62"/>
  <c r="Q141" i="62" s="1"/>
  <c r="P85" i="62"/>
  <c r="P141" i="62" s="1"/>
  <c r="O85" i="62"/>
  <c r="O141" i="62" s="1"/>
  <c r="N85" i="62"/>
  <c r="N141" i="62" s="1"/>
  <c r="M85" i="62"/>
  <c r="M141" i="62" s="1"/>
  <c r="L85" i="62"/>
  <c r="L141" i="62" s="1"/>
  <c r="K85" i="62"/>
  <c r="K141" i="62" s="1"/>
  <c r="J85" i="62"/>
  <c r="J141" i="62" s="1"/>
  <c r="I85" i="62"/>
  <c r="I141" i="62" s="1"/>
  <c r="H85" i="62"/>
  <c r="H141" i="62" s="1"/>
  <c r="G85" i="62"/>
  <c r="G141" i="62" s="1"/>
  <c r="F85" i="62"/>
  <c r="F141" i="62" s="1"/>
  <c r="E85" i="62"/>
  <c r="E141" i="62" s="1"/>
  <c r="D85" i="62"/>
  <c r="D141" i="62" s="1"/>
  <c r="AM83" i="62"/>
  <c r="AL83" i="62"/>
  <c r="AK83" i="62"/>
  <c r="AJ83" i="62"/>
  <c r="AI83" i="62"/>
  <c r="AH83" i="62"/>
  <c r="AG83" i="62"/>
  <c r="AF83" i="62"/>
  <c r="AE83" i="62"/>
  <c r="AD83" i="62"/>
  <c r="C82" i="62"/>
  <c r="AM78" i="62"/>
  <c r="AL78" i="62"/>
  <c r="AK78" i="62"/>
  <c r="AK119" i="62" s="1"/>
  <c r="AK130" i="62" s="1"/>
  <c r="AJ78" i="62"/>
  <c r="AI78" i="62"/>
  <c r="AH78" i="62"/>
  <c r="AG78" i="62"/>
  <c r="AF78" i="62"/>
  <c r="AE78" i="62"/>
  <c r="AD78" i="62"/>
  <c r="D39" i="62"/>
  <c r="D14" i="62"/>
  <c r="H12" i="62"/>
  <c r="D22" i="62" s="1"/>
  <c r="G10" i="62"/>
  <c r="G12" i="62" s="1"/>
  <c r="D10" i="62"/>
  <c r="AF84" i="62" s="1"/>
  <c r="C159" i="61"/>
  <c r="C162" i="61" s="1"/>
  <c r="C158" i="61"/>
  <c r="C161" i="61" s="1"/>
  <c r="C157" i="61"/>
  <c r="C160" i="61" s="1"/>
  <c r="AD147" i="61"/>
  <c r="AD111" i="61" s="1"/>
  <c r="AC147" i="61"/>
  <c r="AC111" i="61" s="1"/>
  <c r="D141" i="61"/>
  <c r="D140" i="61"/>
  <c r="B135" i="61"/>
  <c r="B134" i="61"/>
  <c r="AD108" i="61"/>
  <c r="AC108" i="61"/>
  <c r="AM105" i="61"/>
  <c r="AL105" i="61"/>
  <c r="AK105" i="61"/>
  <c r="AJ105" i="61"/>
  <c r="AI105" i="61"/>
  <c r="AH105" i="61"/>
  <c r="AG105" i="61"/>
  <c r="AF105" i="61"/>
  <c r="AE105" i="61"/>
  <c r="AD105" i="61"/>
  <c r="AM98" i="61"/>
  <c r="AM141" i="61" s="1"/>
  <c r="AL98" i="61"/>
  <c r="AL141" i="61" s="1"/>
  <c r="AK98" i="61"/>
  <c r="AK141" i="61" s="1"/>
  <c r="AJ98" i="61"/>
  <c r="AJ141" i="61" s="1"/>
  <c r="AI98" i="61"/>
  <c r="AI141" i="61" s="1"/>
  <c r="AH98" i="61"/>
  <c r="AH141" i="61" s="1"/>
  <c r="AG98" i="61"/>
  <c r="AG141" i="61" s="1"/>
  <c r="AF98" i="61"/>
  <c r="AF141" i="61" s="1"/>
  <c r="AE98" i="61"/>
  <c r="AE141" i="61" s="1"/>
  <c r="AD98" i="61"/>
  <c r="AD141" i="61" s="1"/>
  <c r="AM97" i="61"/>
  <c r="AM140" i="61" s="1"/>
  <c r="AL97" i="61"/>
  <c r="AL140" i="61" s="1"/>
  <c r="AK97" i="61"/>
  <c r="AJ97" i="61"/>
  <c r="AJ140" i="61" s="1"/>
  <c r="AI97" i="61"/>
  <c r="AI140" i="61" s="1"/>
  <c r="AH97" i="61"/>
  <c r="AH140" i="61" s="1"/>
  <c r="AG97" i="61"/>
  <c r="AF97" i="61"/>
  <c r="AF140" i="61" s="1"/>
  <c r="AE97" i="61"/>
  <c r="AE140" i="61" s="1"/>
  <c r="AD97" i="61"/>
  <c r="AD140" i="61" s="1"/>
  <c r="M94" i="61"/>
  <c r="M137" i="61" s="1"/>
  <c r="L94" i="61"/>
  <c r="L137" i="61" s="1"/>
  <c r="K94" i="61"/>
  <c r="K137" i="61" s="1"/>
  <c r="J94" i="61"/>
  <c r="J137" i="61" s="1"/>
  <c r="I94" i="61"/>
  <c r="I137" i="61" s="1"/>
  <c r="H94" i="61"/>
  <c r="H137" i="61" s="1"/>
  <c r="G94" i="61"/>
  <c r="G137" i="61" s="1"/>
  <c r="F94" i="61"/>
  <c r="F137" i="61" s="1"/>
  <c r="E94" i="61"/>
  <c r="E137" i="61" s="1"/>
  <c r="AM84" i="61"/>
  <c r="AL84" i="61"/>
  <c r="AK84" i="61"/>
  <c r="AJ84" i="61"/>
  <c r="AI84" i="61"/>
  <c r="AH84" i="61"/>
  <c r="AG84" i="61"/>
  <c r="AF84" i="61"/>
  <c r="AE84" i="61"/>
  <c r="AD84" i="61"/>
  <c r="AC84" i="61"/>
  <c r="AM83" i="61"/>
  <c r="AM139" i="61" s="1"/>
  <c r="AL83" i="61"/>
  <c r="AL139" i="61" s="1"/>
  <c r="AK83" i="61"/>
  <c r="AK139" i="61" s="1"/>
  <c r="AJ83" i="61"/>
  <c r="AJ139" i="61" s="1"/>
  <c r="AI83" i="61"/>
  <c r="AI139" i="61" s="1"/>
  <c r="AH83" i="61"/>
  <c r="AH139" i="61" s="1"/>
  <c r="AG83" i="61"/>
  <c r="AG139" i="61" s="1"/>
  <c r="AF83" i="61"/>
  <c r="AF139" i="61" s="1"/>
  <c r="AE83" i="61"/>
  <c r="AE139" i="61" s="1"/>
  <c r="AD83" i="61"/>
  <c r="AD139" i="61" s="1"/>
  <c r="AC83" i="61"/>
  <c r="AC139" i="61" s="1"/>
  <c r="AB83" i="61"/>
  <c r="AB139" i="61" s="1"/>
  <c r="AA83" i="61"/>
  <c r="AA139" i="61" s="1"/>
  <c r="Z83" i="61"/>
  <c r="Z139" i="61" s="1"/>
  <c r="Y83" i="61"/>
  <c r="Y139" i="61" s="1"/>
  <c r="X83" i="61"/>
  <c r="X139" i="61" s="1"/>
  <c r="W83" i="61"/>
  <c r="W139" i="61" s="1"/>
  <c r="V83" i="61"/>
  <c r="V139" i="61" s="1"/>
  <c r="U83" i="61"/>
  <c r="U139" i="61" s="1"/>
  <c r="T83" i="61"/>
  <c r="T139" i="61" s="1"/>
  <c r="S83" i="61"/>
  <c r="S139" i="61" s="1"/>
  <c r="R83" i="61"/>
  <c r="R139" i="61" s="1"/>
  <c r="Q83" i="61"/>
  <c r="Q139" i="61" s="1"/>
  <c r="P83" i="61"/>
  <c r="P139" i="61" s="1"/>
  <c r="O83" i="61"/>
  <c r="O139" i="61" s="1"/>
  <c r="N83" i="61"/>
  <c r="N139" i="61" s="1"/>
  <c r="M83" i="61"/>
  <c r="M139" i="61" s="1"/>
  <c r="L83" i="61"/>
  <c r="L139" i="61" s="1"/>
  <c r="K83" i="61"/>
  <c r="K139" i="61" s="1"/>
  <c r="J83" i="61"/>
  <c r="J139" i="61" s="1"/>
  <c r="I83" i="61"/>
  <c r="I139" i="61" s="1"/>
  <c r="H83" i="61"/>
  <c r="H139" i="61" s="1"/>
  <c r="G83" i="61"/>
  <c r="G139" i="61" s="1"/>
  <c r="F83" i="61"/>
  <c r="F139" i="61" s="1"/>
  <c r="E83" i="61"/>
  <c r="E139" i="61" s="1"/>
  <c r="D83" i="61"/>
  <c r="D139" i="61" s="1"/>
  <c r="AM82" i="61"/>
  <c r="AM138" i="61" s="1"/>
  <c r="AL82" i="61"/>
  <c r="AL138" i="61" s="1"/>
  <c r="AK82" i="61"/>
  <c r="AK138" i="61" s="1"/>
  <c r="AJ82" i="61"/>
  <c r="AJ138" i="61" s="1"/>
  <c r="AI82" i="61"/>
  <c r="AI138" i="61" s="1"/>
  <c r="AH82" i="61"/>
  <c r="AH138" i="61" s="1"/>
  <c r="AG82" i="61"/>
  <c r="AG138" i="61" s="1"/>
  <c r="AG148" i="61" s="1"/>
  <c r="AF82" i="61"/>
  <c r="AF138" i="61" s="1"/>
  <c r="AE82" i="61"/>
  <c r="AE138" i="61" s="1"/>
  <c r="AM78" i="61"/>
  <c r="AL78" i="61"/>
  <c r="AL108" i="61" s="1"/>
  <c r="AK78" i="61"/>
  <c r="AJ78" i="61"/>
  <c r="AI78" i="61"/>
  <c r="AH78" i="61"/>
  <c r="AH108" i="61" s="1"/>
  <c r="AG78" i="61"/>
  <c r="AF78" i="61"/>
  <c r="AE78" i="61"/>
  <c r="D39" i="61"/>
  <c r="E22" i="61"/>
  <c r="E18" i="61"/>
  <c r="E17" i="61"/>
  <c r="D15" i="61"/>
  <c r="D14" i="61"/>
  <c r="C164" i="60"/>
  <c r="C163" i="60"/>
  <c r="C162" i="60"/>
  <c r="D143" i="60"/>
  <c r="D142" i="60"/>
  <c r="B137" i="60"/>
  <c r="B136" i="60"/>
  <c r="B120" i="60"/>
  <c r="B119" i="60"/>
  <c r="AM107" i="60"/>
  <c r="AL107" i="60"/>
  <c r="AK107" i="60"/>
  <c r="AJ107" i="60"/>
  <c r="AI107" i="60"/>
  <c r="AH107" i="60"/>
  <c r="AG107" i="60"/>
  <c r="AF107" i="60"/>
  <c r="AE107" i="60"/>
  <c r="AD107" i="60"/>
  <c r="AM100" i="60"/>
  <c r="AM143" i="60" s="1"/>
  <c r="AL100" i="60"/>
  <c r="AL143" i="60" s="1"/>
  <c r="AK100" i="60"/>
  <c r="AK143" i="60" s="1"/>
  <c r="AJ100" i="60"/>
  <c r="AI100" i="60"/>
  <c r="AI143" i="60" s="1"/>
  <c r="AH100" i="60"/>
  <c r="AH143" i="60" s="1"/>
  <c r="AG100" i="60"/>
  <c r="AG143" i="60" s="1"/>
  <c r="AF100" i="60"/>
  <c r="AE100" i="60"/>
  <c r="AE143" i="60" s="1"/>
  <c r="AD100" i="60"/>
  <c r="AD143" i="60" s="1"/>
  <c r="AM99" i="60"/>
  <c r="AL99" i="60"/>
  <c r="AK99" i="60"/>
  <c r="AJ99" i="60"/>
  <c r="AJ142" i="60" s="1"/>
  <c r="AI99" i="60"/>
  <c r="AH99" i="60"/>
  <c r="AH142" i="60" s="1"/>
  <c r="AG99" i="60"/>
  <c r="AF99" i="60"/>
  <c r="AF142" i="60" s="1"/>
  <c r="AE99" i="60"/>
  <c r="AD99" i="60"/>
  <c r="AD142" i="60" s="1"/>
  <c r="M96" i="60"/>
  <c r="L96" i="60"/>
  <c r="K96" i="60"/>
  <c r="J96" i="60"/>
  <c r="J139" i="60" s="1"/>
  <c r="I96" i="60"/>
  <c r="H96" i="60"/>
  <c r="G96" i="60"/>
  <c r="F96" i="60"/>
  <c r="F139" i="60" s="1"/>
  <c r="E96" i="60"/>
  <c r="AM86" i="60"/>
  <c r="AL86" i="60"/>
  <c r="AK86" i="60"/>
  <c r="AJ86" i="60"/>
  <c r="AI86" i="60"/>
  <c r="AH86" i="60"/>
  <c r="AG86" i="60"/>
  <c r="AF86" i="60"/>
  <c r="AE86" i="60"/>
  <c r="AD86" i="60"/>
  <c r="AM85" i="60"/>
  <c r="AM141" i="60" s="1"/>
  <c r="AL85" i="60"/>
  <c r="AL141" i="60" s="1"/>
  <c r="AK85" i="60"/>
  <c r="AK141" i="60" s="1"/>
  <c r="AJ85" i="60"/>
  <c r="AJ141" i="60" s="1"/>
  <c r="AI85" i="60"/>
  <c r="AI141" i="60" s="1"/>
  <c r="AH85" i="60"/>
  <c r="AH141" i="60" s="1"/>
  <c r="AG85" i="60"/>
  <c r="AG141" i="60" s="1"/>
  <c r="AF85" i="60"/>
  <c r="AF141" i="60" s="1"/>
  <c r="AE85" i="60"/>
  <c r="AE141" i="60" s="1"/>
  <c r="AD85" i="60"/>
  <c r="AD141" i="60" s="1"/>
  <c r="AC85" i="60"/>
  <c r="AC141" i="60" s="1"/>
  <c r="AB85" i="60"/>
  <c r="AB141" i="60" s="1"/>
  <c r="AA85" i="60"/>
  <c r="AA141" i="60" s="1"/>
  <c r="Z85" i="60"/>
  <c r="Z141" i="60" s="1"/>
  <c r="Y85" i="60"/>
  <c r="Y141" i="60" s="1"/>
  <c r="X85" i="60"/>
  <c r="X141" i="60" s="1"/>
  <c r="W85" i="60"/>
  <c r="W141" i="60" s="1"/>
  <c r="V85" i="60"/>
  <c r="V141" i="60" s="1"/>
  <c r="U85" i="60"/>
  <c r="U141" i="60" s="1"/>
  <c r="T85" i="60"/>
  <c r="T141" i="60" s="1"/>
  <c r="S85" i="60"/>
  <c r="S141" i="60" s="1"/>
  <c r="R85" i="60"/>
  <c r="R141" i="60" s="1"/>
  <c r="Q85" i="60"/>
  <c r="Q141" i="60" s="1"/>
  <c r="P85" i="60"/>
  <c r="P141" i="60" s="1"/>
  <c r="O85" i="60"/>
  <c r="O141" i="60" s="1"/>
  <c r="N85" i="60"/>
  <c r="N141" i="60" s="1"/>
  <c r="M85" i="60"/>
  <c r="M141" i="60" s="1"/>
  <c r="L85" i="60"/>
  <c r="L141" i="60" s="1"/>
  <c r="K85" i="60"/>
  <c r="K141" i="60" s="1"/>
  <c r="J85" i="60"/>
  <c r="J141" i="60" s="1"/>
  <c r="I85" i="60"/>
  <c r="I141" i="60" s="1"/>
  <c r="H85" i="60"/>
  <c r="H141" i="60" s="1"/>
  <c r="G85" i="60"/>
  <c r="G141" i="60" s="1"/>
  <c r="F85" i="60"/>
  <c r="F141" i="60" s="1"/>
  <c r="E85" i="60"/>
  <c r="E141" i="60" s="1"/>
  <c r="D85" i="60"/>
  <c r="D141" i="60" s="1"/>
  <c r="AM83" i="60"/>
  <c r="AL83" i="60"/>
  <c r="AK83" i="60"/>
  <c r="AJ83" i="60"/>
  <c r="AI83" i="60"/>
  <c r="AH83" i="60"/>
  <c r="AG83" i="60"/>
  <c r="AF83" i="60"/>
  <c r="AE83" i="60"/>
  <c r="AD83" i="60"/>
  <c r="C82" i="60"/>
  <c r="AM78" i="60"/>
  <c r="AL78" i="60"/>
  <c r="AL84" i="60" s="1"/>
  <c r="AK78" i="60"/>
  <c r="AJ78" i="60"/>
  <c r="AI78" i="60"/>
  <c r="AH78" i="60"/>
  <c r="AG78" i="60"/>
  <c r="AF78" i="60"/>
  <c r="AE78" i="60"/>
  <c r="AD78" i="60"/>
  <c r="AD84" i="60" s="1"/>
  <c r="D39" i="60"/>
  <c r="D14" i="60"/>
  <c r="H12" i="60"/>
  <c r="D22" i="60" s="1"/>
  <c r="G10" i="60"/>
  <c r="G12" i="60" s="1"/>
  <c r="D10" i="60"/>
  <c r="C159" i="59"/>
  <c r="C162" i="59" s="1"/>
  <c r="C158" i="59"/>
  <c r="C161" i="59" s="1"/>
  <c r="C157" i="59"/>
  <c r="C160" i="59" s="1"/>
  <c r="AD147" i="59"/>
  <c r="AC147" i="59"/>
  <c r="D141" i="59"/>
  <c r="D140" i="59"/>
  <c r="B135" i="59"/>
  <c r="B134" i="59"/>
  <c r="AM111" i="59"/>
  <c r="AD111" i="59"/>
  <c r="AC111" i="59"/>
  <c r="AD108" i="59"/>
  <c r="AC108" i="59"/>
  <c r="AM105" i="59"/>
  <c r="AL105" i="59"/>
  <c r="AK105" i="59"/>
  <c r="AJ105" i="59"/>
  <c r="AI105" i="59"/>
  <c r="AH105" i="59"/>
  <c r="AG105" i="59"/>
  <c r="AF105" i="59"/>
  <c r="AE105" i="59"/>
  <c r="AD105" i="59"/>
  <c r="AM98" i="59"/>
  <c r="AM141" i="59" s="1"/>
  <c r="AL98" i="59"/>
  <c r="AL141" i="59" s="1"/>
  <c r="AK98" i="59"/>
  <c r="AK141" i="59" s="1"/>
  <c r="AJ98" i="59"/>
  <c r="AJ141" i="59" s="1"/>
  <c r="AI98" i="59"/>
  <c r="AI141" i="59" s="1"/>
  <c r="AH98" i="59"/>
  <c r="AH141" i="59" s="1"/>
  <c r="AG98" i="59"/>
  <c r="AG141" i="59" s="1"/>
  <c r="AF98" i="59"/>
  <c r="AF141" i="59" s="1"/>
  <c r="AE98" i="59"/>
  <c r="AE141" i="59" s="1"/>
  <c r="AD98" i="59"/>
  <c r="AD141" i="59" s="1"/>
  <c r="AM97" i="59"/>
  <c r="AM140" i="59" s="1"/>
  <c r="AL97" i="59"/>
  <c r="AL140" i="59" s="1"/>
  <c r="AK97" i="59"/>
  <c r="AK140" i="59" s="1"/>
  <c r="AJ97" i="59"/>
  <c r="AJ140" i="59" s="1"/>
  <c r="AI97" i="59"/>
  <c r="AI140" i="59" s="1"/>
  <c r="AH97" i="59"/>
  <c r="AH140" i="59" s="1"/>
  <c r="AG97" i="59"/>
  <c r="AG140" i="59" s="1"/>
  <c r="AF97" i="59"/>
  <c r="AF140" i="59" s="1"/>
  <c r="AE97" i="59"/>
  <c r="AE140" i="59" s="1"/>
  <c r="AD97" i="59"/>
  <c r="AD140" i="59" s="1"/>
  <c r="M94" i="59"/>
  <c r="M137" i="59" s="1"/>
  <c r="L94" i="59"/>
  <c r="L137" i="59" s="1"/>
  <c r="K94" i="59"/>
  <c r="K137" i="59" s="1"/>
  <c r="J94" i="59"/>
  <c r="J137" i="59" s="1"/>
  <c r="I94" i="59"/>
  <c r="I137" i="59" s="1"/>
  <c r="H94" i="59"/>
  <c r="H137" i="59" s="1"/>
  <c r="G94" i="59"/>
  <c r="G137" i="59" s="1"/>
  <c r="F94" i="59"/>
  <c r="F137" i="59" s="1"/>
  <c r="E94" i="59"/>
  <c r="E137" i="59" s="1"/>
  <c r="AM84" i="59"/>
  <c r="AL84" i="59"/>
  <c r="AK84" i="59"/>
  <c r="AJ84" i="59"/>
  <c r="AI84" i="59"/>
  <c r="AH84" i="59"/>
  <c r="AG84" i="59"/>
  <c r="AF84" i="59"/>
  <c r="AE84" i="59"/>
  <c r="AD84" i="59"/>
  <c r="AC84" i="59"/>
  <c r="AM83" i="59"/>
  <c r="AM139" i="59" s="1"/>
  <c r="AL83" i="59"/>
  <c r="AL139" i="59" s="1"/>
  <c r="AK83" i="59"/>
  <c r="AK139" i="59" s="1"/>
  <c r="AJ83" i="59"/>
  <c r="AJ139" i="59" s="1"/>
  <c r="AI83" i="59"/>
  <c r="AI139" i="59" s="1"/>
  <c r="AH83" i="59"/>
  <c r="AH139" i="59" s="1"/>
  <c r="AG83" i="59"/>
  <c r="AG139" i="59" s="1"/>
  <c r="AF83" i="59"/>
  <c r="AF139" i="59" s="1"/>
  <c r="AE83" i="59"/>
  <c r="AE139" i="59" s="1"/>
  <c r="AD83" i="59"/>
  <c r="AD139" i="59" s="1"/>
  <c r="AC83" i="59"/>
  <c r="AC139" i="59" s="1"/>
  <c r="AB83" i="59"/>
  <c r="AB139" i="59" s="1"/>
  <c r="AA83" i="59"/>
  <c r="AA139" i="59" s="1"/>
  <c r="Z83" i="59"/>
  <c r="Z139" i="59" s="1"/>
  <c r="Y83" i="59"/>
  <c r="Y139" i="59" s="1"/>
  <c r="X83" i="59"/>
  <c r="X139" i="59" s="1"/>
  <c r="W83" i="59"/>
  <c r="W139" i="59" s="1"/>
  <c r="V83" i="59"/>
  <c r="V139" i="59" s="1"/>
  <c r="U83" i="59"/>
  <c r="U139" i="59" s="1"/>
  <c r="T83" i="59"/>
  <c r="T139" i="59" s="1"/>
  <c r="S83" i="59"/>
  <c r="S139" i="59" s="1"/>
  <c r="R83" i="59"/>
  <c r="R139" i="59" s="1"/>
  <c r="Q83" i="59"/>
  <c r="Q139" i="59" s="1"/>
  <c r="P83" i="59"/>
  <c r="P139" i="59" s="1"/>
  <c r="O83" i="59"/>
  <c r="O139" i="59" s="1"/>
  <c r="N83" i="59"/>
  <c r="N139" i="59" s="1"/>
  <c r="M83" i="59"/>
  <c r="M139" i="59" s="1"/>
  <c r="L83" i="59"/>
  <c r="L139" i="59" s="1"/>
  <c r="K83" i="59"/>
  <c r="K139" i="59" s="1"/>
  <c r="J83" i="59"/>
  <c r="J139" i="59" s="1"/>
  <c r="I83" i="59"/>
  <c r="I139" i="59" s="1"/>
  <c r="H83" i="59"/>
  <c r="H139" i="59" s="1"/>
  <c r="G83" i="59"/>
  <c r="G139" i="59" s="1"/>
  <c r="F83" i="59"/>
  <c r="F139" i="59" s="1"/>
  <c r="E83" i="59"/>
  <c r="E139" i="59" s="1"/>
  <c r="D83" i="59"/>
  <c r="D139" i="59" s="1"/>
  <c r="AM82" i="59"/>
  <c r="AM138" i="59" s="1"/>
  <c r="AL82" i="59"/>
  <c r="AL138" i="59" s="1"/>
  <c r="AK82" i="59"/>
  <c r="AK138" i="59" s="1"/>
  <c r="AJ82" i="59"/>
  <c r="AJ138" i="59" s="1"/>
  <c r="AI82" i="59"/>
  <c r="AI138" i="59" s="1"/>
  <c r="AH82" i="59"/>
  <c r="AH138" i="59" s="1"/>
  <c r="AG82" i="59"/>
  <c r="AG138" i="59" s="1"/>
  <c r="AF82" i="59"/>
  <c r="AF138" i="59" s="1"/>
  <c r="AE82" i="59"/>
  <c r="AE138" i="59" s="1"/>
  <c r="AM78" i="59"/>
  <c r="AM147" i="59" s="1"/>
  <c r="AL78" i="59"/>
  <c r="AK78" i="59"/>
  <c r="AJ78" i="59"/>
  <c r="AI78" i="59"/>
  <c r="AI117" i="59" s="1"/>
  <c r="AI128" i="59" s="1"/>
  <c r="AH78" i="59"/>
  <c r="AG78" i="59"/>
  <c r="AF78" i="59"/>
  <c r="AE78" i="59"/>
  <c r="AE117" i="59" s="1"/>
  <c r="AE128" i="59" s="1"/>
  <c r="D39" i="59"/>
  <c r="E23" i="59"/>
  <c r="D23" i="59"/>
  <c r="E22" i="59"/>
  <c r="AE130" i="59"/>
  <c r="E18" i="59"/>
  <c r="E17" i="59"/>
  <c r="D15" i="59"/>
  <c r="D14" i="59"/>
  <c r="C164" i="57"/>
  <c r="C163" i="57"/>
  <c r="C162" i="57"/>
  <c r="D143" i="57"/>
  <c r="D142" i="57"/>
  <c r="B137" i="57"/>
  <c r="B136" i="57"/>
  <c r="B120" i="57"/>
  <c r="B119" i="57"/>
  <c r="AM107" i="57"/>
  <c r="AL107" i="57"/>
  <c r="AK107" i="57"/>
  <c r="AJ107" i="57"/>
  <c r="AI107" i="57"/>
  <c r="AH107" i="57"/>
  <c r="AG107" i="57"/>
  <c r="AF107" i="57"/>
  <c r="AE107" i="57"/>
  <c r="AD107" i="57"/>
  <c r="AM100" i="57"/>
  <c r="AM143" i="57" s="1"/>
  <c r="AL100" i="57"/>
  <c r="AL143" i="57" s="1"/>
  <c r="AK100" i="57"/>
  <c r="AK143" i="57" s="1"/>
  <c r="AJ100" i="57"/>
  <c r="AJ143" i="57" s="1"/>
  <c r="AI100" i="57"/>
  <c r="AI143" i="57" s="1"/>
  <c r="AH100" i="57"/>
  <c r="AH143" i="57" s="1"/>
  <c r="AG100" i="57"/>
  <c r="AG143" i="57" s="1"/>
  <c r="AF100" i="57"/>
  <c r="AF143" i="57" s="1"/>
  <c r="AE100" i="57"/>
  <c r="AE143" i="57" s="1"/>
  <c r="AD100" i="57"/>
  <c r="AD143" i="57" s="1"/>
  <c r="AM99" i="57"/>
  <c r="AM142" i="57" s="1"/>
  <c r="AL99" i="57"/>
  <c r="AL142" i="57" s="1"/>
  <c r="AK99" i="57"/>
  <c r="AK142" i="57" s="1"/>
  <c r="AJ99" i="57"/>
  <c r="AJ142" i="57" s="1"/>
  <c r="AI99" i="57"/>
  <c r="AI142" i="57" s="1"/>
  <c r="AH99" i="57"/>
  <c r="AH142" i="57" s="1"/>
  <c r="AG99" i="57"/>
  <c r="AG142" i="57" s="1"/>
  <c r="AF99" i="57"/>
  <c r="AF142" i="57" s="1"/>
  <c r="AE99" i="57"/>
  <c r="AE142" i="57" s="1"/>
  <c r="AD99" i="57"/>
  <c r="AD142" i="57" s="1"/>
  <c r="M96" i="57"/>
  <c r="M139" i="57" s="1"/>
  <c r="L96" i="57"/>
  <c r="L139" i="57" s="1"/>
  <c r="K96" i="57"/>
  <c r="K139" i="57" s="1"/>
  <c r="J96" i="57"/>
  <c r="J139" i="57" s="1"/>
  <c r="I96" i="57"/>
  <c r="I139" i="57" s="1"/>
  <c r="H96" i="57"/>
  <c r="H139" i="57" s="1"/>
  <c r="G96" i="57"/>
  <c r="G139" i="57" s="1"/>
  <c r="F96" i="57"/>
  <c r="F139" i="57" s="1"/>
  <c r="E96" i="57"/>
  <c r="E139" i="57" s="1"/>
  <c r="AM86" i="57"/>
  <c r="AL86" i="57"/>
  <c r="AK86" i="57"/>
  <c r="AJ86" i="57"/>
  <c r="AI86" i="57"/>
  <c r="AH86" i="57"/>
  <c r="AG86" i="57"/>
  <c r="AF86" i="57"/>
  <c r="AE86" i="57"/>
  <c r="AD86" i="57"/>
  <c r="AM85" i="57"/>
  <c r="AM141" i="57" s="1"/>
  <c r="AL85" i="57"/>
  <c r="AL141" i="57" s="1"/>
  <c r="AK85" i="57"/>
  <c r="AK141" i="57" s="1"/>
  <c r="AJ85" i="57"/>
  <c r="AJ141" i="57" s="1"/>
  <c r="AI85" i="57"/>
  <c r="AI141" i="57" s="1"/>
  <c r="AH85" i="57"/>
  <c r="AH141" i="57" s="1"/>
  <c r="AG85" i="57"/>
  <c r="AG141" i="57" s="1"/>
  <c r="AF85" i="57"/>
  <c r="AF141" i="57" s="1"/>
  <c r="AE85" i="57"/>
  <c r="AE141" i="57" s="1"/>
  <c r="AD85" i="57"/>
  <c r="AD141" i="57" s="1"/>
  <c r="AC85" i="57"/>
  <c r="AC141" i="57" s="1"/>
  <c r="AB85" i="57"/>
  <c r="AB141" i="57" s="1"/>
  <c r="AA85" i="57"/>
  <c r="AA141" i="57" s="1"/>
  <c r="Z85" i="57"/>
  <c r="Z141" i="57" s="1"/>
  <c r="Y85" i="57"/>
  <c r="Y141" i="57" s="1"/>
  <c r="X85" i="57"/>
  <c r="X141" i="57" s="1"/>
  <c r="W85" i="57"/>
  <c r="W141" i="57" s="1"/>
  <c r="V85" i="57"/>
  <c r="V141" i="57" s="1"/>
  <c r="U85" i="57"/>
  <c r="U141" i="57" s="1"/>
  <c r="T85" i="57"/>
  <c r="T141" i="57" s="1"/>
  <c r="S85" i="57"/>
  <c r="S141" i="57" s="1"/>
  <c r="R85" i="57"/>
  <c r="R141" i="57" s="1"/>
  <c r="Q85" i="57"/>
  <c r="Q141" i="57" s="1"/>
  <c r="P85" i="57"/>
  <c r="P141" i="57" s="1"/>
  <c r="O85" i="57"/>
  <c r="O141" i="57" s="1"/>
  <c r="N85" i="57"/>
  <c r="N141" i="57" s="1"/>
  <c r="M85" i="57"/>
  <c r="M141" i="57" s="1"/>
  <c r="L85" i="57"/>
  <c r="L141" i="57" s="1"/>
  <c r="K85" i="57"/>
  <c r="K141" i="57" s="1"/>
  <c r="J85" i="57"/>
  <c r="J141" i="57" s="1"/>
  <c r="I85" i="57"/>
  <c r="I141" i="57" s="1"/>
  <c r="H85" i="57"/>
  <c r="H141" i="57" s="1"/>
  <c r="G85" i="57"/>
  <c r="G141" i="57" s="1"/>
  <c r="F85" i="57"/>
  <c r="F141" i="57" s="1"/>
  <c r="E85" i="57"/>
  <c r="E141" i="57" s="1"/>
  <c r="D85" i="57"/>
  <c r="D141" i="57" s="1"/>
  <c r="AM83" i="57"/>
  <c r="AL83" i="57"/>
  <c r="AK83" i="57"/>
  <c r="AJ83" i="57"/>
  <c r="AI83" i="57"/>
  <c r="AH83" i="57"/>
  <c r="AG83" i="57"/>
  <c r="AF83" i="57"/>
  <c r="AE83" i="57"/>
  <c r="AD83" i="57"/>
  <c r="C82" i="57"/>
  <c r="AM78" i="57"/>
  <c r="AL78" i="57"/>
  <c r="AL84" i="57" s="1"/>
  <c r="AK78" i="57"/>
  <c r="AK110" i="57" s="1"/>
  <c r="AJ78" i="57"/>
  <c r="AJ119" i="57" s="1"/>
  <c r="AJ130" i="57" s="1"/>
  <c r="AI78" i="57"/>
  <c r="AH78" i="57"/>
  <c r="AG78" i="57"/>
  <c r="AG110" i="57" s="1"/>
  <c r="AF78" i="57"/>
  <c r="AE78" i="57"/>
  <c r="AD78" i="57"/>
  <c r="AD84" i="57" s="1"/>
  <c r="D39" i="57"/>
  <c r="D14" i="57"/>
  <c r="H12" i="57"/>
  <c r="D22" i="57" s="1"/>
  <c r="G10" i="57"/>
  <c r="G12" i="57" s="1"/>
  <c r="D10" i="57"/>
  <c r="B121" i="52"/>
  <c r="B120" i="52"/>
  <c r="C10" i="41"/>
  <c r="AL108" i="63" l="1"/>
  <c r="D6" i="15"/>
  <c r="E13" i="10" s="1"/>
  <c r="C13" i="10"/>
  <c r="AK117" i="65"/>
  <c r="AK128" i="65" s="1"/>
  <c r="AK135" i="65" s="1"/>
  <c r="AH84" i="60"/>
  <c r="AE148" i="65"/>
  <c r="AE142" i="65"/>
  <c r="AG99" i="65"/>
  <c r="AG101" i="65" s="1"/>
  <c r="AE147" i="65"/>
  <c r="AE117" i="65"/>
  <c r="AE128" i="65" s="1"/>
  <c r="AE108" i="65"/>
  <c r="AI147" i="65"/>
  <c r="AI117" i="65"/>
  <c r="AI128" i="65" s="1"/>
  <c r="AI108" i="65"/>
  <c r="AM147" i="65"/>
  <c r="AM117" i="65"/>
  <c r="AM128" i="65" s="1"/>
  <c r="AM108" i="65"/>
  <c r="AF148" i="65"/>
  <c r="AF142" i="65"/>
  <c r="AJ148" i="65"/>
  <c r="AJ142" i="65"/>
  <c r="AD99" i="65"/>
  <c r="AD101" i="65" s="1"/>
  <c r="AH99" i="65"/>
  <c r="AH101" i="65" s="1"/>
  <c r="AL99" i="65"/>
  <c r="AL101" i="65" s="1"/>
  <c r="AD135" i="65"/>
  <c r="AD113" i="65"/>
  <c r="AL147" i="65"/>
  <c r="AL117" i="65"/>
  <c r="AL128" i="65" s="1"/>
  <c r="AI148" i="65"/>
  <c r="AI142" i="65"/>
  <c r="AK99" i="65"/>
  <c r="AK101" i="65" s="1"/>
  <c r="AK130" i="65"/>
  <c r="AG130" i="65"/>
  <c r="AC130" i="65"/>
  <c r="AJ130" i="65"/>
  <c r="AF130" i="65"/>
  <c r="AM130" i="65"/>
  <c r="AI130" i="65"/>
  <c r="AE130" i="65"/>
  <c r="AH130" i="65"/>
  <c r="AD130" i="65"/>
  <c r="AF147" i="65"/>
  <c r="AF117" i="65"/>
  <c r="AF128" i="65" s="1"/>
  <c r="AF108" i="65"/>
  <c r="AJ147" i="65"/>
  <c r="AJ117" i="65"/>
  <c r="AJ128" i="65" s="1"/>
  <c r="AJ108" i="65"/>
  <c r="AG148" i="65"/>
  <c r="AG142" i="65"/>
  <c r="AK148" i="65"/>
  <c r="AK142" i="65"/>
  <c r="AE99" i="65"/>
  <c r="AE101" i="65" s="1"/>
  <c r="AI99" i="65"/>
  <c r="AI101" i="65" s="1"/>
  <c r="AM99" i="65"/>
  <c r="AM101" i="65" s="1"/>
  <c r="AC128" i="65"/>
  <c r="AH147" i="65"/>
  <c r="AH117" i="65"/>
  <c r="AH128" i="65" s="1"/>
  <c r="AM148" i="65"/>
  <c r="AM142" i="65"/>
  <c r="AG147" i="65"/>
  <c r="AK147" i="65"/>
  <c r="AH148" i="65"/>
  <c r="AH142" i="65"/>
  <c r="AL148" i="65"/>
  <c r="AL142" i="65"/>
  <c r="AD148" i="65"/>
  <c r="AD149" i="65" s="1"/>
  <c r="AD150" i="65" s="1"/>
  <c r="AD142" i="65"/>
  <c r="AF99" i="65"/>
  <c r="AF101" i="65" s="1"/>
  <c r="AJ99" i="65"/>
  <c r="AJ101" i="65" s="1"/>
  <c r="AH108" i="65"/>
  <c r="AK113" i="65"/>
  <c r="AG117" i="65"/>
  <c r="AG128" i="65" s="1"/>
  <c r="AL130" i="65"/>
  <c r="AJ132" i="64"/>
  <c r="AM132" i="64"/>
  <c r="AI132" i="64"/>
  <c r="AE132" i="64"/>
  <c r="AH132" i="64"/>
  <c r="AG132" i="64"/>
  <c r="AL132" i="64"/>
  <c r="AF132" i="64"/>
  <c r="AD132" i="64"/>
  <c r="AK132" i="64"/>
  <c r="AD149" i="64"/>
  <c r="AD119" i="64"/>
  <c r="AD130" i="64" s="1"/>
  <c r="AD110" i="64"/>
  <c r="AD84" i="64"/>
  <c r="AD140" i="64" s="1"/>
  <c r="AH149" i="64"/>
  <c r="AH119" i="64"/>
  <c r="AH130" i="64" s="1"/>
  <c r="AH110" i="64"/>
  <c r="AH84" i="64"/>
  <c r="AH140" i="64" s="1"/>
  <c r="AJ140" i="64"/>
  <c r="AE149" i="64"/>
  <c r="AE119" i="64"/>
  <c r="AE130" i="64" s="1"/>
  <c r="AE110" i="64"/>
  <c r="AI149" i="64"/>
  <c r="AI119" i="64"/>
  <c r="AI130" i="64" s="1"/>
  <c r="AI110" i="64"/>
  <c r="AM119" i="64"/>
  <c r="AM130" i="64" s="1"/>
  <c r="AM110" i="64"/>
  <c r="AM149" i="64"/>
  <c r="AE84" i="64"/>
  <c r="AE140" i="64" s="1"/>
  <c r="AM84" i="64"/>
  <c r="AM140" i="64" s="1"/>
  <c r="AF149" i="64"/>
  <c r="AF119" i="64"/>
  <c r="AF130" i="64" s="1"/>
  <c r="AF110" i="64"/>
  <c r="AJ149" i="64"/>
  <c r="AJ119" i="64"/>
  <c r="AJ130" i="64" s="1"/>
  <c r="AJ110" i="64"/>
  <c r="AF84" i="64"/>
  <c r="AF140" i="64" s="1"/>
  <c r="AG149" i="64"/>
  <c r="AG110" i="64"/>
  <c r="AG119" i="64"/>
  <c r="AG130" i="64" s="1"/>
  <c r="AG84" i="64"/>
  <c r="AG140" i="64" s="1"/>
  <c r="AK149" i="64"/>
  <c r="AK110" i="64"/>
  <c r="AK84" i="64"/>
  <c r="AK140" i="64" s="1"/>
  <c r="AK119" i="64"/>
  <c r="AK130" i="64" s="1"/>
  <c r="AI84" i="64"/>
  <c r="AI140" i="64" s="1"/>
  <c r="AL84" i="64"/>
  <c r="AL140" i="64" s="1"/>
  <c r="AH101" i="64"/>
  <c r="AH103" i="64" s="1"/>
  <c r="H139" i="64"/>
  <c r="L139" i="64"/>
  <c r="AI101" i="64"/>
  <c r="AI103" i="64" s="1"/>
  <c r="E139" i="64"/>
  <c r="I139" i="64"/>
  <c r="M139" i="64"/>
  <c r="AF142" i="64"/>
  <c r="AF101" i="64"/>
  <c r="AF103" i="64" s="1"/>
  <c r="AJ142" i="64"/>
  <c r="AJ101" i="64"/>
  <c r="AJ103" i="64" s="1"/>
  <c r="AD101" i="64"/>
  <c r="AD103" i="64" s="1"/>
  <c r="AL101" i="64"/>
  <c r="AL103" i="64" s="1"/>
  <c r="AL149" i="64"/>
  <c r="AL119" i="64"/>
  <c r="AL130" i="64" s="1"/>
  <c r="AG142" i="64"/>
  <c r="AG101" i="64"/>
  <c r="AG103" i="64" s="1"/>
  <c r="AK142" i="64"/>
  <c r="AK101" i="64"/>
  <c r="AK103" i="64" s="1"/>
  <c r="AE101" i="64"/>
  <c r="AE103" i="64" s="1"/>
  <c r="AM101" i="64"/>
  <c r="AM103" i="64" s="1"/>
  <c r="AE147" i="63"/>
  <c r="AE117" i="63"/>
  <c r="AE128" i="63" s="1"/>
  <c r="AI147" i="63"/>
  <c r="AI117" i="63"/>
  <c r="AI128" i="63" s="1"/>
  <c r="AJ148" i="63"/>
  <c r="AJ142" i="63"/>
  <c r="AD99" i="63"/>
  <c r="AD101" i="63" s="1"/>
  <c r="AH99" i="63"/>
  <c r="AH101" i="63" s="1"/>
  <c r="AL130" i="63"/>
  <c r="AH130" i="63"/>
  <c r="AD130" i="63"/>
  <c r="AK130" i="63"/>
  <c r="AG130" i="63"/>
  <c r="AC130" i="63"/>
  <c r="AF130" i="63"/>
  <c r="AM130" i="63"/>
  <c r="AE130" i="63"/>
  <c r="AJ130" i="63"/>
  <c r="AF147" i="63"/>
  <c r="AF117" i="63"/>
  <c r="AF128" i="63" s="1"/>
  <c r="AJ147" i="63"/>
  <c r="AJ117" i="63"/>
  <c r="AJ128" i="63" s="1"/>
  <c r="AG148" i="63"/>
  <c r="AG142" i="63"/>
  <c r="AK148" i="63"/>
  <c r="AK142" i="63"/>
  <c r="AE99" i="63"/>
  <c r="AE101" i="63" s="1"/>
  <c r="AI99" i="63"/>
  <c r="AI101" i="63" s="1"/>
  <c r="AM99" i="63"/>
  <c r="AM101" i="63" s="1"/>
  <c r="AE108" i="63"/>
  <c r="AI108" i="63"/>
  <c r="AM147" i="63"/>
  <c r="AM117" i="63"/>
  <c r="AM128" i="63" s="1"/>
  <c r="AF148" i="63"/>
  <c r="AF142" i="63"/>
  <c r="AL99" i="63"/>
  <c r="AL101" i="63" s="1"/>
  <c r="AG147" i="63"/>
  <c r="AG117" i="63"/>
  <c r="AG128" i="63" s="1"/>
  <c r="AK147" i="63"/>
  <c r="AK117" i="63"/>
  <c r="AK128" i="63" s="1"/>
  <c r="AH148" i="63"/>
  <c r="AH142" i="63"/>
  <c r="AL148" i="63"/>
  <c r="AL142" i="63"/>
  <c r="AD148" i="63"/>
  <c r="AD142" i="63"/>
  <c r="AF99" i="63"/>
  <c r="AF101" i="63" s="1"/>
  <c r="AJ99" i="63"/>
  <c r="AJ101" i="63" s="1"/>
  <c r="AF108" i="63"/>
  <c r="AJ108" i="63"/>
  <c r="AD117" i="63"/>
  <c r="AD128" i="63" s="1"/>
  <c r="AI130" i="63"/>
  <c r="AC113" i="63"/>
  <c r="AC135" i="63"/>
  <c r="AH147" i="63"/>
  <c r="AL147" i="63"/>
  <c r="AE148" i="63"/>
  <c r="AE142" i="63"/>
  <c r="AI148" i="63"/>
  <c r="AI142" i="63"/>
  <c r="AM148" i="63"/>
  <c r="AM142" i="63"/>
  <c r="AG99" i="63"/>
  <c r="AG101" i="63" s="1"/>
  <c r="AK99" i="63"/>
  <c r="AK101" i="63" s="1"/>
  <c r="AG108" i="63"/>
  <c r="AK108" i="63"/>
  <c r="AL113" i="63"/>
  <c r="AH117" i="63"/>
  <c r="AH128" i="63" s="1"/>
  <c r="AD149" i="63"/>
  <c r="AK137" i="62"/>
  <c r="AK115" i="62"/>
  <c r="AK132" i="62"/>
  <c r="AG132" i="62"/>
  <c r="AJ132" i="62"/>
  <c r="AF132" i="62"/>
  <c r="AM132" i="62"/>
  <c r="AI132" i="62"/>
  <c r="AE132" i="62"/>
  <c r="AD132" i="62"/>
  <c r="AL132" i="62"/>
  <c r="AH132" i="62"/>
  <c r="AG149" i="62"/>
  <c r="AJ84" i="62"/>
  <c r="AJ140" i="62" s="1"/>
  <c r="AG101" i="62"/>
  <c r="AG103" i="62" s="1"/>
  <c r="AD149" i="62"/>
  <c r="AD119" i="62"/>
  <c r="AD130" i="62" s="1"/>
  <c r="AH149" i="62"/>
  <c r="AH119" i="62"/>
  <c r="AH130" i="62" s="1"/>
  <c r="AL149" i="62"/>
  <c r="AL119" i="62"/>
  <c r="AL130" i="62" s="1"/>
  <c r="AG84" i="62"/>
  <c r="AG140" i="62" s="1"/>
  <c r="AK84" i="62"/>
  <c r="AK140" i="62" s="1"/>
  <c r="AD101" i="62"/>
  <c r="AD103" i="62" s="1"/>
  <c r="AH101" i="62"/>
  <c r="AH103" i="62" s="1"/>
  <c r="AL101" i="62"/>
  <c r="AL103" i="62" s="1"/>
  <c r="AD110" i="62"/>
  <c r="AH110" i="62"/>
  <c r="AL110" i="62"/>
  <c r="AK149" i="62"/>
  <c r="AF140" i="62"/>
  <c r="AK101" i="62"/>
  <c r="AK103" i="62" s="1"/>
  <c r="AK110" i="62"/>
  <c r="AH140" i="60"/>
  <c r="AH144" i="60" s="1"/>
  <c r="AG142" i="61"/>
  <c r="AE149" i="62"/>
  <c r="AE119" i="62"/>
  <c r="AE130" i="62" s="1"/>
  <c r="AI149" i="62"/>
  <c r="AI119" i="62"/>
  <c r="AI130" i="62" s="1"/>
  <c r="AM149" i="62"/>
  <c r="AM119" i="62"/>
  <c r="AM130" i="62" s="1"/>
  <c r="AD84" i="62"/>
  <c r="AD140" i="62" s="1"/>
  <c r="AH84" i="62"/>
  <c r="AH140" i="62" s="1"/>
  <c r="AL84" i="62"/>
  <c r="AL140" i="62" s="1"/>
  <c r="AE101" i="62"/>
  <c r="AE103" i="62" s="1"/>
  <c r="AI101" i="62"/>
  <c r="AI103" i="62" s="1"/>
  <c r="AM101" i="62"/>
  <c r="AM103" i="62" s="1"/>
  <c r="AE110" i="62"/>
  <c r="AI110" i="62"/>
  <c r="AM110" i="62"/>
  <c r="AG110" i="62"/>
  <c r="AG119" i="62"/>
  <c r="AG130" i="62" s="1"/>
  <c r="AF149" i="62"/>
  <c r="AF119" i="62"/>
  <c r="AF130" i="62" s="1"/>
  <c r="AJ149" i="62"/>
  <c r="AJ119" i="62"/>
  <c r="AJ130" i="62" s="1"/>
  <c r="AE84" i="62"/>
  <c r="AE140" i="62" s="1"/>
  <c r="AI84" i="62"/>
  <c r="AI140" i="62" s="1"/>
  <c r="AM84" i="62"/>
  <c r="AM140" i="62" s="1"/>
  <c r="AF101" i="62"/>
  <c r="AF103" i="62" s="1"/>
  <c r="AJ101" i="62"/>
  <c r="AJ103" i="62" s="1"/>
  <c r="AF110" i="62"/>
  <c r="AJ110" i="62"/>
  <c r="AD99" i="61"/>
  <c r="AD101" i="61" s="1"/>
  <c r="AE147" i="61"/>
  <c r="AE117" i="61"/>
  <c r="AE128" i="61" s="1"/>
  <c r="AE108" i="61"/>
  <c r="AI147" i="61"/>
  <c r="AI108" i="61"/>
  <c r="AI117" i="61"/>
  <c r="AI128" i="61" s="1"/>
  <c r="AM147" i="61"/>
  <c r="AM117" i="61"/>
  <c r="AM128" i="61" s="1"/>
  <c r="AM108" i="61"/>
  <c r="AF148" i="61"/>
  <c r="AF142" i="61"/>
  <c r="AJ148" i="61"/>
  <c r="AJ142" i="61"/>
  <c r="AH99" i="61"/>
  <c r="AH101" i="61" s="1"/>
  <c r="AL142" i="60"/>
  <c r="AL101" i="60"/>
  <c r="AL103" i="60" s="1"/>
  <c r="AL111" i="60" s="1"/>
  <c r="AH101" i="60"/>
  <c r="AH103" i="60" s="1"/>
  <c r="AH111" i="60" s="1"/>
  <c r="AL99" i="61"/>
  <c r="AL101" i="61" s="1"/>
  <c r="AD140" i="60"/>
  <c r="AD150" i="60" s="1"/>
  <c r="AL140" i="60"/>
  <c r="AG99" i="61"/>
  <c r="AG101" i="61" s="1"/>
  <c r="AG140" i="61"/>
  <c r="AK140" i="61"/>
  <c r="AK99" i="61"/>
  <c r="AK101" i="61" s="1"/>
  <c r="AI148" i="61"/>
  <c r="AI142" i="61"/>
  <c r="AM130" i="61"/>
  <c r="AI130" i="61"/>
  <c r="AE130" i="61"/>
  <c r="AH130" i="61"/>
  <c r="AC130" i="61"/>
  <c r="AL130" i="61"/>
  <c r="AG130" i="61"/>
  <c r="AK130" i="61"/>
  <c r="AF130" i="61"/>
  <c r="AF147" i="61"/>
  <c r="AF117" i="61"/>
  <c r="AF128" i="61" s="1"/>
  <c r="AJ147" i="61"/>
  <c r="AJ117" i="61"/>
  <c r="AJ128" i="61" s="1"/>
  <c r="AK142" i="61"/>
  <c r="AK148" i="61"/>
  <c r="AE99" i="61"/>
  <c r="AE101" i="61" s="1"/>
  <c r="AI99" i="61"/>
  <c r="AI101" i="61" s="1"/>
  <c r="AM99" i="61"/>
  <c r="AM101" i="61" s="1"/>
  <c r="AG147" i="61"/>
  <c r="AG117" i="61"/>
  <c r="AG128" i="61" s="1"/>
  <c r="AK117" i="61"/>
  <c r="AK128" i="61" s="1"/>
  <c r="AK147" i="61"/>
  <c r="AH148" i="61"/>
  <c r="AH142" i="61"/>
  <c r="AL148" i="61"/>
  <c r="AL142" i="61"/>
  <c r="AD148" i="61"/>
  <c r="AD149" i="61" s="1"/>
  <c r="AD142" i="61"/>
  <c r="AF99" i="61"/>
  <c r="AF101" i="61" s="1"/>
  <c r="AJ99" i="61"/>
  <c r="AJ101" i="61" s="1"/>
  <c r="AF108" i="61"/>
  <c r="AJ108" i="61"/>
  <c r="AD130" i="61"/>
  <c r="AG84" i="57"/>
  <c r="AG140" i="57" s="1"/>
  <c r="AG150" i="57" s="1"/>
  <c r="AD128" i="61"/>
  <c r="AC128" i="61"/>
  <c r="AH147" i="61"/>
  <c r="AH117" i="61"/>
  <c r="AH128" i="61" s="1"/>
  <c r="AL147" i="61"/>
  <c r="AL117" i="61"/>
  <c r="AL128" i="61" s="1"/>
  <c r="AE148" i="61"/>
  <c r="AE142" i="61"/>
  <c r="AM148" i="61"/>
  <c r="AM142" i="61"/>
  <c r="AG108" i="61"/>
  <c r="AK108" i="61"/>
  <c r="AJ130" i="61"/>
  <c r="AJ132" i="60"/>
  <c r="AF132" i="60"/>
  <c r="AL132" i="60"/>
  <c r="AG132" i="60"/>
  <c r="AK132" i="60"/>
  <c r="AE132" i="60"/>
  <c r="AI132" i="60"/>
  <c r="AD132" i="60"/>
  <c r="AM132" i="60"/>
  <c r="AH132" i="60"/>
  <c r="AE149" i="60"/>
  <c r="AE119" i="60"/>
  <c r="AE130" i="60" s="1"/>
  <c r="AI149" i="60"/>
  <c r="AI119" i="60"/>
  <c r="AI130" i="60" s="1"/>
  <c r="AI110" i="60"/>
  <c r="AM119" i="60"/>
  <c r="AM130" i="60" s="1"/>
  <c r="AM149" i="60"/>
  <c r="AM110" i="60"/>
  <c r="G139" i="60"/>
  <c r="K139" i="60"/>
  <c r="AG142" i="60"/>
  <c r="AG101" i="60"/>
  <c r="AG103" i="60" s="1"/>
  <c r="AK142" i="60"/>
  <c r="AK101" i="60"/>
  <c r="AK103" i="60" s="1"/>
  <c r="AE110" i="60"/>
  <c r="AF149" i="60"/>
  <c r="AF119" i="60"/>
  <c r="AF130" i="60" s="1"/>
  <c r="AF110" i="60"/>
  <c r="AJ149" i="60"/>
  <c r="AJ119" i="60"/>
  <c r="AJ130" i="60" s="1"/>
  <c r="AE84" i="60"/>
  <c r="AE140" i="60" s="1"/>
  <c r="AI84" i="60"/>
  <c r="AI140" i="60" s="1"/>
  <c r="AM84" i="60"/>
  <c r="AM140" i="60" s="1"/>
  <c r="H139" i="60"/>
  <c r="L139" i="60"/>
  <c r="AF143" i="60"/>
  <c r="AF101" i="60"/>
  <c r="AF103" i="60" s="1"/>
  <c r="AJ143" i="60"/>
  <c r="AJ101" i="60"/>
  <c r="AJ103" i="60" s="1"/>
  <c r="AJ110" i="60"/>
  <c r="AG149" i="60"/>
  <c r="AG110" i="60"/>
  <c r="AG119" i="60"/>
  <c r="AG130" i="60" s="1"/>
  <c r="AK149" i="60"/>
  <c r="AK110" i="60"/>
  <c r="AK119" i="60"/>
  <c r="AK130" i="60" s="1"/>
  <c r="AF84" i="60"/>
  <c r="AF140" i="60" s="1"/>
  <c r="AJ84" i="60"/>
  <c r="AJ140" i="60" s="1"/>
  <c r="E139" i="60"/>
  <c r="I139" i="60"/>
  <c r="M139" i="60"/>
  <c r="AE142" i="60"/>
  <c r="AE101" i="60"/>
  <c r="AE103" i="60" s="1"/>
  <c r="AI142" i="60"/>
  <c r="AI101" i="60"/>
  <c r="AI103" i="60" s="1"/>
  <c r="AM142" i="60"/>
  <c r="AM101" i="60"/>
  <c r="AM103" i="60" s="1"/>
  <c r="AD110" i="60"/>
  <c r="AD119" i="60"/>
  <c r="AD130" i="60" s="1"/>
  <c r="AD149" i="60"/>
  <c r="AH119" i="60"/>
  <c r="AH130" i="60" s="1"/>
  <c r="AH149" i="60"/>
  <c r="AH110" i="60"/>
  <c r="AL149" i="60"/>
  <c r="AL119" i="60"/>
  <c r="AL130" i="60" s="1"/>
  <c r="AL110" i="60"/>
  <c r="AG84" i="60"/>
  <c r="AG140" i="60" s="1"/>
  <c r="AK84" i="60"/>
  <c r="AK140" i="60" s="1"/>
  <c r="AD101" i="60"/>
  <c r="AD103" i="60" s="1"/>
  <c r="AI135" i="59"/>
  <c r="AI113" i="59"/>
  <c r="AE135" i="59"/>
  <c r="AE113" i="59"/>
  <c r="AF147" i="59"/>
  <c r="AF117" i="59"/>
  <c r="AF128" i="59" s="1"/>
  <c r="AF108" i="59"/>
  <c r="AK148" i="59"/>
  <c r="AK142" i="59"/>
  <c r="AI99" i="59"/>
  <c r="AI101" i="59" s="1"/>
  <c r="AK84" i="57"/>
  <c r="AK140" i="57" s="1"/>
  <c r="AK150" i="57" s="1"/>
  <c r="AG147" i="59"/>
  <c r="AG117" i="59"/>
  <c r="AG128" i="59" s="1"/>
  <c r="AG108" i="59"/>
  <c r="AK147" i="59"/>
  <c r="AK117" i="59"/>
  <c r="AK128" i="59" s="1"/>
  <c r="AK108" i="59"/>
  <c r="AH148" i="59"/>
  <c r="AH142" i="59"/>
  <c r="AL148" i="59"/>
  <c r="AL142" i="59"/>
  <c r="AD148" i="59"/>
  <c r="AD149" i="59" s="1"/>
  <c r="AD142" i="59"/>
  <c r="AF99" i="59"/>
  <c r="AF101" i="59" s="1"/>
  <c r="AJ99" i="59"/>
  <c r="AJ101" i="59" s="1"/>
  <c r="AE108" i="59"/>
  <c r="AD117" i="59"/>
  <c r="AD128" i="59" s="1"/>
  <c r="AC117" i="59"/>
  <c r="AC128" i="59" s="1"/>
  <c r="AH147" i="59"/>
  <c r="AH117" i="59"/>
  <c r="AH128" i="59" s="1"/>
  <c r="AH108" i="59"/>
  <c r="AL147" i="59"/>
  <c r="AL117" i="59"/>
  <c r="AL128" i="59" s="1"/>
  <c r="AL108" i="59"/>
  <c r="AE148" i="59"/>
  <c r="AE142" i="59"/>
  <c r="AI148" i="59"/>
  <c r="AI142" i="59"/>
  <c r="AM148" i="59"/>
  <c r="AM142" i="59"/>
  <c r="AG99" i="59"/>
  <c r="AG101" i="59" s="1"/>
  <c r="AK99" i="59"/>
  <c r="AK101" i="59" s="1"/>
  <c r="AI108" i="59"/>
  <c r="AL130" i="59"/>
  <c r="AH130" i="59"/>
  <c r="AD130" i="59"/>
  <c r="AK130" i="59"/>
  <c r="AG130" i="59"/>
  <c r="AC130" i="59"/>
  <c r="AJ130" i="59"/>
  <c r="AF130" i="59"/>
  <c r="AM130" i="59"/>
  <c r="AI130" i="59"/>
  <c r="AJ147" i="59"/>
  <c r="AJ117" i="59"/>
  <c r="AJ128" i="59" s="1"/>
  <c r="AJ108" i="59"/>
  <c r="AG148" i="59"/>
  <c r="AG142" i="59"/>
  <c r="AE99" i="59"/>
  <c r="AE101" i="59" s="1"/>
  <c r="AM99" i="59"/>
  <c r="AM101" i="59" s="1"/>
  <c r="AE147" i="59"/>
  <c r="AI147" i="59"/>
  <c r="AM149" i="59"/>
  <c r="AF148" i="59"/>
  <c r="AF142" i="59"/>
  <c r="AJ148" i="59"/>
  <c r="AJ142" i="59"/>
  <c r="AD99" i="59"/>
  <c r="AD101" i="59" s="1"/>
  <c r="AH99" i="59"/>
  <c r="AH101" i="59" s="1"/>
  <c r="AL99" i="59"/>
  <c r="AL101" i="59" s="1"/>
  <c r="AM108" i="59"/>
  <c r="AM117" i="59"/>
  <c r="AM128" i="59" s="1"/>
  <c r="AJ115" i="57"/>
  <c r="AJ137" i="57"/>
  <c r="AL132" i="57"/>
  <c r="AH132" i="57"/>
  <c r="AD132" i="57"/>
  <c r="AK132" i="57"/>
  <c r="AG132" i="57"/>
  <c r="AJ132" i="57"/>
  <c r="AF132" i="57"/>
  <c r="AI132" i="57"/>
  <c r="AE132" i="57"/>
  <c r="AM132" i="57"/>
  <c r="AF119" i="57"/>
  <c r="AF130" i="57" s="1"/>
  <c r="AH149" i="57"/>
  <c r="AH119" i="57"/>
  <c r="AH130" i="57" s="1"/>
  <c r="AH110" i="57"/>
  <c r="AH101" i="57"/>
  <c r="AH103" i="57" s="1"/>
  <c r="AE149" i="57"/>
  <c r="AE119" i="57"/>
  <c r="AE130" i="57" s="1"/>
  <c r="AE110" i="57"/>
  <c r="AI149" i="57"/>
  <c r="AI119" i="57"/>
  <c r="AI130" i="57" s="1"/>
  <c r="AI110" i="57"/>
  <c r="AM149" i="57"/>
  <c r="AM119" i="57"/>
  <c r="AM130" i="57" s="1"/>
  <c r="AM110" i="57"/>
  <c r="AD140" i="57"/>
  <c r="AL140" i="57"/>
  <c r="AH84" i="57"/>
  <c r="AH140" i="57" s="1"/>
  <c r="AE101" i="57"/>
  <c r="AE103" i="57" s="1"/>
  <c r="AI101" i="57"/>
  <c r="AI103" i="57" s="1"/>
  <c r="AM101" i="57"/>
  <c r="AM103" i="57" s="1"/>
  <c r="AF149" i="57"/>
  <c r="AF110" i="57"/>
  <c r="AJ149" i="57"/>
  <c r="AJ110" i="57"/>
  <c r="AE84" i="57"/>
  <c r="AE140" i="57" s="1"/>
  <c r="AI84" i="57"/>
  <c r="AI140" i="57" s="1"/>
  <c r="AM84" i="57"/>
  <c r="AM140" i="57" s="1"/>
  <c r="AF101" i="57"/>
  <c r="AF103" i="57" s="1"/>
  <c r="AJ101" i="57"/>
  <c r="AJ103" i="57" s="1"/>
  <c r="AD149" i="57"/>
  <c r="AD119" i="57"/>
  <c r="AD130" i="57" s="1"/>
  <c r="AD110" i="57"/>
  <c r="AL149" i="57"/>
  <c r="AL119" i="57"/>
  <c r="AL130" i="57" s="1"/>
  <c r="AL110" i="57"/>
  <c r="AD101" i="57"/>
  <c r="AD103" i="57" s="1"/>
  <c r="AL101" i="57"/>
  <c r="AL103" i="57" s="1"/>
  <c r="AG149" i="57"/>
  <c r="AG119" i="57"/>
  <c r="AG130" i="57" s="1"/>
  <c r="AK149" i="57"/>
  <c r="AK119" i="57"/>
  <c r="AK130" i="57" s="1"/>
  <c r="AF84" i="57"/>
  <c r="AF140" i="57" s="1"/>
  <c r="AJ84" i="57"/>
  <c r="AJ140" i="57" s="1"/>
  <c r="AG101" i="57"/>
  <c r="AG103" i="57" s="1"/>
  <c r="AK101" i="57"/>
  <c r="AK103" i="57" s="1"/>
  <c r="C159" i="47"/>
  <c r="C158" i="47"/>
  <c r="C157" i="47"/>
  <c r="D39" i="47"/>
  <c r="E18" i="47"/>
  <c r="E17" i="47"/>
  <c r="E22" i="47"/>
  <c r="H12" i="52"/>
  <c r="D22" i="52" s="1"/>
  <c r="D40" i="52"/>
  <c r="E97" i="52"/>
  <c r="G10" i="52"/>
  <c r="G12" i="52" l="1"/>
  <c r="D21" i="52" s="1"/>
  <c r="AH150" i="60"/>
  <c r="AH151" i="60" s="1"/>
  <c r="AH152" i="60" s="1"/>
  <c r="AD150" i="59"/>
  <c r="AD150" i="61"/>
  <c r="AD150" i="63"/>
  <c r="AM150" i="59"/>
  <c r="AL150" i="60"/>
  <c r="AL151" i="60" s="1"/>
  <c r="AL152" i="60" s="1"/>
  <c r="AJ110" i="65"/>
  <c r="AJ109" i="65"/>
  <c r="AC135" i="65"/>
  <c r="AC113" i="65"/>
  <c r="AK109" i="65"/>
  <c r="AK110" i="65"/>
  <c r="AL149" i="65"/>
  <c r="AL150" i="65" s="1"/>
  <c r="AL111" i="65"/>
  <c r="AH110" i="65"/>
  <c r="AH109" i="65"/>
  <c r="AL144" i="60"/>
  <c r="AG135" i="65"/>
  <c r="AG113" i="65"/>
  <c r="AF110" i="65"/>
  <c r="AF109" i="65"/>
  <c r="AG149" i="65"/>
  <c r="AG150" i="65" s="1"/>
  <c r="AG111" i="65"/>
  <c r="AH149" i="65"/>
  <c r="AH150" i="65" s="1"/>
  <c r="AH111" i="65"/>
  <c r="AM110" i="65"/>
  <c r="AM109" i="65"/>
  <c r="AF135" i="65"/>
  <c r="AF113" i="65"/>
  <c r="AD109" i="65"/>
  <c r="AD110" i="65"/>
  <c r="AM113" i="65"/>
  <c r="AM135" i="65"/>
  <c r="AI135" i="65"/>
  <c r="AI113" i="65"/>
  <c r="AE135" i="65"/>
  <c r="AE113" i="65"/>
  <c r="AI110" i="65"/>
  <c r="AI109" i="65"/>
  <c r="AJ135" i="65"/>
  <c r="AJ113" i="65"/>
  <c r="AF149" i="65"/>
  <c r="AF150" i="65" s="1"/>
  <c r="AF111" i="65"/>
  <c r="AL135" i="65"/>
  <c r="AL113" i="65"/>
  <c r="AK149" i="65"/>
  <c r="AK150" i="65" s="1"/>
  <c r="AK111" i="65"/>
  <c r="AH135" i="65"/>
  <c r="AH113" i="65"/>
  <c r="AE110" i="65"/>
  <c r="AE109" i="65"/>
  <c r="AJ149" i="65"/>
  <c r="AJ150" i="65" s="1"/>
  <c r="AJ111" i="65"/>
  <c r="AL109" i="65"/>
  <c r="AL110" i="65"/>
  <c r="AM149" i="65"/>
  <c r="AM150" i="65" s="1"/>
  <c r="AM111" i="65"/>
  <c r="AI149" i="65"/>
  <c r="AI150" i="65" s="1"/>
  <c r="AI111" i="65"/>
  <c r="AE149" i="65"/>
  <c r="AE150" i="65" s="1"/>
  <c r="AE111" i="65"/>
  <c r="AG109" i="65"/>
  <c r="AG110" i="65"/>
  <c r="AI144" i="64"/>
  <c r="AI150" i="64"/>
  <c r="AI151" i="64" s="1"/>
  <c r="AI152" i="64" s="1"/>
  <c r="AL150" i="64"/>
  <c r="AL151" i="64" s="1"/>
  <c r="AL152" i="64" s="1"/>
  <c r="AL144" i="64"/>
  <c r="AF150" i="64"/>
  <c r="AF151" i="64" s="1"/>
  <c r="AF152" i="64" s="1"/>
  <c r="AF144" i="64"/>
  <c r="AE112" i="64"/>
  <c r="AE111" i="64"/>
  <c r="AG112" i="64"/>
  <c r="AG111" i="64"/>
  <c r="AK150" i="64"/>
  <c r="AK151" i="64" s="1"/>
  <c r="AK152" i="64" s="1"/>
  <c r="AK144" i="64"/>
  <c r="AL113" i="64"/>
  <c r="AJ112" i="64"/>
  <c r="AJ111" i="64"/>
  <c r="AH112" i="64"/>
  <c r="AH111" i="64"/>
  <c r="AM150" i="64"/>
  <c r="AM151" i="64" s="1"/>
  <c r="AM152" i="64" s="1"/>
  <c r="AM144" i="64"/>
  <c r="AG113" i="64"/>
  <c r="AD137" i="64"/>
  <c r="AD115" i="64"/>
  <c r="AG150" i="64"/>
  <c r="AG151" i="64" s="1"/>
  <c r="AG152" i="64" s="1"/>
  <c r="AG144" i="64"/>
  <c r="AL111" i="64"/>
  <c r="AL112" i="64"/>
  <c r="AG137" i="64"/>
  <c r="AG115" i="64"/>
  <c r="AH144" i="64"/>
  <c r="AH150" i="64"/>
  <c r="AH151" i="64" s="1"/>
  <c r="AH152" i="64" s="1"/>
  <c r="AJ137" i="64"/>
  <c r="AJ115" i="64"/>
  <c r="AF137" i="64"/>
  <c r="AF115" i="64"/>
  <c r="AI137" i="64"/>
  <c r="AI115" i="64"/>
  <c r="AE137" i="64"/>
  <c r="AE115" i="64"/>
  <c r="AH113" i="64"/>
  <c r="AD113" i="64"/>
  <c r="AK112" i="64"/>
  <c r="AK111" i="64"/>
  <c r="AL137" i="64"/>
  <c r="AL115" i="64"/>
  <c r="AD111" i="64"/>
  <c r="AD112" i="64"/>
  <c r="AF112" i="64"/>
  <c r="AF111" i="64"/>
  <c r="AI111" i="64"/>
  <c r="AI112" i="64"/>
  <c r="AE150" i="64"/>
  <c r="AE151" i="64" s="1"/>
  <c r="AE152" i="64" s="1"/>
  <c r="AE144" i="64"/>
  <c r="AD150" i="64"/>
  <c r="AD151" i="64" s="1"/>
  <c r="AD152" i="64" s="1"/>
  <c r="AD144" i="64"/>
  <c r="AJ113" i="64"/>
  <c r="AF113" i="64"/>
  <c r="AM137" i="64"/>
  <c r="AM115" i="64"/>
  <c r="AI113" i="64"/>
  <c r="AE113" i="64"/>
  <c r="AM112" i="64"/>
  <c r="AM111" i="64"/>
  <c r="AK137" i="64"/>
  <c r="AK115" i="64"/>
  <c r="AK113" i="64"/>
  <c r="AM113" i="64"/>
  <c r="AJ150" i="64"/>
  <c r="AJ151" i="64" s="1"/>
  <c r="AJ152" i="64" s="1"/>
  <c r="AJ144" i="64"/>
  <c r="AH137" i="64"/>
  <c r="AH115" i="64"/>
  <c r="AG135" i="63"/>
  <c r="AG113" i="63"/>
  <c r="AJ113" i="63"/>
  <c r="AJ135" i="63"/>
  <c r="AD109" i="63"/>
  <c r="AD110" i="63"/>
  <c r="AE149" i="63"/>
  <c r="AE150" i="63" s="1"/>
  <c r="AE111" i="63"/>
  <c r="AH135" i="63"/>
  <c r="AH113" i="63"/>
  <c r="AK110" i="63"/>
  <c r="AK109" i="63"/>
  <c r="AH149" i="63"/>
  <c r="AH150" i="63" s="1"/>
  <c r="AH111" i="63"/>
  <c r="AJ110" i="63"/>
  <c r="AJ109" i="63"/>
  <c r="AK113" i="63"/>
  <c r="AK135" i="63"/>
  <c r="AG111" i="63"/>
  <c r="AG149" i="63"/>
  <c r="AG150" i="63" s="1"/>
  <c r="AM149" i="63"/>
  <c r="AM150" i="63" s="1"/>
  <c r="AM111" i="63"/>
  <c r="AM110" i="63"/>
  <c r="AM109" i="63"/>
  <c r="AF149" i="63"/>
  <c r="AF150" i="63" s="1"/>
  <c r="AF111" i="63"/>
  <c r="AI149" i="63"/>
  <c r="AI150" i="63" s="1"/>
  <c r="AI111" i="63"/>
  <c r="AG110" i="63"/>
  <c r="AG109" i="63"/>
  <c r="AD135" i="63"/>
  <c r="AD113" i="63"/>
  <c r="AF110" i="63"/>
  <c r="AF109" i="63"/>
  <c r="AK149" i="63"/>
  <c r="AK150" i="63" s="1"/>
  <c r="AK111" i="63"/>
  <c r="AL110" i="63"/>
  <c r="AL109" i="63"/>
  <c r="AI110" i="63"/>
  <c r="AI109" i="63"/>
  <c r="AJ149" i="63"/>
  <c r="AJ150" i="63" s="1"/>
  <c r="AJ111" i="63"/>
  <c r="AE135" i="63"/>
  <c r="AE113" i="63"/>
  <c r="AL149" i="63"/>
  <c r="AL150" i="63" s="1"/>
  <c r="AL111" i="63"/>
  <c r="AM135" i="63"/>
  <c r="AM113" i="63"/>
  <c r="AE110" i="63"/>
  <c r="AE109" i="63"/>
  <c r="AF135" i="63"/>
  <c r="AF113" i="63"/>
  <c r="AH110" i="63"/>
  <c r="AH109" i="63"/>
  <c r="AI135" i="63"/>
  <c r="AI113" i="63"/>
  <c r="AM150" i="62"/>
  <c r="AM151" i="62" s="1"/>
  <c r="AM152" i="62" s="1"/>
  <c r="AM144" i="62"/>
  <c r="AK150" i="62"/>
  <c r="AK151" i="62" s="1"/>
  <c r="AK152" i="62" s="1"/>
  <c r="AK144" i="62"/>
  <c r="AG150" i="62"/>
  <c r="AG151" i="62" s="1"/>
  <c r="AG152" i="62" s="1"/>
  <c r="AG144" i="62"/>
  <c r="AE150" i="62"/>
  <c r="AE151" i="62" s="1"/>
  <c r="AE152" i="62" s="1"/>
  <c r="AE144" i="62"/>
  <c r="AH150" i="62"/>
  <c r="AH151" i="62" s="1"/>
  <c r="AH152" i="62" s="1"/>
  <c r="AH144" i="62"/>
  <c r="AF137" i="62"/>
  <c r="AF115" i="62"/>
  <c r="AM112" i="62"/>
  <c r="AM111" i="62"/>
  <c r="AD150" i="62"/>
  <c r="AD151" i="62" s="1"/>
  <c r="AD152" i="62" s="1"/>
  <c r="AD144" i="62"/>
  <c r="AI113" i="62"/>
  <c r="AK113" i="62"/>
  <c r="AD112" i="62"/>
  <c r="AD111" i="62"/>
  <c r="AL113" i="62"/>
  <c r="AD137" i="62"/>
  <c r="AD115" i="62"/>
  <c r="AJ137" i="62"/>
  <c r="AJ115" i="62"/>
  <c r="AF113" i="62"/>
  <c r="AI112" i="62"/>
  <c r="AI111" i="62"/>
  <c r="AM137" i="62"/>
  <c r="AM115" i="62"/>
  <c r="AE137" i="62"/>
  <c r="AE115" i="62"/>
  <c r="AH137" i="62"/>
  <c r="AH115" i="62"/>
  <c r="AG113" i="62"/>
  <c r="AJ112" i="62"/>
  <c r="AJ111" i="62"/>
  <c r="AI150" i="62"/>
  <c r="AI151" i="62" s="1"/>
  <c r="AI152" i="62" s="1"/>
  <c r="AI144" i="62"/>
  <c r="AJ113" i="62"/>
  <c r="AG137" i="62"/>
  <c r="AG115" i="62"/>
  <c r="AE112" i="62"/>
  <c r="AE111" i="62"/>
  <c r="AL144" i="62"/>
  <c r="AL150" i="62"/>
  <c r="AL151" i="62" s="1"/>
  <c r="AL152" i="62" s="1"/>
  <c r="AM113" i="62"/>
  <c r="AE113" i="62"/>
  <c r="AK112" i="62"/>
  <c r="AK111" i="62"/>
  <c r="AF150" i="62"/>
  <c r="AF151" i="62" s="1"/>
  <c r="AF152" i="62" s="1"/>
  <c r="AF144" i="62"/>
  <c r="AL112" i="62"/>
  <c r="AL111" i="62"/>
  <c r="AL137" i="62"/>
  <c r="AL115" i="62"/>
  <c r="AD113" i="62"/>
  <c r="AF112" i="62"/>
  <c r="AF111" i="62"/>
  <c r="AJ150" i="62"/>
  <c r="AJ151" i="62" s="1"/>
  <c r="AJ152" i="62" s="1"/>
  <c r="AJ144" i="62"/>
  <c r="AI115" i="62"/>
  <c r="AI137" i="62"/>
  <c r="AH112" i="62"/>
  <c r="AH111" i="62"/>
  <c r="AH113" i="62"/>
  <c r="AG112" i="62"/>
  <c r="AG111" i="62"/>
  <c r="AH135" i="61"/>
  <c r="AH113" i="61"/>
  <c r="AI110" i="61"/>
  <c r="AI109" i="61"/>
  <c r="AI135" i="61"/>
  <c r="AI113" i="61"/>
  <c r="AH149" i="61"/>
  <c r="AH150" i="61" s="1"/>
  <c r="AH111" i="61"/>
  <c r="AJ110" i="61"/>
  <c r="AJ109" i="61"/>
  <c r="AE110" i="61"/>
  <c r="AE109" i="61"/>
  <c r="AF135" i="61"/>
  <c r="AF113" i="61"/>
  <c r="AL110" i="61"/>
  <c r="AL109" i="61"/>
  <c r="AM135" i="61"/>
  <c r="AM113" i="61"/>
  <c r="AE135" i="61"/>
  <c r="AE113" i="61"/>
  <c r="AK135" i="61"/>
  <c r="AK113" i="61"/>
  <c r="AD144" i="60"/>
  <c r="AL135" i="61"/>
  <c r="AL113" i="61"/>
  <c r="AC135" i="61"/>
  <c r="AC113" i="61"/>
  <c r="AF110" i="61"/>
  <c r="AF109" i="61"/>
  <c r="AG135" i="61"/>
  <c r="AG113" i="61"/>
  <c r="AJ135" i="61"/>
  <c r="AJ113" i="61"/>
  <c r="AG110" i="61"/>
  <c r="AG109" i="61"/>
  <c r="AE149" i="61"/>
  <c r="AE150" i="61" s="1"/>
  <c r="AE111" i="61"/>
  <c r="AD110" i="61"/>
  <c r="AD109" i="61"/>
  <c r="AG149" i="61"/>
  <c r="AG150" i="61" s="1"/>
  <c r="AG111" i="61"/>
  <c r="AJ149" i="61"/>
  <c r="AJ150" i="61" s="1"/>
  <c r="AJ111" i="61"/>
  <c r="AL149" i="61"/>
  <c r="AL150" i="61" s="1"/>
  <c r="AL111" i="61"/>
  <c r="AD135" i="61"/>
  <c r="AD113" i="61"/>
  <c r="AK149" i="61"/>
  <c r="AK150" i="61" s="1"/>
  <c r="AK111" i="61"/>
  <c r="AM110" i="61"/>
  <c r="AM109" i="61"/>
  <c r="AF149" i="61"/>
  <c r="AF150" i="61" s="1"/>
  <c r="AF111" i="61"/>
  <c r="AK110" i="61"/>
  <c r="AK109" i="61"/>
  <c r="AH110" i="61"/>
  <c r="AH109" i="61"/>
  <c r="AM149" i="61"/>
  <c r="AM150" i="61" s="1"/>
  <c r="AM111" i="61"/>
  <c r="AI149" i="61"/>
  <c r="AI150" i="61" s="1"/>
  <c r="AI111" i="61"/>
  <c r="AG150" i="60"/>
  <c r="AG151" i="60" s="1"/>
  <c r="AG152" i="60" s="1"/>
  <c r="AG144" i="60"/>
  <c r="AF150" i="60"/>
  <c r="AF151" i="60" s="1"/>
  <c r="AF152" i="60" s="1"/>
  <c r="AF144" i="60"/>
  <c r="AM150" i="60"/>
  <c r="AM144" i="60"/>
  <c r="AK150" i="60"/>
  <c r="AK151" i="60" s="1"/>
  <c r="AK152" i="60" s="1"/>
  <c r="AK144" i="60"/>
  <c r="AJ150" i="60"/>
  <c r="AJ151" i="60" s="1"/>
  <c r="AJ152" i="60" s="1"/>
  <c r="AJ144" i="60"/>
  <c r="AI144" i="60"/>
  <c r="AI150" i="60"/>
  <c r="AI151" i="60" s="1"/>
  <c r="AI152" i="60" s="1"/>
  <c r="AD111" i="60"/>
  <c r="AD112" i="60"/>
  <c r="AL137" i="60"/>
  <c r="AL115" i="60"/>
  <c r="AH113" i="60"/>
  <c r="AD137" i="60"/>
  <c r="AD115" i="60"/>
  <c r="AM111" i="60"/>
  <c r="AM112" i="60"/>
  <c r="AE111" i="60"/>
  <c r="AE112" i="60"/>
  <c r="AK137" i="60"/>
  <c r="AK115" i="60"/>
  <c r="AE150" i="60"/>
  <c r="AE151" i="60" s="1"/>
  <c r="AE152" i="60" s="1"/>
  <c r="AE144" i="60"/>
  <c r="AM151" i="60"/>
  <c r="AM152" i="60" s="1"/>
  <c r="AM113" i="60"/>
  <c r="AI137" i="60"/>
  <c r="AI115" i="60"/>
  <c r="AE113" i="60"/>
  <c r="AL113" i="60"/>
  <c r="AH115" i="60"/>
  <c r="AH137" i="60"/>
  <c r="AG137" i="60"/>
  <c r="AG115" i="60"/>
  <c r="AF112" i="60"/>
  <c r="AF111" i="60"/>
  <c r="AK112" i="60"/>
  <c r="AK111" i="60"/>
  <c r="AI111" i="60"/>
  <c r="AI112" i="60"/>
  <c r="AJ137" i="60"/>
  <c r="AJ115" i="60"/>
  <c r="AF137" i="60"/>
  <c r="AF115" i="60"/>
  <c r="AM115" i="60"/>
  <c r="AM137" i="60"/>
  <c r="AI113" i="60"/>
  <c r="AH112" i="60"/>
  <c r="AD151" i="60"/>
  <c r="AD152" i="60" s="1"/>
  <c r="AD113" i="60"/>
  <c r="AK113" i="60"/>
  <c r="AG113" i="60"/>
  <c r="AJ111" i="60"/>
  <c r="AJ112" i="60"/>
  <c r="AJ113" i="60"/>
  <c r="AF113" i="60"/>
  <c r="AG112" i="60"/>
  <c r="AG111" i="60"/>
  <c r="AE137" i="60"/>
  <c r="AE115" i="60"/>
  <c r="AL112" i="60"/>
  <c r="AH110" i="59"/>
  <c r="AH109" i="59"/>
  <c r="AE149" i="59"/>
  <c r="AE150" i="59" s="1"/>
  <c r="AE111" i="59"/>
  <c r="AL149" i="59"/>
  <c r="AL150" i="59" s="1"/>
  <c r="AL111" i="59"/>
  <c r="AH149" i="59"/>
  <c r="AH150" i="59" s="1"/>
  <c r="AH111" i="59"/>
  <c r="AF110" i="59"/>
  <c r="AF109" i="59"/>
  <c r="AK144" i="57"/>
  <c r="AM135" i="59"/>
  <c r="AM113" i="59"/>
  <c r="AG144" i="57"/>
  <c r="AI149" i="59"/>
  <c r="AI150" i="59" s="1"/>
  <c r="AI111" i="59"/>
  <c r="AL135" i="59"/>
  <c r="AL113" i="59"/>
  <c r="AH135" i="59"/>
  <c r="AH113" i="59"/>
  <c r="AC135" i="59"/>
  <c r="AC113" i="59"/>
  <c r="AK135" i="59"/>
  <c r="AK113" i="59"/>
  <c r="AG135" i="59"/>
  <c r="AG113" i="59"/>
  <c r="AM110" i="59"/>
  <c r="AM109" i="59"/>
  <c r="AK110" i="59"/>
  <c r="AK109" i="59"/>
  <c r="AK149" i="59"/>
  <c r="AK150" i="59" s="1"/>
  <c r="AK111" i="59"/>
  <c r="AD110" i="59"/>
  <c r="AD109" i="59"/>
  <c r="AE110" i="59"/>
  <c r="AE109" i="59"/>
  <c r="AJ135" i="59"/>
  <c r="AJ113" i="59"/>
  <c r="AG110" i="59"/>
  <c r="AG109" i="59"/>
  <c r="AI109" i="59"/>
  <c r="AI110" i="59"/>
  <c r="AF135" i="59"/>
  <c r="AF113" i="59"/>
  <c r="AL110" i="59"/>
  <c r="AL109" i="59"/>
  <c r="AJ149" i="59"/>
  <c r="AJ150" i="59" s="1"/>
  <c r="AJ111" i="59"/>
  <c r="AD135" i="59"/>
  <c r="AD113" i="59"/>
  <c r="AJ110" i="59"/>
  <c r="AJ109" i="59"/>
  <c r="AG111" i="59"/>
  <c r="AG149" i="59"/>
  <c r="AG150" i="59" s="1"/>
  <c r="AF149" i="59"/>
  <c r="AF150" i="59" s="1"/>
  <c r="AF111" i="59"/>
  <c r="AH150" i="57"/>
  <c r="AH151" i="57" s="1"/>
  <c r="AH152" i="57" s="1"/>
  <c r="AH144" i="57"/>
  <c r="AM150" i="57"/>
  <c r="AM151" i="57" s="1"/>
  <c r="AM152" i="57" s="1"/>
  <c r="AM144" i="57"/>
  <c r="AF150" i="57"/>
  <c r="AF151" i="57" s="1"/>
  <c r="AF152" i="57" s="1"/>
  <c r="AF144" i="57"/>
  <c r="AK111" i="57"/>
  <c r="AK112" i="57"/>
  <c r="AD112" i="57"/>
  <c r="AD111" i="57"/>
  <c r="AI112" i="57"/>
  <c r="AI111" i="57"/>
  <c r="AI137" i="57"/>
  <c r="AI115" i="57"/>
  <c r="AJ112" i="57"/>
  <c r="AJ111" i="57"/>
  <c r="AF113" i="57"/>
  <c r="AD144" i="57"/>
  <c r="AD150" i="57"/>
  <c r="AD151" i="57" s="1"/>
  <c r="AD152" i="57" s="1"/>
  <c r="AM113" i="57"/>
  <c r="AI113" i="57"/>
  <c r="AE113" i="57"/>
  <c r="AH137" i="57"/>
  <c r="AH115" i="57"/>
  <c r="AG151" i="57"/>
  <c r="AG152" i="57" s="1"/>
  <c r="AG113" i="57"/>
  <c r="AI150" i="57"/>
  <c r="AI151" i="57" s="1"/>
  <c r="AI152" i="57" s="1"/>
  <c r="AI144" i="57"/>
  <c r="AM137" i="57"/>
  <c r="AM115" i="57"/>
  <c r="AE137" i="57"/>
  <c r="AE115" i="57"/>
  <c r="AH113" i="57"/>
  <c r="AG112" i="57"/>
  <c r="AG111" i="57"/>
  <c r="AJ150" i="57"/>
  <c r="AJ151" i="57" s="1"/>
  <c r="AJ152" i="57" s="1"/>
  <c r="AJ144" i="57"/>
  <c r="AK151" i="57"/>
  <c r="AK152" i="57" s="1"/>
  <c r="AK113" i="57"/>
  <c r="AL113" i="57"/>
  <c r="AD113" i="57"/>
  <c r="AE150" i="57"/>
  <c r="AE151" i="57" s="1"/>
  <c r="AE152" i="57" s="1"/>
  <c r="AE144" i="57"/>
  <c r="AE112" i="57"/>
  <c r="AE111" i="57"/>
  <c r="AL144" i="57"/>
  <c r="AL150" i="57"/>
  <c r="AL151" i="57" s="1"/>
  <c r="AL152" i="57" s="1"/>
  <c r="AG137" i="57"/>
  <c r="AG115" i="57"/>
  <c r="AK137" i="57"/>
  <c r="AK115" i="57"/>
  <c r="AL112" i="57"/>
  <c r="AL111" i="57"/>
  <c r="AL137" i="57"/>
  <c r="AL115" i="57"/>
  <c r="AD137" i="57"/>
  <c r="AD115" i="57"/>
  <c r="AF112" i="57"/>
  <c r="AF111" i="57"/>
  <c r="AJ113" i="57"/>
  <c r="AM112" i="57"/>
  <c r="AM111" i="57"/>
  <c r="AH112" i="57"/>
  <c r="AH111" i="57"/>
  <c r="AF137" i="57"/>
  <c r="AF115" i="57"/>
  <c r="D22" i="47"/>
  <c r="E77" i="56"/>
  <c r="AB95" i="56"/>
  <c r="AB97" i="56" s="1"/>
  <c r="AA95" i="56"/>
  <c r="AA96" i="56" s="1"/>
  <c r="Z95" i="56"/>
  <c r="Z97" i="56" s="1"/>
  <c r="Y95" i="56"/>
  <c r="X95" i="56"/>
  <c r="X97" i="56" s="1"/>
  <c r="W95" i="56"/>
  <c r="W96" i="56" s="1"/>
  <c r="V95" i="56"/>
  <c r="V97" i="56" s="1"/>
  <c r="U95" i="56"/>
  <c r="T95" i="56"/>
  <c r="T96" i="56" s="1"/>
  <c r="S95" i="56"/>
  <c r="S96" i="56" s="1"/>
  <c r="R95" i="56"/>
  <c r="R97" i="56" s="1"/>
  <c r="Q95" i="56"/>
  <c r="P95" i="56"/>
  <c r="P97" i="56" s="1"/>
  <c r="O95" i="56"/>
  <c r="O96" i="56" s="1"/>
  <c r="N95" i="56"/>
  <c r="N97" i="56" s="1"/>
  <c r="M95" i="56"/>
  <c r="L95" i="56"/>
  <c r="L97" i="56" s="1"/>
  <c r="K95" i="56"/>
  <c r="K96" i="56" s="1"/>
  <c r="J95" i="56"/>
  <c r="J97" i="56" s="1"/>
  <c r="I95" i="56"/>
  <c r="H95" i="56"/>
  <c r="H97" i="56" s="1"/>
  <c r="G95" i="56"/>
  <c r="G96" i="56" s="1"/>
  <c r="F95" i="56"/>
  <c r="F97" i="56" s="1"/>
  <c r="E95" i="56"/>
  <c r="AB84" i="56"/>
  <c r="AA84" i="56"/>
  <c r="AA86" i="56" s="1"/>
  <c r="Z84" i="56"/>
  <c r="Z85" i="56" s="1"/>
  <c r="Y84" i="56"/>
  <c r="Y86" i="56" s="1"/>
  <c r="X84" i="56"/>
  <c r="W84" i="56"/>
  <c r="W86" i="56" s="1"/>
  <c r="V84" i="56"/>
  <c r="V85" i="56" s="1"/>
  <c r="U84" i="56"/>
  <c r="U86" i="56" s="1"/>
  <c r="T84" i="56"/>
  <c r="S84" i="56"/>
  <c r="S85" i="56" s="1"/>
  <c r="R84" i="56"/>
  <c r="R85" i="56" s="1"/>
  <c r="Q84" i="56"/>
  <c r="Q86" i="56" s="1"/>
  <c r="P84" i="56"/>
  <c r="O84" i="56"/>
  <c r="O86" i="56" s="1"/>
  <c r="N84" i="56"/>
  <c r="N85" i="56" s="1"/>
  <c r="M84" i="56"/>
  <c r="M86" i="56" s="1"/>
  <c r="L84" i="56"/>
  <c r="K84" i="56"/>
  <c r="K86" i="56" s="1"/>
  <c r="J84" i="56"/>
  <c r="J85" i="56" s="1"/>
  <c r="I84" i="56"/>
  <c r="I86" i="56" s="1"/>
  <c r="H84" i="56"/>
  <c r="G84" i="56"/>
  <c r="G86" i="56" s="1"/>
  <c r="F84" i="56"/>
  <c r="F85" i="56" s="1"/>
  <c r="E84" i="56"/>
  <c r="E86" i="56" s="1"/>
  <c r="AB77" i="56"/>
  <c r="AA77" i="56"/>
  <c r="Z77" i="56"/>
  <c r="Z78" i="56" s="1"/>
  <c r="Y77" i="56"/>
  <c r="X77" i="56"/>
  <c r="X79" i="56" s="1"/>
  <c r="W77" i="56"/>
  <c r="W79" i="56" s="1"/>
  <c r="V77" i="56"/>
  <c r="V78" i="56" s="1"/>
  <c r="U77" i="56"/>
  <c r="T77" i="56"/>
  <c r="T79" i="56" s="1"/>
  <c r="S77" i="56"/>
  <c r="S78" i="56" s="1"/>
  <c r="R77" i="56"/>
  <c r="R78" i="56" s="1"/>
  <c r="Q77" i="56"/>
  <c r="P77" i="56"/>
  <c r="P79" i="56" s="1"/>
  <c r="O77" i="56"/>
  <c r="O79" i="56" s="1"/>
  <c r="N77" i="56"/>
  <c r="N78" i="56" s="1"/>
  <c r="M77" i="56"/>
  <c r="L77" i="56"/>
  <c r="L79" i="56" s="1"/>
  <c r="K77" i="56"/>
  <c r="K79" i="56" s="1"/>
  <c r="J77" i="56"/>
  <c r="J78" i="56" s="1"/>
  <c r="I77" i="56"/>
  <c r="H77" i="56"/>
  <c r="H79" i="56" s="1"/>
  <c r="G77" i="56"/>
  <c r="G79" i="56" s="1"/>
  <c r="F77" i="56"/>
  <c r="F78" i="56" s="1"/>
  <c r="AB73" i="56"/>
  <c r="AA73" i="56"/>
  <c r="Z73" i="56"/>
  <c r="Y73" i="56"/>
  <c r="X73" i="56"/>
  <c r="W73" i="56"/>
  <c r="V73" i="56"/>
  <c r="U73" i="56"/>
  <c r="T73" i="56"/>
  <c r="S73" i="56"/>
  <c r="R73" i="56"/>
  <c r="Q73" i="56"/>
  <c r="P73" i="56"/>
  <c r="O73" i="56"/>
  <c r="N73" i="56"/>
  <c r="M73" i="56"/>
  <c r="L73" i="56"/>
  <c r="K73" i="56"/>
  <c r="J73" i="56"/>
  <c r="I73" i="56"/>
  <c r="H73" i="56"/>
  <c r="G73" i="56"/>
  <c r="F73" i="56"/>
  <c r="B55" i="56"/>
  <c r="D10" i="56"/>
  <c r="AB95" i="55"/>
  <c r="AB97" i="55" s="1"/>
  <c r="AA95" i="55"/>
  <c r="AA96" i="55" s="1"/>
  <c r="Z95" i="55"/>
  <c r="Z97" i="55" s="1"/>
  <c r="Y95" i="55"/>
  <c r="Y97" i="55" s="1"/>
  <c r="X95" i="55"/>
  <c r="X96" i="55" s="1"/>
  <c r="W95" i="55"/>
  <c r="W96" i="55" s="1"/>
  <c r="V95" i="55"/>
  <c r="V97" i="55" s="1"/>
  <c r="U95" i="55"/>
  <c r="U97" i="55" s="1"/>
  <c r="T95" i="55"/>
  <c r="T97" i="55" s="1"/>
  <c r="S95" i="55"/>
  <c r="S96" i="55" s="1"/>
  <c r="R95" i="55"/>
  <c r="R97" i="55" s="1"/>
  <c r="Q95" i="55"/>
  <c r="Q97" i="55" s="1"/>
  <c r="P95" i="55"/>
  <c r="P97" i="55" s="1"/>
  <c r="O95" i="55"/>
  <c r="O96" i="55" s="1"/>
  <c r="N95" i="55"/>
  <c r="N97" i="55" s="1"/>
  <c r="M95" i="55"/>
  <c r="M97" i="55" s="1"/>
  <c r="L95" i="55"/>
  <c r="L97" i="55" s="1"/>
  <c r="K95" i="55"/>
  <c r="K96" i="55" s="1"/>
  <c r="J95" i="55"/>
  <c r="J97" i="55" s="1"/>
  <c r="I95" i="55"/>
  <c r="I97" i="55" s="1"/>
  <c r="H95" i="55"/>
  <c r="H96" i="55" s="1"/>
  <c r="G95" i="55"/>
  <c r="G96" i="55" s="1"/>
  <c r="F95" i="55"/>
  <c r="F97" i="55" s="1"/>
  <c r="E95" i="55"/>
  <c r="E97" i="55" s="1"/>
  <c r="AB84" i="55"/>
  <c r="AA84" i="55"/>
  <c r="AA85" i="55" s="1"/>
  <c r="Z84" i="55"/>
  <c r="Z85" i="55" s="1"/>
  <c r="Y84" i="55"/>
  <c r="Y86" i="55" s="1"/>
  <c r="X84" i="55"/>
  <c r="W84" i="55"/>
  <c r="V84" i="55"/>
  <c r="V85" i="55" s="1"/>
  <c r="U84" i="55"/>
  <c r="U86" i="55" s="1"/>
  <c r="T84" i="55"/>
  <c r="S84" i="55"/>
  <c r="R84" i="55"/>
  <c r="R85" i="55" s="1"/>
  <c r="Q84" i="55"/>
  <c r="Q86" i="55" s="1"/>
  <c r="P84" i="55"/>
  <c r="O84" i="55"/>
  <c r="N84" i="55"/>
  <c r="N85" i="55" s="1"/>
  <c r="M84" i="55"/>
  <c r="M86" i="55" s="1"/>
  <c r="L84" i="55"/>
  <c r="K84" i="55"/>
  <c r="K85" i="55" s="1"/>
  <c r="J84" i="55"/>
  <c r="J85" i="55" s="1"/>
  <c r="I84" i="55"/>
  <c r="I86" i="55" s="1"/>
  <c r="H84" i="55"/>
  <c r="G84" i="55"/>
  <c r="F84" i="55"/>
  <c r="F85" i="55" s="1"/>
  <c r="E84" i="55"/>
  <c r="E86" i="55" s="1"/>
  <c r="AB77" i="55"/>
  <c r="AB79" i="55" s="1"/>
  <c r="AA77" i="55"/>
  <c r="AA79" i="55" s="1"/>
  <c r="Z77" i="55"/>
  <c r="Z78" i="55" s="1"/>
  <c r="Y77" i="55"/>
  <c r="Y79" i="55" s="1"/>
  <c r="X77" i="55"/>
  <c r="X79" i="55" s="1"/>
  <c r="W77" i="55"/>
  <c r="W79" i="55" s="1"/>
  <c r="V77" i="55"/>
  <c r="V78" i="55" s="1"/>
  <c r="U77" i="55"/>
  <c r="U79" i="55" s="1"/>
  <c r="T77" i="55"/>
  <c r="T79" i="55" s="1"/>
  <c r="S77" i="55"/>
  <c r="S79" i="55" s="1"/>
  <c r="R77" i="55"/>
  <c r="R78" i="55" s="1"/>
  <c r="Q77" i="55"/>
  <c r="Q79" i="55" s="1"/>
  <c r="P77" i="55"/>
  <c r="P79" i="55" s="1"/>
  <c r="O77" i="55"/>
  <c r="O78" i="55" s="1"/>
  <c r="N77" i="55"/>
  <c r="N78" i="55" s="1"/>
  <c r="M77" i="55"/>
  <c r="M79" i="55" s="1"/>
  <c r="L77" i="55"/>
  <c r="L79" i="55" s="1"/>
  <c r="K77" i="55"/>
  <c r="K79" i="55" s="1"/>
  <c r="J77" i="55"/>
  <c r="J78" i="55" s="1"/>
  <c r="I77" i="55"/>
  <c r="I79" i="55" s="1"/>
  <c r="H77" i="55"/>
  <c r="H79" i="55" s="1"/>
  <c r="G77" i="55"/>
  <c r="G78" i="55" s="1"/>
  <c r="F77" i="55"/>
  <c r="F78" i="55" s="1"/>
  <c r="E77" i="55"/>
  <c r="E79" i="55" s="1"/>
  <c r="AB73" i="55"/>
  <c r="AA73" i="55"/>
  <c r="Z73" i="55"/>
  <c r="Y73" i="55"/>
  <c r="X73" i="55"/>
  <c r="W73" i="55"/>
  <c r="V73" i="55"/>
  <c r="U73" i="55"/>
  <c r="T73" i="55"/>
  <c r="S73" i="55"/>
  <c r="R73" i="55"/>
  <c r="Q73" i="55"/>
  <c r="P73" i="55"/>
  <c r="O73" i="55"/>
  <c r="N73" i="55"/>
  <c r="M73" i="55"/>
  <c r="L73" i="55"/>
  <c r="K73" i="55"/>
  <c r="J73" i="55"/>
  <c r="I73" i="55"/>
  <c r="H73" i="55"/>
  <c r="G73" i="55"/>
  <c r="F73" i="55"/>
  <c r="B55" i="55"/>
  <c r="D10" i="55"/>
  <c r="AB95" i="54"/>
  <c r="AB97" i="54" s="1"/>
  <c r="AA95" i="54"/>
  <c r="AA96" i="54" s="1"/>
  <c r="Z95" i="54"/>
  <c r="Z97" i="54" s="1"/>
  <c r="Y95" i="54"/>
  <c r="X95" i="54"/>
  <c r="X97" i="54" s="1"/>
  <c r="W95" i="54"/>
  <c r="W96" i="54" s="1"/>
  <c r="V95" i="54"/>
  <c r="V97" i="54" s="1"/>
  <c r="U95" i="54"/>
  <c r="T95" i="54"/>
  <c r="T97" i="54" s="1"/>
  <c r="S95" i="54"/>
  <c r="S96" i="54" s="1"/>
  <c r="R95" i="54"/>
  <c r="R97" i="54" s="1"/>
  <c r="Q95" i="54"/>
  <c r="P95" i="54"/>
  <c r="P97" i="54" s="1"/>
  <c r="O95" i="54"/>
  <c r="O96" i="54" s="1"/>
  <c r="N95" i="54"/>
  <c r="N97" i="54" s="1"/>
  <c r="M95" i="54"/>
  <c r="L95" i="54"/>
  <c r="L97" i="54" s="1"/>
  <c r="K95" i="54"/>
  <c r="K96" i="54" s="1"/>
  <c r="J95" i="54"/>
  <c r="J97" i="54" s="1"/>
  <c r="I95" i="54"/>
  <c r="H95" i="54"/>
  <c r="H97" i="54" s="1"/>
  <c r="G95" i="54"/>
  <c r="G96" i="54" s="1"/>
  <c r="F95" i="54"/>
  <c r="F97" i="54" s="1"/>
  <c r="E95" i="54"/>
  <c r="AB84" i="54"/>
  <c r="AA84" i="54"/>
  <c r="AA85" i="54" s="1"/>
  <c r="Z84" i="54"/>
  <c r="Z85" i="54" s="1"/>
  <c r="Y84" i="54"/>
  <c r="Y86" i="54" s="1"/>
  <c r="X84" i="54"/>
  <c r="W84" i="54"/>
  <c r="W85" i="54" s="1"/>
  <c r="V84" i="54"/>
  <c r="V85" i="54" s="1"/>
  <c r="U84" i="54"/>
  <c r="U86" i="54" s="1"/>
  <c r="T84" i="54"/>
  <c r="S84" i="54"/>
  <c r="S85" i="54" s="1"/>
  <c r="R84" i="54"/>
  <c r="R85" i="54" s="1"/>
  <c r="Q84" i="54"/>
  <c r="Q86" i="54" s="1"/>
  <c r="P84" i="54"/>
  <c r="O84" i="54"/>
  <c r="O85" i="54" s="1"/>
  <c r="N84" i="54"/>
  <c r="N85" i="54" s="1"/>
  <c r="M84" i="54"/>
  <c r="M86" i="54" s="1"/>
  <c r="L84" i="54"/>
  <c r="K84" i="54"/>
  <c r="K85" i="54" s="1"/>
  <c r="J84" i="54"/>
  <c r="J85" i="54" s="1"/>
  <c r="I84" i="54"/>
  <c r="I86" i="54" s="1"/>
  <c r="H84" i="54"/>
  <c r="G84" i="54"/>
  <c r="G85" i="54" s="1"/>
  <c r="F84" i="54"/>
  <c r="F85" i="54" s="1"/>
  <c r="E84" i="54"/>
  <c r="E86" i="54" s="1"/>
  <c r="F77" i="54"/>
  <c r="F79" i="54" s="1"/>
  <c r="AB73" i="54"/>
  <c r="AA73" i="54"/>
  <c r="Z73" i="54"/>
  <c r="Y73" i="54"/>
  <c r="X73" i="54"/>
  <c r="W73" i="54"/>
  <c r="V73" i="54"/>
  <c r="U73" i="54"/>
  <c r="T73" i="54"/>
  <c r="S73" i="54"/>
  <c r="R73" i="54"/>
  <c r="Q73" i="54"/>
  <c r="P73" i="54"/>
  <c r="O73" i="54"/>
  <c r="N73" i="54"/>
  <c r="M73" i="54"/>
  <c r="L73" i="54"/>
  <c r="K73" i="54"/>
  <c r="J73" i="54"/>
  <c r="I73" i="54"/>
  <c r="H73" i="54"/>
  <c r="G73" i="54"/>
  <c r="F73" i="54"/>
  <c r="B55" i="54"/>
  <c r="D10" i="54"/>
  <c r="F138" i="53"/>
  <c r="G136" i="53"/>
  <c r="F136" i="53"/>
  <c r="AB95" i="53"/>
  <c r="AB97" i="53" s="1"/>
  <c r="AA95" i="53"/>
  <c r="AA96" i="53" s="1"/>
  <c r="Z95" i="53"/>
  <c r="Z97" i="53" s="1"/>
  <c r="Y95" i="53"/>
  <c r="X95" i="53"/>
  <c r="X96" i="53" s="1"/>
  <c r="W95" i="53"/>
  <c r="W96" i="53" s="1"/>
  <c r="V95" i="53"/>
  <c r="V97" i="53" s="1"/>
  <c r="U95" i="53"/>
  <c r="T95" i="53"/>
  <c r="T97" i="53" s="1"/>
  <c r="S95" i="53"/>
  <c r="S96" i="53" s="1"/>
  <c r="R95" i="53"/>
  <c r="R97" i="53" s="1"/>
  <c r="Q95" i="53"/>
  <c r="P95" i="53"/>
  <c r="P97" i="53" s="1"/>
  <c r="O95" i="53"/>
  <c r="O96" i="53" s="1"/>
  <c r="N95" i="53"/>
  <c r="N97" i="53" s="1"/>
  <c r="M95" i="53"/>
  <c r="L95" i="53"/>
  <c r="L97" i="53" s="1"/>
  <c r="K95" i="53"/>
  <c r="K96" i="53" s="1"/>
  <c r="J95" i="53"/>
  <c r="J97" i="53" s="1"/>
  <c r="I95" i="53"/>
  <c r="H95" i="53"/>
  <c r="H96" i="53" s="1"/>
  <c r="G95" i="53"/>
  <c r="G96" i="53" s="1"/>
  <c r="F95" i="53"/>
  <c r="F97" i="53" s="1"/>
  <c r="E95" i="53"/>
  <c r="AB84" i="53"/>
  <c r="AA84" i="53"/>
  <c r="AA86" i="53" s="1"/>
  <c r="Z84" i="53"/>
  <c r="Z85" i="53" s="1"/>
  <c r="Y84" i="53"/>
  <c r="Y86" i="53" s="1"/>
  <c r="X84" i="53"/>
  <c r="W84" i="53"/>
  <c r="W85" i="53" s="1"/>
  <c r="V84" i="53"/>
  <c r="V85" i="53" s="1"/>
  <c r="U84" i="53"/>
  <c r="U86" i="53" s="1"/>
  <c r="T84" i="53"/>
  <c r="S84" i="53"/>
  <c r="S86" i="53" s="1"/>
  <c r="R84" i="53"/>
  <c r="R85" i="53" s="1"/>
  <c r="Q84" i="53"/>
  <c r="Q86" i="53" s="1"/>
  <c r="P84" i="53"/>
  <c r="O84" i="53"/>
  <c r="O86" i="53" s="1"/>
  <c r="N84" i="53"/>
  <c r="N85" i="53" s="1"/>
  <c r="M84" i="53"/>
  <c r="M86" i="53" s="1"/>
  <c r="L84" i="53"/>
  <c r="K84" i="53"/>
  <c r="K86" i="53" s="1"/>
  <c r="J84" i="53"/>
  <c r="J85" i="53" s="1"/>
  <c r="I84" i="53"/>
  <c r="I86" i="53" s="1"/>
  <c r="H84" i="53"/>
  <c r="G84" i="53"/>
  <c r="G85" i="53" s="1"/>
  <c r="F84" i="53"/>
  <c r="F85" i="53" s="1"/>
  <c r="E84" i="53"/>
  <c r="E86" i="53" s="1"/>
  <c r="AB77" i="53"/>
  <c r="AA77" i="53"/>
  <c r="AA79" i="53" s="1"/>
  <c r="Z77" i="53"/>
  <c r="Z78" i="53" s="1"/>
  <c r="Y77" i="53"/>
  <c r="Y79" i="53" s="1"/>
  <c r="X77" i="53"/>
  <c r="W77" i="53"/>
  <c r="W78" i="53" s="1"/>
  <c r="V77" i="53"/>
  <c r="V78" i="53" s="1"/>
  <c r="U77" i="53"/>
  <c r="U79" i="53" s="1"/>
  <c r="T77" i="53"/>
  <c r="S77" i="53"/>
  <c r="S78" i="53" s="1"/>
  <c r="R77" i="53"/>
  <c r="R78" i="53" s="1"/>
  <c r="Q77" i="53"/>
  <c r="Q79" i="53" s="1"/>
  <c r="P77" i="53"/>
  <c r="O77" i="53"/>
  <c r="O79" i="53" s="1"/>
  <c r="N77" i="53"/>
  <c r="N78" i="53" s="1"/>
  <c r="M77" i="53"/>
  <c r="M79" i="53" s="1"/>
  <c r="L77" i="53"/>
  <c r="K77" i="53"/>
  <c r="K79" i="53" s="1"/>
  <c r="J77" i="53"/>
  <c r="J78" i="53" s="1"/>
  <c r="I77" i="53"/>
  <c r="I79" i="53" s="1"/>
  <c r="H77" i="53"/>
  <c r="G77" i="53"/>
  <c r="G78" i="53" s="1"/>
  <c r="F77" i="53"/>
  <c r="F78" i="53" s="1"/>
  <c r="E77" i="53"/>
  <c r="E79" i="53" s="1"/>
  <c r="AB73" i="53"/>
  <c r="AA73" i="53"/>
  <c r="Z73" i="53"/>
  <c r="Y73" i="53"/>
  <c r="X73" i="53"/>
  <c r="W73" i="53"/>
  <c r="V73" i="53"/>
  <c r="U73" i="53"/>
  <c r="T73" i="53"/>
  <c r="S73" i="53"/>
  <c r="R73" i="53"/>
  <c r="Q73" i="53"/>
  <c r="P73" i="53"/>
  <c r="O73" i="53"/>
  <c r="N73" i="53"/>
  <c r="M73" i="53"/>
  <c r="L73" i="53"/>
  <c r="K73" i="53"/>
  <c r="J73" i="53"/>
  <c r="I73" i="53"/>
  <c r="H73" i="53"/>
  <c r="G73" i="53"/>
  <c r="F73" i="53"/>
  <c r="B55" i="53"/>
  <c r="D10" i="53"/>
  <c r="W85" i="56" l="1"/>
  <c r="O79" i="55"/>
  <c r="AA86" i="55"/>
  <c r="AA78" i="53"/>
  <c r="K78" i="53"/>
  <c r="AA88" i="56"/>
  <c r="H96" i="56"/>
  <c r="Y88" i="53"/>
  <c r="P96" i="54"/>
  <c r="P96" i="53"/>
  <c r="AA97" i="56"/>
  <c r="S79" i="53"/>
  <c r="S78" i="55"/>
  <c r="R79" i="56"/>
  <c r="F86" i="54"/>
  <c r="V86" i="54"/>
  <c r="F79" i="56"/>
  <c r="V79" i="56"/>
  <c r="J86" i="56"/>
  <c r="X96" i="56"/>
  <c r="J79" i="56"/>
  <c r="Z79" i="56"/>
  <c r="R86" i="56"/>
  <c r="K97" i="56"/>
  <c r="N79" i="56"/>
  <c r="G85" i="56"/>
  <c r="Z86" i="56"/>
  <c r="S97" i="56"/>
  <c r="W78" i="55"/>
  <c r="R79" i="55"/>
  <c r="Q88" i="55"/>
  <c r="G79" i="55"/>
  <c r="G88" i="55"/>
  <c r="K88" i="55"/>
  <c r="O88" i="55"/>
  <c r="S88" i="55"/>
  <c r="W88" i="55"/>
  <c r="AA88" i="55"/>
  <c r="K86" i="55"/>
  <c r="P96" i="55"/>
  <c r="J79" i="55"/>
  <c r="Z79" i="55"/>
  <c r="S86" i="55"/>
  <c r="L96" i="56"/>
  <c r="AB96" i="56"/>
  <c r="T97" i="56"/>
  <c r="P96" i="56"/>
  <c r="G97" i="56"/>
  <c r="O97" i="56"/>
  <c r="W97" i="56"/>
  <c r="K85" i="56"/>
  <c r="AA85" i="56"/>
  <c r="S86" i="56"/>
  <c r="I88" i="56"/>
  <c r="Y88" i="56"/>
  <c r="O85" i="56"/>
  <c r="F86" i="56"/>
  <c r="N86" i="56"/>
  <c r="V86" i="56"/>
  <c r="F88" i="56"/>
  <c r="Z88" i="56"/>
  <c r="G78" i="56"/>
  <c r="W78" i="56"/>
  <c r="K88" i="56"/>
  <c r="S88" i="56"/>
  <c r="K78" i="56"/>
  <c r="AA78" i="56"/>
  <c r="S79" i="56"/>
  <c r="AA79" i="56"/>
  <c r="G88" i="56"/>
  <c r="N88" i="56"/>
  <c r="V88" i="56"/>
  <c r="O78" i="56"/>
  <c r="O88" i="56"/>
  <c r="W88" i="56"/>
  <c r="J88" i="56"/>
  <c r="R88" i="56"/>
  <c r="E79" i="56"/>
  <c r="E78" i="56"/>
  <c r="I79" i="56"/>
  <c r="I78" i="56"/>
  <c r="M79" i="56"/>
  <c r="M78" i="56"/>
  <c r="Q79" i="56"/>
  <c r="Q78" i="56"/>
  <c r="U79" i="56"/>
  <c r="U78" i="56"/>
  <c r="Y79" i="56"/>
  <c r="Y78" i="56"/>
  <c r="L78" i="56"/>
  <c r="T78" i="56"/>
  <c r="E88" i="56"/>
  <c r="U88" i="56"/>
  <c r="E97" i="56"/>
  <c r="E96" i="56"/>
  <c r="I96" i="56"/>
  <c r="I97" i="56"/>
  <c r="M97" i="56"/>
  <c r="M96" i="56"/>
  <c r="Q97" i="56"/>
  <c r="Q96" i="56"/>
  <c r="U96" i="56"/>
  <c r="U97" i="56"/>
  <c r="Y97" i="56"/>
  <c r="Y96" i="56"/>
  <c r="H88" i="56"/>
  <c r="H86" i="56"/>
  <c r="H85" i="56"/>
  <c r="L88" i="56"/>
  <c r="L86" i="56"/>
  <c r="L85" i="56"/>
  <c r="P88" i="56"/>
  <c r="P86" i="56"/>
  <c r="P85" i="56"/>
  <c r="T88" i="56"/>
  <c r="T86" i="56"/>
  <c r="T85" i="56"/>
  <c r="X88" i="56"/>
  <c r="X86" i="56"/>
  <c r="X85" i="56"/>
  <c r="AB88" i="56"/>
  <c r="AB86" i="56"/>
  <c r="AB85" i="56"/>
  <c r="Q88" i="56"/>
  <c r="AB79" i="56"/>
  <c r="AB78" i="56"/>
  <c r="H78" i="56"/>
  <c r="P78" i="56"/>
  <c r="X78" i="56"/>
  <c r="M88" i="56"/>
  <c r="E85" i="56"/>
  <c r="I85" i="56"/>
  <c r="M85" i="56"/>
  <c r="Q85" i="56"/>
  <c r="U85" i="56"/>
  <c r="Y85" i="56"/>
  <c r="F96" i="56"/>
  <c r="J96" i="56"/>
  <c r="N96" i="56"/>
  <c r="R96" i="56"/>
  <c r="V96" i="56"/>
  <c r="Z96" i="56"/>
  <c r="O97" i="55"/>
  <c r="T96" i="55"/>
  <c r="H97" i="55"/>
  <c r="X97" i="55"/>
  <c r="K97" i="55"/>
  <c r="S97" i="55"/>
  <c r="AA97" i="55"/>
  <c r="G97" i="55"/>
  <c r="W97" i="55"/>
  <c r="L96" i="55"/>
  <c r="AB96" i="55"/>
  <c r="F86" i="55"/>
  <c r="S85" i="55"/>
  <c r="G86" i="55"/>
  <c r="O86" i="55"/>
  <c r="W86" i="55"/>
  <c r="O85" i="55"/>
  <c r="N86" i="55"/>
  <c r="V86" i="55"/>
  <c r="G85" i="55"/>
  <c r="W85" i="55"/>
  <c r="J86" i="55"/>
  <c r="R86" i="55"/>
  <c r="Z86" i="55"/>
  <c r="U88" i="55"/>
  <c r="K78" i="55"/>
  <c r="AA78" i="55"/>
  <c r="H88" i="55"/>
  <c r="L88" i="55"/>
  <c r="P88" i="55"/>
  <c r="T88" i="55"/>
  <c r="X88" i="55"/>
  <c r="AB88" i="55"/>
  <c r="I88" i="55"/>
  <c r="Y88" i="55"/>
  <c r="E88" i="55"/>
  <c r="F79" i="55"/>
  <c r="N79" i="55"/>
  <c r="V79" i="55"/>
  <c r="M88" i="55"/>
  <c r="H78" i="55"/>
  <c r="L78" i="55"/>
  <c r="P78" i="55"/>
  <c r="T78" i="55"/>
  <c r="X78" i="55"/>
  <c r="AB78" i="55"/>
  <c r="H85" i="55"/>
  <c r="L85" i="55"/>
  <c r="P85" i="55"/>
  <c r="T85" i="55"/>
  <c r="X85" i="55"/>
  <c r="AB85" i="55"/>
  <c r="F88" i="55"/>
  <c r="J88" i="55"/>
  <c r="N88" i="55"/>
  <c r="R88" i="55"/>
  <c r="V88" i="55"/>
  <c r="Z88" i="55"/>
  <c r="E96" i="55"/>
  <c r="I96" i="55"/>
  <c r="M96" i="55"/>
  <c r="Q96" i="55"/>
  <c r="U96" i="55"/>
  <c r="Y96" i="55"/>
  <c r="E78" i="55"/>
  <c r="I78" i="55"/>
  <c r="M78" i="55"/>
  <c r="Q78" i="55"/>
  <c r="U78" i="55"/>
  <c r="Y78" i="55"/>
  <c r="E85" i="55"/>
  <c r="I85" i="55"/>
  <c r="M85" i="55"/>
  <c r="Q85" i="55"/>
  <c r="U85" i="55"/>
  <c r="Y85" i="55"/>
  <c r="H86" i="55"/>
  <c r="L86" i="55"/>
  <c r="P86" i="55"/>
  <c r="T86" i="55"/>
  <c r="X86" i="55"/>
  <c r="AB86" i="55"/>
  <c r="F96" i="55"/>
  <c r="J96" i="55"/>
  <c r="N96" i="55"/>
  <c r="R96" i="55"/>
  <c r="V96" i="55"/>
  <c r="Z96" i="55"/>
  <c r="T96" i="54"/>
  <c r="K97" i="54"/>
  <c r="AA97" i="54"/>
  <c r="G97" i="54"/>
  <c r="W97" i="54"/>
  <c r="H96" i="54"/>
  <c r="X96" i="54"/>
  <c r="O97" i="54"/>
  <c r="L96" i="54"/>
  <c r="AB96" i="54"/>
  <c r="S97" i="54"/>
  <c r="J86" i="54"/>
  <c r="Z86" i="54"/>
  <c r="N86" i="54"/>
  <c r="R86" i="54"/>
  <c r="G77" i="54"/>
  <c r="G88" i="54" s="1"/>
  <c r="H77" i="54"/>
  <c r="H79" i="54" s="1"/>
  <c r="E77" i="54"/>
  <c r="E78" i="54" s="1"/>
  <c r="F78" i="54"/>
  <c r="H86" i="54"/>
  <c r="H85" i="54"/>
  <c r="L86" i="54"/>
  <c r="L85" i="54"/>
  <c r="P86" i="54"/>
  <c r="P85" i="54"/>
  <c r="T86" i="54"/>
  <c r="T85" i="54"/>
  <c r="X86" i="54"/>
  <c r="X85" i="54"/>
  <c r="AB86" i="54"/>
  <c r="AB85" i="54"/>
  <c r="E97" i="54"/>
  <c r="E96" i="54"/>
  <c r="I97" i="54"/>
  <c r="I96" i="54"/>
  <c r="M97" i="54"/>
  <c r="M96" i="54"/>
  <c r="Q97" i="54"/>
  <c r="Q96" i="54"/>
  <c r="U97" i="54"/>
  <c r="U96" i="54"/>
  <c r="Y97" i="54"/>
  <c r="Y96" i="54"/>
  <c r="G86" i="54"/>
  <c r="K86" i="54"/>
  <c r="O86" i="54"/>
  <c r="S86" i="54"/>
  <c r="W86" i="54"/>
  <c r="AA86" i="54"/>
  <c r="F88" i="54"/>
  <c r="E85" i="54"/>
  <c r="I85" i="54"/>
  <c r="M85" i="54"/>
  <c r="Q85" i="54"/>
  <c r="U85" i="54"/>
  <c r="Y85" i="54"/>
  <c r="F96" i="54"/>
  <c r="J96" i="54"/>
  <c r="N96" i="54"/>
  <c r="R96" i="54"/>
  <c r="V96" i="54"/>
  <c r="Z96" i="54"/>
  <c r="O97" i="53"/>
  <c r="H97" i="53"/>
  <c r="X97" i="53"/>
  <c r="K97" i="53"/>
  <c r="S97" i="53"/>
  <c r="AA97" i="53"/>
  <c r="G97" i="53"/>
  <c r="W97" i="53"/>
  <c r="T96" i="53"/>
  <c r="L96" i="53"/>
  <c r="AB96" i="53"/>
  <c r="O85" i="53"/>
  <c r="F86" i="53"/>
  <c r="N86" i="53"/>
  <c r="V86" i="53"/>
  <c r="S85" i="53"/>
  <c r="G86" i="53"/>
  <c r="W86" i="53"/>
  <c r="J86" i="53"/>
  <c r="R86" i="53"/>
  <c r="Z86" i="53"/>
  <c r="K85" i="53"/>
  <c r="AA85" i="53"/>
  <c r="F88" i="53"/>
  <c r="V88" i="53"/>
  <c r="O78" i="53"/>
  <c r="F79" i="53"/>
  <c r="N79" i="53"/>
  <c r="V79" i="53"/>
  <c r="I88" i="53"/>
  <c r="Q88" i="53"/>
  <c r="G79" i="53"/>
  <c r="W79" i="53"/>
  <c r="J88" i="53"/>
  <c r="R88" i="53"/>
  <c r="Z88" i="53"/>
  <c r="N88" i="53"/>
  <c r="J79" i="53"/>
  <c r="R79" i="53"/>
  <c r="Z79" i="53"/>
  <c r="G88" i="53"/>
  <c r="K88" i="53"/>
  <c r="O88" i="53"/>
  <c r="S88" i="53"/>
  <c r="W88" i="53"/>
  <c r="AA88" i="53"/>
  <c r="E88" i="53"/>
  <c r="M88" i="53"/>
  <c r="U88" i="53"/>
  <c r="E97" i="53"/>
  <c r="E96" i="53"/>
  <c r="I97" i="53"/>
  <c r="I96" i="53"/>
  <c r="M97" i="53"/>
  <c r="M96" i="53"/>
  <c r="Q97" i="53"/>
  <c r="Q96" i="53"/>
  <c r="U97" i="53"/>
  <c r="U96" i="53"/>
  <c r="Y97" i="53"/>
  <c r="Y96" i="53"/>
  <c r="H79" i="53"/>
  <c r="H78" i="53"/>
  <c r="L79" i="53"/>
  <c r="L78" i="53"/>
  <c r="P79" i="53"/>
  <c r="P78" i="53"/>
  <c r="T79" i="53"/>
  <c r="T78" i="53"/>
  <c r="X79" i="53"/>
  <c r="X78" i="53"/>
  <c r="AB79" i="53"/>
  <c r="AB78" i="53"/>
  <c r="H88" i="53"/>
  <c r="H86" i="53"/>
  <c r="H85" i="53"/>
  <c r="L88" i="53"/>
  <c r="L86" i="53"/>
  <c r="L85" i="53"/>
  <c r="P88" i="53"/>
  <c r="P86" i="53"/>
  <c r="P85" i="53"/>
  <c r="T88" i="53"/>
  <c r="T86" i="53"/>
  <c r="T85" i="53"/>
  <c r="X88" i="53"/>
  <c r="X86" i="53"/>
  <c r="X85" i="53"/>
  <c r="AB88" i="53"/>
  <c r="AB86" i="53"/>
  <c r="AB85" i="53"/>
  <c r="E78" i="53"/>
  <c r="I78" i="53"/>
  <c r="M78" i="53"/>
  <c r="Q78" i="53"/>
  <c r="U78" i="53"/>
  <c r="Y78" i="53"/>
  <c r="E85" i="53"/>
  <c r="I85" i="53"/>
  <c r="M85" i="53"/>
  <c r="Q85" i="53"/>
  <c r="U85" i="53"/>
  <c r="Y85" i="53"/>
  <c r="F96" i="53"/>
  <c r="J96" i="53"/>
  <c r="N96" i="53"/>
  <c r="R96" i="53"/>
  <c r="V96" i="53"/>
  <c r="Z96" i="53"/>
  <c r="H78" i="54" l="1"/>
  <c r="H88" i="54"/>
  <c r="J77" i="54"/>
  <c r="G79" i="54"/>
  <c r="G78" i="54"/>
  <c r="E79" i="54"/>
  <c r="E88" i="54"/>
  <c r="I77" i="54"/>
  <c r="B55" i="11"/>
  <c r="K77" i="54" l="1"/>
  <c r="J79" i="54"/>
  <c r="J78" i="54"/>
  <c r="J88" i="54"/>
  <c r="L77" i="54"/>
  <c r="I79" i="54"/>
  <c r="I88" i="54"/>
  <c r="I78" i="54"/>
  <c r="L79" i="54" l="1"/>
  <c r="L78" i="54"/>
  <c r="L88" i="54"/>
  <c r="N77" i="54"/>
  <c r="M77" i="54"/>
  <c r="K79" i="54"/>
  <c r="K78" i="54"/>
  <c r="K88" i="54"/>
  <c r="P77" i="54" l="1"/>
  <c r="M79" i="54"/>
  <c r="M88" i="54"/>
  <c r="M78" i="54"/>
  <c r="O77" i="54"/>
  <c r="N78" i="54"/>
  <c r="N79" i="54"/>
  <c r="N88" i="54"/>
  <c r="O79" i="54" l="1"/>
  <c r="O78" i="54"/>
  <c r="O88" i="54"/>
  <c r="Q77" i="54"/>
  <c r="P88" i="54"/>
  <c r="P79" i="54"/>
  <c r="P78" i="54"/>
  <c r="R77" i="54"/>
  <c r="C25" i="10"/>
  <c r="C23" i="10"/>
  <c r="C16" i="12"/>
  <c r="E83" i="21"/>
  <c r="F74" i="21"/>
  <c r="S77" i="54" l="1"/>
  <c r="R79" i="54"/>
  <c r="R78" i="54"/>
  <c r="R88" i="54"/>
  <c r="T77" i="54"/>
  <c r="Q79" i="54"/>
  <c r="Q88" i="54"/>
  <c r="Q78" i="54"/>
  <c r="V77" i="54" l="1"/>
  <c r="S79" i="54"/>
  <c r="S78" i="54"/>
  <c r="S88" i="54"/>
  <c r="U77" i="54"/>
  <c r="T79" i="54"/>
  <c r="T78" i="54"/>
  <c r="T88" i="54"/>
  <c r="C165" i="52"/>
  <c r="C164" i="52"/>
  <c r="C163" i="52"/>
  <c r="D144" i="52"/>
  <c r="D143" i="52"/>
  <c r="B138" i="52"/>
  <c r="B137" i="52"/>
  <c r="AM108" i="52"/>
  <c r="AL108" i="52"/>
  <c r="AK108" i="52"/>
  <c r="AJ108" i="52"/>
  <c r="AI108" i="52"/>
  <c r="AH108" i="52"/>
  <c r="AG108" i="52"/>
  <c r="AF108" i="52"/>
  <c r="AE108" i="52"/>
  <c r="AD108" i="52"/>
  <c r="AM101" i="52"/>
  <c r="AM144" i="52" s="1"/>
  <c r="AL101" i="52"/>
  <c r="AL144" i="52" s="1"/>
  <c r="AK101" i="52"/>
  <c r="AK144" i="52" s="1"/>
  <c r="AJ101" i="52"/>
  <c r="AJ144" i="52" s="1"/>
  <c r="AI101" i="52"/>
  <c r="AI144" i="52" s="1"/>
  <c r="AH101" i="52"/>
  <c r="AH144" i="52" s="1"/>
  <c r="AG101" i="52"/>
  <c r="AG144" i="52" s="1"/>
  <c r="AF101" i="52"/>
  <c r="AF144" i="52" s="1"/>
  <c r="AE101" i="52"/>
  <c r="AE144" i="52" s="1"/>
  <c r="AD101" i="52"/>
  <c r="AD144" i="52" s="1"/>
  <c r="AM100" i="52"/>
  <c r="AM143" i="52" s="1"/>
  <c r="AL100" i="52"/>
  <c r="AK100" i="52"/>
  <c r="AK143" i="52" s="1"/>
  <c r="AJ100" i="52"/>
  <c r="AJ143" i="52" s="1"/>
  <c r="AI100" i="52"/>
  <c r="AI143" i="52" s="1"/>
  <c r="AH100" i="52"/>
  <c r="AG100" i="52"/>
  <c r="AF100" i="52"/>
  <c r="AF143" i="52" s="1"/>
  <c r="AE100" i="52"/>
  <c r="AE143" i="52" s="1"/>
  <c r="AD100" i="52"/>
  <c r="M97" i="52"/>
  <c r="M140" i="52" s="1"/>
  <c r="L97" i="52"/>
  <c r="L140" i="52" s="1"/>
  <c r="K97" i="52"/>
  <c r="K140" i="52" s="1"/>
  <c r="J97" i="52"/>
  <c r="J140" i="52" s="1"/>
  <c r="I97" i="52"/>
  <c r="I140" i="52" s="1"/>
  <c r="H97" i="52"/>
  <c r="H140" i="52" s="1"/>
  <c r="G97" i="52"/>
  <c r="G140" i="52" s="1"/>
  <c r="F97" i="52"/>
  <c r="F140" i="52" s="1"/>
  <c r="E140" i="52"/>
  <c r="AM87" i="52"/>
  <c r="AL87" i="52"/>
  <c r="AK87" i="52"/>
  <c r="AJ87" i="52"/>
  <c r="AI87" i="52"/>
  <c r="AH87" i="52"/>
  <c r="AG87" i="52"/>
  <c r="AF87" i="52"/>
  <c r="AE87" i="52"/>
  <c r="AD87" i="52"/>
  <c r="AM86" i="52"/>
  <c r="AM142" i="52" s="1"/>
  <c r="AL86" i="52"/>
  <c r="AL142" i="52" s="1"/>
  <c r="AK86" i="52"/>
  <c r="AK142" i="52" s="1"/>
  <c r="AJ86" i="52"/>
  <c r="AJ142" i="52" s="1"/>
  <c r="AI86" i="52"/>
  <c r="AI142" i="52" s="1"/>
  <c r="AH86" i="52"/>
  <c r="AH142" i="52" s="1"/>
  <c r="AG86" i="52"/>
  <c r="AG142" i="52" s="1"/>
  <c r="AF86" i="52"/>
  <c r="AF142" i="52" s="1"/>
  <c r="AE86" i="52"/>
  <c r="AE142" i="52" s="1"/>
  <c r="AD86" i="52"/>
  <c r="AD142" i="52" s="1"/>
  <c r="AC86" i="52"/>
  <c r="AC142" i="52" s="1"/>
  <c r="AB86" i="52"/>
  <c r="AB142" i="52" s="1"/>
  <c r="AA86" i="52"/>
  <c r="AA142" i="52" s="1"/>
  <c r="Z86" i="52"/>
  <c r="Z142" i="52" s="1"/>
  <c r="Y86" i="52"/>
  <c r="Y142" i="52" s="1"/>
  <c r="X86" i="52"/>
  <c r="X142" i="52" s="1"/>
  <c r="W86" i="52"/>
  <c r="W142" i="52" s="1"/>
  <c r="V86" i="52"/>
  <c r="V142" i="52" s="1"/>
  <c r="U86" i="52"/>
  <c r="U142" i="52" s="1"/>
  <c r="T86" i="52"/>
  <c r="T142" i="52" s="1"/>
  <c r="S86" i="52"/>
  <c r="S142" i="52" s="1"/>
  <c r="R86" i="52"/>
  <c r="R142" i="52" s="1"/>
  <c r="Q86" i="52"/>
  <c r="Q142" i="52" s="1"/>
  <c r="P86" i="52"/>
  <c r="P142" i="52" s="1"/>
  <c r="O86" i="52"/>
  <c r="O142" i="52" s="1"/>
  <c r="N86" i="52"/>
  <c r="N142" i="52" s="1"/>
  <c r="M86" i="52"/>
  <c r="M142" i="52" s="1"/>
  <c r="L86" i="52"/>
  <c r="L142" i="52" s="1"/>
  <c r="K86" i="52"/>
  <c r="K142" i="52" s="1"/>
  <c r="J86" i="52"/>
  <c r="J142" i="52" s="1"/>
  <c r="I86" i="52"/>
  <c r="I142" i="52" s="1"/>
  <c r="H86" i="52"/>
  <c r="H142" i="52" s="1"/>
  <c r="G86" i="52"/>
  <c r="G142" i="52" s="1"/>
  <c r="F86" i="52"/>
  <c r="F142" i="52" s="1"/>
  <c r="E86" i="52"/>
  <c r="E142" i="52" s="1"/>
  <c r="D86" i="52"/>
  <c r="D142" i="52" s="1"/>
  <c r="AM84" i="52"/>
  <c r="AL84" i="52"/>
  <c r="AK84" i="52"/>
  <c r="AJ84" i="52"/>
  <c r="AI84" i="52"/>
  <c r="AH84" i="52"/>
  <c r="AG84" i="52"/>
  <c r="AF84" i="52"/>
  <c r="AE84" i="52"/>
  <c r="AD84" i="52"/>
  <c r="C83" i="52"/>
  <c r="AM79" i="52"/>
  <c r="AL79" i="52"/>
  <c r="AK79" i="52"/>
  <c r="AJ79" i="52"/>
  <c r="AI79" i="52"/>
  <c r="AH79" i="52"/>
  <c r="AH133" i="52" s="1"/>
  <c r="AG79" i="52"/>
  <c r="AG120" i="52" s="1"/>
  <c r="AG131" i="52" s="1"/>
  <c r="AF79" i="52"/>
  <c r="AE79" i="52"/>
  <c r="AD79" i="52"/>
  <c r="D14" i="52"/>
  <c r="D10" i="52"/>
  <c r="AG143" i="52" l="1"/>
  <c r="AG102" i="52"/>
  <c r="AG104" i="52" s="1"/>
  <c r="AD133" i="52"/>
  <c r="AL85" i="52"/>
  <c r="AL141" i="52" s="1"/>
  <c r="W77" i="54"/>
  <c r="V79" i="54"/>
  <c r="V78" i="54"/>
  <c r="V88" i="54"/>
  <c r="U79" i="54"/>
  <c r="U88" i="54"/>
  <c r="U78" i="54"/>
  <c r="X77" i="54"/>
  <c r="AH111" i="52"/>
  <c r="AD111" i="52"/>
  <c r="AD85" i="52"/>
  <c r="AD141" i="52" s="1"/>
  <c r="AL111" i="52"/>
  <c r="AE85" i="52"/>
  <c r="AE141" i="52" s="1"/>
  <c r="AM85" i="52"/>
  <c r="AM141" i="52" s="1"/>
  <c r="AE120" i="52"/>
  <c r="AE131" i="52" s="1"/>
  <c r="AE116" i="52" s="1"/>
  <c r="AH102" i="52"/>
  <c r="AH104" i="52" s="1"/>
  <c r="AM102" i="52"/>
  <c r="AM104" i="52" s="1"/>
  <c r="AM112" i="52" s="1"/>
  <c r="AH143" i="52"/>
  <c r="AF120" i="52"/>
  <c r="AF131" i="52" s="1"/>
  <c r="AF133" i="52"/>
  <c r="AF150" i="52"/>
  <c r="AF85" i="52"/>
  <c r="AF141" i="52" s="1"/>
  <c r="AJ120" i="52"/>
  <c r="AJ131" i="52" s="1"/>
  <c r="AJ150" i="52"/>
  <c r="AJ133" i="52"/>
  <c r="AJ111" i="52"/>
  <c r="AJ85" i="52"/>
  <c r="AJ141" i="52" s="1"/>
  <c r="AG138" i="52"/>
  <c r="AG116" i="52"/>
  <c r="AF111" i="52"/>
  <c r="AH85" i="52"/>
  <c r="AH141" i="52" s="1"/>
  <c r="AD143" i="52"/>
  <c r="AD102" i="52"/>
  <c r="AD104" i="52" s="1"/>
  <c r="AL143" i="52"/>
  <c r="AL102" i="52"/>
  <c r="AL104" i="52" s="1"/>
  <c r="AE102" i="52"/>
  <c r="AE104" i="52" s="1"/>
  <c r="AE150" i="52"/>
  <c r="AE133" i="52"/>
  <c r="AE111" i="52"/>
  <c r="AI150" i="52"/>
  <c r="AI133" i="52"/>
  <c r="AI120" i="52"/>
  <c r="AI131" i="52" s="1"/>
  <c r="AI111" i="52"/>
  <c r="AM150" i="52"/>
  <c r="AM133" i="52"/>
  <c r="AM120" i="52"/>
  <c r="AM131" i="52" s="1"/>
  <c r="AM111" i="52"/>
  <c r="AI85" i="52"/>
  <c r="AI141" i="52" s="1"/>
  <c r="AI102" i="52"/>
  <c r="AI104" i="52" s="1"/>
  <c r="AJ102" i="52"/>
  <c r="AJ104" i="52" s="1"/>
  <c r="AG150" i="52"/>
  <c r="AG133" i="52"/>
  <c r="AG111" i="52"/>
  <c r="AK150" i="52"/>
  <c r="AK133" i="52"/>
  <c r="AK111" i="52"/>
  <c r="AK102" i="52"/>
  <c r="AK104" i="52" s="1"/>
  <c r="AK120" i="52"/>
  <c r="AK131" i="52" s="1"/>
  <c r="AF102" i="52"/>
  <c r="AF104" i="52" s="1"/>
  <c r="AD150" i="52"/>
  <c r="AD120" i="52"/>
  <c r="AD131" i="52" s="1"/>
  <c r="AH150" i="52"/>
  <c r="AH120" i="52"/>
  <c r="AH131" i="52" s="1"/>
  <c r="AL150" i="52"/>
  <c r="AL133" i="52"/>
  <c r="AG85" i="52"/>
  <c r="AG141" i="52" s="1"/>
  <c r="AK85" i="52"/>
  <c r="AK141" i="52" s="1"/>
  <c r="AL120" i="52"/>
  <c r="AL131" i="52" s="1"/>
  <c r="AE138" i="52" l="1"/>
  <c r="AA77" i="54"/>
  <c r="Y77" i="54"/>
  <c r="X79" i="54"/>
  <c r="X88" i="54"/>
  <c r="X78" i="54"/>
  <c r="W79" i="54"/>
  <c r="W78" i="54"/>
  <c r="W88" i="54"/>
  <c r="AB77" i="54"/>
  <c r="Z77" i="54"/>
  <c r="AK145" i="52"/>
  <c r="AK151" i="52"/>
  <c r="AK152" i="52" s="1"/>
  <c r="AK153" i="52" s="1"/>
  <c r="AH151" i="52"/>
  <c r="AH152" i="52" s="1"/>
  <c r="AH153" i="52" s="1"/>
  <c r="AH145" i="52"/>
  <c r="AG145" i="52"/>
  <c r="AG151" i="52"/>
  <c r="AG152" i="52" s="1"/>
  <c r="AG153" i="52" s="1"/>
  <c r="AI151" i="52"/>
  <c r="AI152" i="52" s="1"/>
  <c r="AI153" i="52" s="1"/>
  <c r="AI145" i="52"/>
  <c r="AH114" i="52"/>
  <c r="AJ151" i="52"/>
  <c r="AJ152" i="52" s="1"/>
  <c r="AJ153" i="52" s="1"/>
  <c r="AJ145" i="52"/>
  <c r="AE113" i="52"/>
  <c r="AE112" i="52"/>
  <c r="AL138" i="52"/>
  <c r="AL116" i="52"/>
  <c r="AL114" i="52"/>
  <c r="AD138" i="52"/>
  <c r="AD116" i="52"/>
  <c r="AF113" i="52"/>
  <c r="AF112" i="52"/>
  <c r="AK112" i="52"/>
  <c r="AK113" i="52"/>
  <c r="AI112" i="52"/>
  <c r="AI113" i="52"/>
  <c r="AM151" i="52"/>
  <c r="AM152" i="52" s="1"/>
  <c r="AM153" i="52" s="1"/>
  <c r="AM145" i="52"/>
  <c r="AM116" i="52"/>
  <c r="AM138" i="52"/>
  <c r="AI114" i="52"/>
  <c r="AL113" i="52"/>
  <c r="AL112" i="52"/>
  <c r="AL151" i="52"/>
  <c r="AL152" i="52" s="1"/>
  <c r="AL153" i="52" s="1"/>
  <c r="AL145" i="52"/>
  <c r="AF114" i="52"/>
  <c r="AM113" i="52"/>
  <c r="AM114" i="52"/>
  <c r="AD112" i="52"/>
  <c r="AD113" i="52"/>
  <c r="AJ114" i="52"/>
  <c r="AH138" i="52"/>
  <c r="AH116" i="52"/>
  <c r="AG113" i="52"/>
  <c r="AG112" i="52"/>
  <c r="AG114" i="52"/>
  <c r="AJ113" i="52"/>
  <c r="AJ112" i="52"/>
  <c r="AI138" i="52"/>
  <c r="AI116" i="52"/>
  <c r="AE114" i="52"/>
  <c r="AJ138" i="52"/>
  <c r="AJ116" i="52"/>
  <c r="AD114" i="52"/>
  <c r="AK116" i="52"/>
  <c r="AK138" i="52"/>
  <c r="AK114" i="52"/>
  <c r="AE151" i="52"/>
  <c r="AE152" i="52" s="1"/>
  <c r="AE153" i="52" s="1"/>
  <c r="AE145" i="52"/>
  <c r="AH113" i="52"/>
  <c r="AH112" i="52"/>
  <c r="AD151" i="52"/>
  <c r="AD152" i="52" s="1"/>
  <c r="AD153" i="52" s="1"/>
  <c r="AD145" i="52"/>
  <c r="AF151" i="52"/>
  <c r="AF152" i="52" s="1"/>
  <c r="AF153" i="52" s="1"/>
  <c r="AF145" i="52"/>
  <c r="AF138" i="52"/>
  <c r="AF116" i="52"/>
  <c r="Z79" i="54" l="1"/>
  <c r="Z78" i="54"/>
  <c r="Z88" i="54"/>
  <c r="Y79" i="54"/>
  <c r="Y88" i="54"/>
  <c r="Y78" i="54"/>
  <c r="AB79" i="54"/>
  <c r="AB78" i="54"/>
  <c r="AB88" i="54"/>
  <c r="AA79" i="54"/>
  <c r="AA78" i="54"/>
  <c r="AA88" i="54"/>
  <c r="D23" i="10" l="1"/>
  <c r="D12" i="49" l="1"/>
  <c r="D13" i="49"/>
  <c r="D14" i="49"/>
  <c r="C54" i="38" s="1"/>
  <c r="D11" i="49"/>
  <c r="C58" i="36" s="1"/>
  <c r="B15" i="49"/>
  <c r="C53" i="40" l="1"/>
  <c r="D15" i="49"/>
  <c r="C55" i="39"/>
  <c r="B7" i="48"/>
  <c r="C48" i="45" l="1"/>
  <c r="C57" i="41"/>
  <c r="C162" i="47"/>
  <c r="C161" i="47"/>
  <c r="C160" i="47"/>
  <c r="AD147" i="47"/>
  <c r="AC147" i="47"/>
  <c r="D141" i="47"/>
  <c r="D140" i="47"/>
  <c r="B135" i="47"/>
  <c r="B134" i="47"/>
  <c r="AD130" i="47"/>
  <c r="AC130" i="47"/>
  <c r="AD128" i="47"/>
  <c r="AC128" i="47"/>
  <c r="AC135" i="47" s="1"/>
  <c r="AM105" i="47"/>
  <c r="AL105" i="47"/>
  <c r="AK105" i="47"/>
  <c r="AJ105" i="47"/>
  <c r="AI105" i="47"/>
  <c r="AH105" i="47"/>
  <c r="AG105" i="47"/>
  <c r="AF105" i="47"/>
  <c r="AE105" i="47"/>
  <c r="AD105" i="47"/>
  <c r="AM98" i="47"/>
  <c r="AM141" i="47" s="1"/>
  <c r="AL98" i="47"/>
  <c r="AL141" i="47" s="1"/>
  <c r="AK98" i="47"/>
  <c r="AK141" i="47" s="1"/>
  <c r="AJ98" i="47"/>
  <c r="AJ141" i="47" s="1"/>
  <c r="AI98" i="47"/>
  <c r="AI141" i="47" s="1"/>
  <c r="AH98" i="47"/>
  <c r="AH141" i="47" s="1"/>
  <c r="AG98" i="47"/>
  <c r="AG141" i="47" s="1"/>
  <c r="AF98" i="47"/>
  <c r="AF141" i="47" s="1"/>
  <c r="AE98" i="47"/>
  <c r="AE141" i="47" s="1"/>
  <c r="AD98" i="47"/>
  <c r="AD141" i="47" s="1"/>
  <c r="AM97" i="47"/>
  <c r="AM140" i="47" s="1"/>
  <c r="AL97" i="47"/>
  <c r="AL140" i="47" s="1"/>
  <c r="AK97" i="47"/>
  <c r="AK140" i="47" s="1"/>
  <c r="AJ97" i="47"/>
  <c r="AJ140" i="47" s="1"/>
  <c r="AI97" i="47"/>
  <c r="AI140" i="47" s="1"/>
  <c r="AH97" i="47"/>
  <c r="AH140" i="47" s="1"/>
  <c r="AG97" i="47"/>
  <c r="AG140" i="47" s="1"/>
  <c r="AF97" i="47"/>
  <c r="AF140" i="47" s="1"/>
  <c r="AE97" i="47"/>
  <c r="AE140" i="47" s="1"/>
  <c r="AD97" i="47"/>
  <c r="AD140" i="47" s="1"/>
  <c r="M94" i="47"/>
  <c r="M137" i="47" s="1"/>
  <c r="L94" i="47"/>
  <c r="L137" i="47" s="1"/>
  <c r="K94" i="47"/>
  <c r="K137" i="47" s="1"/>
  <c r="J94" i="47"/>
  <c r="J137" i="47" s="1"/>
  <c r="I94" i="47"/>
  <c r="I137" i="47" s="1"/>
  <c r="H94" i="47"/>
  <c r="H137" i="47" s="1"/>
  <c r="G94" i="47"/>
  <c r="G137" i="47" s="1"/>
  <c r="F94" i="47"/>
  <c r="F137" i="47" s="1"/>
  <c r="E94" i="47"/>
  <c r="AM84" i="47"/>
  <c r="AL84" i="47"/>
  <c r="AK84" i="47"/>
  <c r="AJ84" i="47"/>
  <c r="AI84" i="47"/>
  <c r="AH84" i="47"/>
  <c r="AG84" i="47"/>
  <c r="AF84" i="47"/>
  <c r="AE84" i="47"/>
  <c r="AD84" i="47"/>
  <c r="AC84" i="47"/>
  <c r="AM83" i="47"/>
  <c r="AM139" i="47" s="1"/>
  <c r="AL83" i="47"/>
  <c r="AL139" i="47" s="1"/>
  <c r="AK83" i="47"/>
  <c r="AK139" i="47" s="1"/>
  <c r="AJ83" i="47"/>
  <c r="AJ139" i="47" s="1"/>
  <c r="AI83" i="47"/>
  <c r="AI139" i="47" s="1"/>
  <c r="AH83" i="47"/>
  <c r="AH139" i="47" s="1"/>
  <c r="AG83" i="47"/>
  <c r="AG139" i="47" s="1"/>
  <c r="AF83" i="47"/>
  <c r="AF139" i="47" s="1"/>
  <c r="AE83" i="47"/>
  <c r="AE139" i="47" s="1"/>
  <c r="AD83" i="47"/>
  <c r="AD139" i="47" s="1"/>
  <c r="AC83" i="47"/>
  <c r="AC139" i="47" s="1"/>
  <c r="AB83" i="47"/>
  <c r="AB139" i="47" s="1"/>
  <c r="AA83" i="47"/>
  <c r="AA139" i="47" s="1"/>
  <c r="Z83" i="47"/>
  <c r="Z139" i="47" s="1"/>
  <c r="Y83" i="47"/>
  <c r="Y139" i="47" s="1"/>
  <c r="X83" i="47"/>
  <c r="X139" i="47" s="1"/>
  <c r="W83" i="47"/>
  <c r="W139" i="47" s="1"/>
  <c r="V83" i="47"/>
  <c r="V139" i="47" s="1"/>
  <c r="U83" i="47"/>
  <c r="U139" i="47" s="1"/>
  <c r="T83" i="47"/>
  <c r="T139" i="47" s="1"/>
  <c r="S83" i="47"/>
  <c r="S139" i="47" s="1"/>
  <c r="R83" i="47"/>
  <c r="R139" i="47" s="1"/>
  <c r="Q83" i="47"/>
  <c r="Q139" i="47" s="1"/>
  <c r="P83" i="47"/>
  <c r="P139" i="47" s="1"/>
  <c r="O83" i="47"/>
  <c r="O139" i="47" s="1"/>
  <c r="N83" i="47"/>
  <c r="N139" i="47" s="1"/>
  <c r="M83" i="47"/>
  <c r="M139" i="47" s="1"/>
  <c r="L83" i="47"/>
  <c r="L139" i="47" s="1"/>
  <c r="K83" i="47"/>
  <c r="K139" i="47" s="1"/>
  <c r="J83" i="47"/>
  <c r="J139" i="47" s="1"/>
  <c r="I83" i="47"/>
  <c r="I139" i="47" s="1"/>
  <c r="H83" i="47"/>
  <c r="H139" i="47" s="1"/>
  <c r="G83" i="47"/>
  <c r="G139" i="47" s="1"/>
  <c r="F83" i="47"/>
  <c r="F139" i="47" s="1"/>
  <c r="E83" i="47"/>
  <c r="E139" i="47" s="1"/>
  <c r="D83" i="47"/>
  <c r="D139" i="47" s="1"/>
  <c r="AM82" i="47"/>
  <c r="AM138" i="47" s="1"/>
  <c r="AL82" i="47"/>
  <c r="AL138" i="47" s="1"/>
  <c r="AK82" i="47"/>
  <c r="AK138" i="47" s="1"/>
  <c r="AJ82" i="47"/>
  <c r="AJ138" i="47" s="1"/>
  <c r="AI82" i="47"/>
  <c r="AI138" i="47" s="1"/>
  <c r="AH82" i="47"/>
  <c r="AH138" i="47" s="1"/>
  <c r="AG82" i="47"/>
  <c r="AG138" i="47" s="1"/>
  <c r="AF82" i="47"/>
  <c r="AF138" i="47" s="1"/>
  <c r="AE82" i="47"/>
  <c r="AE138" i="47" s="1"/>
  <c r="AM78" i="47"/>
  <c r="AL78" i="47"/>
  <c r="AK78" i="47"/>
  <c r="AJ78" i="47"/>
  <c r="AJ117" i="47" s="1"/>
  <c r="AJ128" i="47" s="1"/>
  <c r="AI78" i="47"/>
  <c r="AI130" i="47" s="1"/>
  <c r="AH78" i="47"/>
  <c r="AH130" i="47" s="1"/>
  <c r="AG78" i="47"/>
  <c r="AF78" i="47"/>
  <c r="AF117" i="47" s="1"/>
  <c r="AF128" i="47" s="1"/>
  <c r="AE78" i="47"/>
  <c r="D15" i="47"/>
  <c r="D14" i="47"/>
  <c r="E137" i="47" l="1"/>
  <c r="AL108" i="47"/>
  <c r="AI108" i="47"/>
  <c r="AD108" i="47"/>
  <c r="AJ113" i="47"/>
  <c r="AJ135" i="47"/>
  <c r="AF135" i="47"/>
  <c r="AF113" i="47"/>
  <c r="AL148" i="47"/>
  <c r="AL142" i="47"/>
  <c r="AF99" i="47"/>
  <c r="AF101" i="47" s="1"/>
  <c r="AE148" i="47"/>
  <c r="AE142" i="47"/>
  <c r="AG99" i="47"/>
  <c r="AG101" i="47" s="1"/>
  <c r="AK99" i="47"/>
  <c r="AK101" i="47" s="1"/>
  <c r="AE108" i="47"/>
  <c r="AJ108" i="47"/>
  <c r="AG147" i="47"/>
  <c r="AG130" i="47"/>
  <c r="AG108" i="47"/>
  <c r="AG117" i="47"/>
  <c r="AG128" i="47" s="1"/>
  <c r="AK147" i="47"/>
  <c r="AK108" i="47"/>
  <c r="AK130" i="47"/>
  <c r="AH147" i="47"/>
  <c r="AH117" i="47"/>
  <c r="AH128" i="47" s="1"/>
  <c r="AI148" i="47"/>
  <c r="AI142" i="47"/>
  <c r="AC108" i="47"/>
  <c r="AC113" i="47"/>
  <c r="AE147" i="47"/>
  <c r="AE117" i="47"/>
  <c r="AE128" i="47" s="1"/>
  <c r="AE130" i="47"/>
  <c r="AI147" i="47"/>
  <c r="AI117" i="47"/>
  <c r="AI128" i="47" s="1"/>
  <c r="AM147" i="47"/>
  <c r="AM117" i="47"/>
  <c r="AM128" i="47" s="1"/>
  <c r="AF148" i="47"/>
  <c r="AF142" i="47"/>
  <c r="AJ148" i="47"/>
  <c r="AJ142" i="47"/>
  <c r="AD99" i="47"/>
  <c r="AD101" i="47" s="1"/>
  <c r="AH99" i="47"/>
  <c r="AH101" i="47" s="1"/>
  <c r="AL99" i="47"/>
  <c r="AL101" i="47" s="1"/>
  <c r="AF108" i="47"/>
  <c r="AC111" i="47"/>
  <c r="AK117" i="47"/>
  <c r="AK128" i="47" s="1"/>
  <c r="AM130" i="47"/>
  <c r="AH148" i="47"/>
  <c r="AH142" i="47"/>
  <c r="AD148" i="47"/>
  <c r="AD149" i="47" s="1"/>
  <c r="AD150" i="47" s="1"/>
  <c r="AD142" i="47"/>
  <c r="AJ99" i="47"/>
  <c r="AJ101" i="47" s="1"/>
  <c r="AL147" i="47"/>
  <c r="AL130" i="47"/>
  <c r="AL117" i="47"/>
  <c r="AL128" i="47" s="1"/>
  <c r="AM148" i="47"/>
  <c r="AM142" i="47"/>
  <c r="AF147" i="47"/>
  <c r="AF130" i="47"/>
  <c r="AJ147" i="47"/>
  <c r="AJ130" i="47"/>
  <c r="AG148" i="47"/>
  <c r="AG142" i="47"/>
  <c r="AK148" i="47"/>
  <c r="AK142" i="47"/>
  <c r="AE99" i="47"/>
  <c r="AE101" i="47" s="1"/>
  <c r="AI99" i="47"/>
  <c r="AI101" i="47" s="1"/>
  <c r="AM99" i="47"/>
  <c r="AM101" i="47" s="1"/>
  <c r="AH108" i="47"/>
  <c r="AM108" i="47"/>
  <c r="AD111" i="47"/>
  <c r="AD135" i="47"/>
  <c r="AD113" i="47"/>
  <c r="AI113" i="47" l="1"/>
  <c r="AI135" i="47"/>
  <c r="AD109" i="47"/>
  <c r="AD110" i="47"/>
  <c r="AM113" i="47"/>
  <c r="AM135" i="47"/>
  <c r="AI149" i="47"/>
  <c r="AI150" i="47" s="1"/>
  <c r="AI111" i="47"/>
  <c r="AH135" i="47"/>
  <c r="AH113" i="47"/>
  <c r="AK110" i="47"/>
  <c r="AK109" i="47"/>
  <c r="AE149" i="47"/>
  <c r="AE150" i="47" s="1"/>
  <c r="AE111" i="47"/>
  <c r="AG135" i="47"/>
  <c r="AG113" i="47"/>
  <c r="AM110" i="47"/>
  <c r="AM109" i="47"/>
  <c r="AF149" i="47"/>
  <c r="AF150" i="47" s="1"/>
  <c r="AF111" i="47"/>
  <c r="AI110" i="47"/>
  <c r="AI109" i="47"/>
  <c r="AJ110" i="47"/>
  <c r="AJ109" i="47"/>
  <c r="AM149" i="47"/>
  <c r="AM150" i="47" s="1"/>
  <c r="AM111" i="47"/>
  <c r="AG110" i="47"/>
  <c r="AG109" i="47"/>
  <c r="AL135" i="47"/>
  <c r="AL113" i="47"/>
  <c r="AH110" i="47"/>
  <c r="AH109" i="47"/>
  <c r="AG149" i="47"/>
  <c r="AG150" i="47" s="1"/>
  <c r="AG111" i="47"/>
  <c r="AE109" i="47"/>
  <c r="AE110" i="47"/>
  <c r="AJ149" i="47"/>
  <c r="AJ150" i="47" s="1"/>
  <c r="AJ111" i="47"/>
  <c r="AL149" i="47"/>
  <c r="AL150" i="47" s="1"/>
  <c r="AL111" i="47"/>
  <c r="AK135" i="47"/>
  <c r="AK113" i="47"/>
  <c r="AL109" i="47"/>
  <c r="AL110" i="47"/>
  <c r="AE113" i="47"/>
  <c r="AE135" i="47"/>
  <c r="AH149" i="47"/>
  <c r="AH150" i="47" s="1"/>
  <c r="AH111" i="47"/>
  <c r="AK149" i="47"/>
  <c r="AK150" i="47" s="1"/>
  <c r="AK111" i="47"/>
  <c r="AF110" i="47"/>
  <c r="AF109" i="47"/>
  <c r="C11" i="45" l="1"/>
  <c r="C10" i="45"/>
  <c r="C9" i="45"/>
  <c r="C11" i="41" l="1"/>
  <c r="C11" i="40"/>
  <c r="C11" i="39"/>
  <c r="C11" i="38"/>
  <c r="C11" i="36"/>
  <c r="G51" i="41" l="1"/>
  <c r="AB40" i="41"/>
  <c r="AA40" i="41"/>
  <c r="Z40" i="41"/>
  <c r="Y40" i="41"/>
  <c r="X40" i="41"/>
  <c r="W40" i="41"/>
  <c r="V40" i="41"/>
  <c r="U40" i="41"/>
  <c r="T40" i="41"/>
  <c r="S40" i="41"/>
  <c r="R40" i="41"/>
  <c r="Q40" i="41"/>
  <c r="P40" i="41"/>
  <c r="O40" i="41"/>
  <c r="N40" i="41"/>
  <c r="M40" i="41"/>
  <c r="L40" i="41"/>
  <c r="K40" i="41"/>
  <c r="J40" i="41"/>
  <c r="I40" i="41"/>
  <c r="H40" i="41"/>
  <c r="G40" i="41"/>
  <c r="F40" i="41"/>
  <c r="E40" i="41"/>
  <c r="D40" i="41"/>
  <c r="AB37" i="41"/>
  <c r="AA37" i="41"/>
  <c r="Z37" i="41"/>
  <c r="Y37" i="41"/>
  <c r="X37" i="41"/>
  <c r="W37" i="41"/>
  <c r="V37" i="41"/>
  <c r="U37" i="41"/>
  <c r="T37" i="41"/>
  <c r="S37" i="41"/>
  <c r="R37" i="41"/>
  <c r="Q37" i="41"/>
  <c r="P37" i="41"/>
  <c r="O37" i="41"/>
  <c r="N37" i="41"/>
  <c r="M37" i="41"/>
  <c r="L37" i="41"/>
  <c r="K37" i="41"/>
  <c r="J37" i="41"/>
  <c r="I37" i="41"/>
  <c r="H37" i="41"/>
  <c r="G37" i="41"/>
  <c r="F37" i="41"/>
  <c r="E37" i="41"/>
  <c r="D37" i="41"/>
  <c r="H26" i="41"/>
  <c r="G26" i="41"/>
  <c r="F26" i="41"/>
  <c r="E26" i="41"/>
  <c r="D26" i="41"/>
  <c r="C9" i="41"/>
  <c r="AB40" i="40"/>
  <c r="AA40" i="40"/>
  <c r="Z40" i="40"/>
  <c r="Y40" i="40"/>
  <c r="X40" i="40"/>
  <c r="W40" i="40"/>
  <c r="V40" i="40"/>
  <c r="U40" i="40"/>
  <c r="T40" i="40"/>
  <c r="S40" i="40"/>
  <c r="R40" i="40"/>
  <c r="Q40" i="40"/>
  <c r="P40" i="40"/>
  <c r="O40" i="40"/>
  <c r="N40" i="40"/>
  <c r="M40" i="40"/>
  <c r="L40" i="40"/>
  <c r="K40" i="40"/>
  <c r="J40" i="40"/>
  <c r="I40" i="40"/>
  <c r="H40" i="40"/>
  <c r="G40" i="40"/>
  <c r="F40" i="40"/>
  <c r="E40" i="40"/>
  <c r="D40" i="40"/>
  <c r="AB37" i="40"/>
  <c r="AA37" i="40"/>
  <c r="Z37" i="40"/>
  <c r="Y37" i="40"/>
  <c r="X37" i="40"/>
  <c r="W37" i="40"/>
  <c r="V37" i="40"/>
  <c r="U37" i="40"/>
  <c r="T37" i="40"/>
  <c r="S37" i="40"/>
  <c r="R37" i="40"/>
  <c r="Q37" i="40"/>
  <c r="P37" i="40"/>
  <c r="O37" i="40"/>
  <c r="N37" i="40"/>
  <c r="M37" i="40"/>
  <c r="L37" i="40"/>
  <c r="K37" i="40"/>
  <c r="J37" i="40"/>
  <c r="I37" i="40"/>
  <c r="H37" i="40"/>
  <c r="G37" i="40"/>
  <c r="F37" i="40"/>
  <c r="E37" i="40"/>
  <c r="D37" i="40"/>
  <c r="H25" i="40"/>
  <c r="G25" i="40"/>
  <c r="F25" i="40"/>
  <c r="E25" i="40"/>
  <c r="D25" i="40"/>
  <c r="C10" i="40"/>
  <c r="C9" i="40"/>
  <c r="I54" i="41" l="1"/>
  <c r="I55" i="41" s="1"/>
  <c r="I51" i="40"/>
  <c r="J51" i="40" s="1"/>
  <c r="I25" i="40" l="1"/>
  <c r="I26" i="41"/>
  <c r="J54" i="41"/>
  <c r="J55" i="41" s="1"/>
  <c r="K51" i="40"/>
  <c r="J25" i="40"/>
  <c r="K54" i="41" l="1"/>
  <c r="K55" i="41" s="1"/>
  <c r="D47" i="45"/>
  <c r="D25" i="45"/>
  <c r="J26" i="41"/>
  <c r="L54" i="41"/>
  <c r="L55" i="41" s="1"/>
  <c r="L51" i="40"/>
  <c r="K25" i="40"/>
  <c r="F47" i="45" l="1"/>
  <c r="E47" i="45"/>
  <c r="K26" i="41"/>
  <c r="M54" i="41"/>
  <c r="M55" i="41" s="1"/>
  <c r="L26" i="41"/>
  <c r="M51" i="40"/>
  <c r="L25" i="40"/>
  <c r="N54" i="41" l="1"/>
  <c r="N55" i="41" s="1"/>
  <c r="M26" i="41"/>
  <c r="N51" i="40"/>
  <c r="M25" i="40"/>
  <c r="O54" i="41" l="1"/>
  <c r="O55" i="41" s="1"/>
  <c r="N26" i="41"/>
  <c r="O51" i="40"/>
  <c r="N25" i="40"/>
  <c r="P54" i="41" l="1"/>
  <c r="P55" i="41" s="1"/>
  <c r="O26" i="41"/>
  <c r="P51" i="40"/>
  <c r="O25" i="40"/>
  <c r="Q54" i="41" l="1"/>
  <c r="Q55" i="41" s="1"/>
  <c r="P26" i="41"/>
  <c r="Q51" i="40"/>
  <c r="P25" i="40"/>
  <c r="R54" i="41" l="1"/>
  <c r="R55" i="41" s="1"/>
  <c r="Q26" i="41"/>
  <c r="R51" i="40"/>
  <c r="Q25" i="40"/>
  <c r="S54" i="41" l="1"/>
  <c r="S55" i="41" s="1"/>
  <c r="R26" i="41"/>
  <c r="S51" i="40"/>
  <c r="R25" i="40"/>
  <c r="T54" i="41" l="1"/>
  <c r="T55" i="41" s="1"/>
  <c r="S26" i="41"/>
  <c r="T51" i="40"/>
  <c r="S25" i="40"/>
  <c r="U54" i="41" l="1"/>
  <c r="U55" i="41" s="1"/>
  <c r="T26" i="41"/>
  <c r="U51" i="40"/>
  <c r="T25" i="40"/>
  <c r="V54" i="41" l="1"/>
  <c r="V55" i="41" s="1"/>
  <c r="U26" i="41"/>
  <c r="V51" i="40"/>
  <c r="U25" i="40"/>
  <c r="W54" i="41" l="1"/>
  <c r="W55" i="41" s="1"/>
  <c r="V26" i="41"/>
  <c r="W51" i="40"/>
  <c r="V25" i="40"/>
  <c r="X54" i="41" l="1"/>
  <c r="X55" i="41" s="1"/>
  <c r="W26" i="41"/>
  <c r="X51" i="40"/>
  <c r="W25" i="40"/>
  <c r="Y54" i="41" l="1"/>
  <c r="Y55" i="41" s="1"/>
  <c r="X26" i="41"/>
  <c r="Y51" i="40"/>
  <c r="X25" i="40"/>
  <c r="Z54" i="41" l="1"/>
  <c r="Z55" i="41" s="1"/>
  <c r="Y26" i="41"/>
  <c r="Z51" i="40"/>
  <c r="Y25" i="40"/>
  <c r="AA54" i="41" l="1"/>
  <c r="AA55" i="41" s="1"/>
  <c r="Z26" i="41"/>
  <c r="AA51" i="40"/>
  <c r="Z25" i="40"/>
  <c r="AB54" i="41" l="1"/>
  <c r="AB55" i="41" s="1"/>
  <c r="AC55" i="41" s="1"/>
  <c r="AA26" i="41"/>
  <c r="AB51" i="40"/>
  <c r="AA25" i="40"/>
  <c r="AC54" i="41" l="1"/>
  <c r="AB26" i="41"/>
  <c r="AC26" i="41" s="1"/>
  <c r="AB25" i="40"/>
  <c r="AB41" i="39" l="1"/>
  <c r="AA41" i="39"/>
  <c r="Z41" i="39"/>
  <c r="Y41" i="39"/>
  <c r="X41" i="39"/>
  <c r="W41" i="39"/>
  <c r="V41" i="39"/>
  <c r="U41" i="39"/>
  <c r="T41" i="39"/>
  <c r="S41" i="39"/>
  <c r="R41" i="39"/>
  <c r="Q41" i="39"/>
  <c r="P41" i="39"/>
  <c r="O41" i="39"/>
  <c r="N41" i="39"/>
  <c r="M41" i="39"/>
  <c r="L41" i="39"/>
  <c r="K41" i="39"/>
  <c r="J41" i="39"/>
  <c r="I41" i="39"/>
  <c r="H41" i="39"/>
  <c r="G41" i="39"/>
  <c r="F41" i="39"/>
  <c r="E41" i="39"/>
  <c r="D41" i="39"/>
  <c r="AB38" i="39"/>
  <c r="AA38" i="39"/>
  <c r="Z38" i="39"/>
  <c r="Y38" i="39"/>
  <c r="X38" i="39"/>
  <c r="W38" i="39"/>
  <c r="V38" i="39"/>
  <c r="U38" i="39"/>
  <c r="T38" i="39"/>
  <c r="S38" i="39"/>
  <c r="R38" i="39"/>
  <c r="Q38" i="39"/>
  <c r="P38" i="39"/>
  <c r="O38" i="39"/>
  <c r="N38" i="39"/>
  <c r="M38" i="39"/>
  <c r="L38" i="39"/>
  <c r="K38" i="39"/>
  <c r="J38" i="39"/>
  <c r="I38" i="39"/>
  <c r="H38" i="39"/>
  <c r="G38" i="39"/>
  <c r="F38" i="39"/>
  <c r="E38" i="39"/>
  <c r="D38" i="39"/>
  <c r="H26" i="39"/>
  <c r="G26" i="39"/>
  <c r="F26" i="39"/>
  <c r="E26" i="39"/>
  <c r="D26" i="39"/>
  <c r="C10" i="39"/>
  <c r="C9" i="39"/>
  <c r="C31" i="36"/>
  <c r="AB40" i="38"/>
  <c r="AA40" i="38"/>
  <c r="Z40" i="38"/>
  <c r="Y40" i="38"/>
  <c r="X40" i="38"/>
  <c r="W40" i="38"/>
  <c r="V40" i="38"/>
  <c r="U40" i="38"/>
  <c r="T40" i="38"/>
  <c r="S40" i="38"/>
  <c r="R40" i="38"/>
  <c r="Q40" i="38"/>
  <c r="P40" i="38"/>
  <c r="O40" i="38"/>
  <c r="N40" i="38"/>
  <c r="M40" i="38"/>
  <c r="L40" i="38"/>
  <c r="K40" i="38"/>
  <c r="J40" i="38"/>
  <c r="I40" i="38"/>
  <c r="H40" i="38"/>
  <c r="G40" i="38"/>
  <c r="F40" i="38"/>
  <c r="E40" i="38"/>
  <c r="D40" i="38"/>
  <c r="AB37" i="38"/>
  <c r="AA37" i="38"/>
  <c r="Z37" i="38"/>
  <c r="Y37" i="38"/>
  <c r="X37" i="38"/>
  <c r="W37" i="38"/>
  <c r="V37" i="38"/>
  <c r="U37" i="38"/>
  <c r="T37" i="38"/>
  <c r="S37" i="38"/>
  <c r="R37" i="38"/>
  <c r="Q37" i="38"/>
  <c r="P37" i="38"/>
  <c r="O37" i="38"/>
  <c r="N37" i="38"/>
  <c r="M37" i="38"/>
  <c r="L37" i="38"/>
  <c r="K37" i="38"/>
  <c r="J37" i="38"/>
  <c r="I37" i="38"/>
  <c r="H37" i="38"/>
  <c r="G37" i="38"/>
  <c r="F37" i="38"/>
  <c r="E37" i="38"/>
  <c r="D37" i="38"/>
  <c r="H25" i="38"/>
  <c r="G25" i="38"/>
  <c r="F25" i="38"/>
  <c r="E25" i="38"/>
  <c r="D25" i="38"/>
  <c r="C10" i="38"/>
  <c r="C9" i="38"/>
  <c r="E25" i="36"/>
  <c r="F25" i="36"/>
  <c r="G25" i="36"/>
  <c r="H25" i="36"/>
  <c r="D25" i="36"/>
  <c r="F54" i="36"/>
  <c r="E54" i="36"/>
  <c r="D54" i="36"/>
  <c r="C54" i="36"/>
  <c r="F52" i="36"/>
  <c r="E52" i="36"/>
  <c r="D52" i="36"/>
  <c r="C52" i="36"/>
  <c r="G50" i="36"/>
  <c r="AB40" i="36"/>
  <c r="AA40" i="36"/>
  <c r="Z40" i="36"/>
  <c r="Y40" i="36"/>
  <c r="X40" i="36"/>
  <c r="W40" i="36"/>
  <c r="V40" i="36"/>
  <c r="U40" i="36"/>
  <c r="T40" i="36"/>
  <c r="S40" i="36"/>
  <c r="R40" i="36"/>
  <c r="Q40" i="36"/>
  <c r="P40" i="36"/>
  <c r="O40" i="36"/>
  <c r="N40" i="36"/>
  <c r="M40" i="36"/>
  <c r="L40" i="36"/>
  <c r="K40" i="36"/>
  <c r="J40" i="36"/>
  <c r="I40" i="36"/>
  <c r="H40" i="36"/>
  <c r="G40" i="36"/>
  <c r="F40" i="36"/>
  <c r="E40" i="36"/>
  <c r="D40" i="36"/>
  <c r="AB37" i="36"/>
  <c r="AA37" i="36"/>
  <c r="Z37" i="36"/>
  <c r="Y37" i="36"/>
  <c r="X37" i="36"/>
  <c r="W37" i="36"/>
  <c r="V37" i="36"/>
  <c r="U37" i="36"/>
  <c r="T37" i="36"/>
  <c r="S37" i="36"/>
  <c r="R37" i="36"/>
  <c r="Q37" i="36"/>
  <c r="P37" i="36"/>
  <c r="O37" i="36"/>
  <c r="N37" i="36"/>
  <c r="M37" i="36"/>
  <c r="L37" i="36"/>
  <c r="K37" i="36"/>
  <c r="J37" i="36"/>
  <c r="I37" i="36"/>
  <c r="H37" i="36"/>
  <c r="G37" i="36"/>
  <c r="F37" i="36"/>
  <c r="E37" i="36"/>
  <c r="D37" i="36"/>
  <c r="C10" i="36"/>
  <c r="C9" i="36"/>
  <c r="I52" i="38" l="1"/>
  <c r="I53" i="39"/>
  <c r="J53" i="39" s="1"/>
  <c r="G54" i="36"/>
  <c r="I56" i="36" s="1"/>
  <c r="G52" i="36"/>
  <c r="I25" i="38" l="1"/>
  <c r="I26" i="39"/>
  <c r="J52" i="38"/>
  <c r="K52" i="38" s="1"/>
  <c r="K53" i="39"/>
  <c r="J26" i="39"/>
  <c r="I25" i="36"/>
  <c r="J56" i="36"/>
  <c r="K56" i="36" s="1"/>
  <c r="J25" i="38" l="1"/>
  <c r="L53" i="39"/>
  <c r="K26" i="39"/>
  <c r="L52" i="38"/>
  <c r="K25" i="38"/>
  <c r="K25" i="36"/>
  <c r="J25" i="36"/>
  <c r="L56" i="36"/>
  <c r="M53" i="39" l="1"/>
  <c r="L26" i="39"/>
  <c r="M52" i="38"/>
  <c r="L25" i="38"/>
  <c r="L25" i="36"/>
  <c r="M56" i="36"/>
  <c r="N53" i="39" l="1"/>
  <c r="M26" i="39"/>
  <c r="M25" i="38"/>
  <c r="N52" i="38"/>
  <c r="M25" i="36"/>
  <c r="N56" i="36"/>
  <c r="N25" i="36" s="1"/>
  <c r="O53" i="39" l="1"/>
  <c r="N26" i="39"/>
  <c r="O52" i="38"/>
  <c r="N25" i="38"/>
  <c r="O56" i="36"/>
  <c r="O25" i="36" s="1"/>
  <c r="P53" i="39" l="1"/>
  <c r="O26" i="39"/>
  <c r="P52" i="38"/>
  <c r="O25" i="38"/>
  <c r="P56" i="36"/>
  <c r="P25" i="36" s="1"/>
  <c r="Q53" i="39" l="1"/>
  <c r="P26" i="39"/>
  <c r="Q52" i="38"/>
  <c r="P25" i="38"/>
  <c r="Q56" i="36"/>
  <c r="Q25" i="36" s="1"/>
  <c r="R53" i="39" l="1"/>
  <c r="Q26" i="39"/>
  <c r="R52" i="38"/>
  <c r="Q25" i="38"/>
  <c r="R56" i="36"/>
  <c r="R25" i="36" s="1"/>
  <c r="S53" i="39" l="1"/>
  <c r="R26" i="39"/>
  <c r="S52" i="38"/>
  <c r="R25" i="38"/>
  <c r="S56" i="36"/>
  <c r="S25" i="36" s="1"/>
  <c r="T53" i="39" l="1"/>
  <c r="S26" i="39"/>
  <c r="T52" i="38"/>
  <c r="S25" i="38"/>
  <c r="T56" i="36"/>
  <c r="T25" i="36" s="1"/>
  <c r="U53" i="39" l="1"/>
  <c r="T26" i="39"/>
  <c r="U52" i="38"/>
  <c r="T25" i="38"/>
  <c r="U56" i="36"/>
  <c r="U25" i="36" s="1"/>
  <c r="V53" i="39" l="1"/>
  <c r="U26" i="39"/>
  <c r="V52" i="38"/>
  <c r="U25" i="38"/>
  <c r="V56" i="36"/>
  <c r="V25" i="36" s="1"/>
  <c r="W53" i="39" l="1"/>
  <c r="V26" i="39"/>
  <c r="W52" i="38"/>
  <c r="V25" i="38"/>
  <c r="W56" i="36"/>
  <c r="W25" i="36" s="1"/>
  <c r="X53" i="39" l="1"/>
  <c r="W26" i="39"/>
  <c r="X52" i="38"/>
  <c r="W25" i="38"/>
  <c r="X56" i="36"/>
  <c r="X25" i="36" s="1"/>
  <c r="Y53" i="39" l="1"/>
  <c r="X26" i="39"/>
  <c r="Y52" i="38"/>
  <c r="X25" i="38"/>
  <c r="Y56" i="36"/>
  <c r="Y25" i="36" s="1"/>
  <c r="Z53" i="39" l="1"/>
  <c r="Y26" i="39"/>
  <c r="Z52" i="38"/>
  <c r="Y25" i="38"/>
  <c r="Z56" i="36"/>
  <c r="Z25" i="36" s="1"/>
  <c r="AA53" i="39" l="1"/>
  <c r="Z26" i="39"/>
  <c r="AA52" i="38"/>
  <c r="Z25" i="38"/>
  <c r="AA56" i="36"/>
  <c r="AA25" i="36" s="1"/>
  <c r="AB53" i="39" l="1"/>
  <c r="AA26" i="39"/>
  <c r="AB52" i="38"/>
  <c r="AA25" i="38"/>
  <c r="AB56" i="36"/>
  <c r="AB25" i="36" s="1"/>
  <c r="AB26" i="39" l="1"/>
  <c r="AB25" i="38"/>
  <c r="D79" i="21" l="1"/>
  <c r="D80" i="21" l="1"/>
  <c r="F80" i="21" s="1"/>
  <c r="E90" i="21" s="1"/>
  <c r="F79" i="21"/>
  <c r="AI50" i="26"/>
  <c r="AI49" i="26"/>
  <c r="AI48" i="26"/>
  <c r="AI47" i="26"/>
  <c r="AI43" i="26"/>
  <c r="AI42" i="26"/>
  <c r="AI41" i="26"/>
  <c r="AI40" i="26"/>
  <c r="AI39" i="26"/>
  <c r="AI38" i="26"/>
  <c r="AI37" i="26"/>
  <c r="AI36" i="26"/>
  <c r="AI35" i="26"/>
  <c r="AI30" i="26"/>
  <c r="AI29" i="26"/>
  <c r="AI28" i="26"/>
  <c r="AI27" i="26"/>
  <c r="AI26" i="26"/>
  <c r="AI25" i="26"/>
  <c r="AI24" i="26"/>
  <c r="AI19" i="26"/>
  <c r="AI18" i="26"/>
  <c r="AI17" i="26"/>
  <c r="AI16" i="26"/>
  <c r="AI10" i="26"/>
  <c r="AI9" i="26"/>
  <c r="AI8" i="26"/>
  <c r="AI7" i="26"/>
  <c r="AI6" i="26"/>
  <c r="AI5" i="26"/>
  <c r="AI4" i="26"/>
  <c r="AI3" i="26"/>
  <c r="AI2" i="26"/>
  <c r="AD41" i="25"/>
  <c r="AD40" i="25"/>
  <c r="AD39" i="25"/>
  <c r="AD34" i="25"/>
  <c r="AD33" i="25"/>
  <c r="AD32" i="25"/>
  <c r="AD31" i="25"/>
  <c r="AD27" i="25"/>
  <c r="AD26" i="25"/>
  <c r="AD25" i="25"/>
  <c r="AD24" i="25"/>
  <c r="AD23" i="25"/>
  <c r="AD22" i="25"/>
  <c r="AD21" i="25"/>
  <c r="AD17" i="25"/>
  <c r="AD16" i="25"/>
  <c r="AD15" i="25"/>
  <c r="AD14" i="25"/>
  <c r="AD13" i="25"/>
  <c r="H80" i="21" l="1"/>
  <c r="AD35" i="25"/>
  <c r="D39" i="21" s="1"/>
  <c r="E39" i="21" s="1"/>
  <c r="D24" i="21"/>
  <c r="E24" i="21" s="1"/>
  <c r="AI31" i="26"/>
  <c r="D59" i="21" s="1"/>
  <c r="AI20" i="26"/>
  <c r="D56" i="21" s="1"/>
  <c r="AI51" i="26"/>
  <c r="D57" i="21" s="1"/>
  <c r="D22" i="21"/>
  <c r="E22" i="21" s="1"/>
  <c r="D25" i="21"/>
  <c r="D23" i="21"/>
  <c r="E23" i="21" s="1"/>
  <c r="AI11" i="26"/>
  <c r="AI44" i="26"/>
  <c r="D58" i="21" s="1"/>
  <c r="AD42" i="25"/>
  <c r="AD18" i="25"/>
  <c r="D38" i="21" s="1"/>
  <c r="AD28" i="25"/>
  <c r="AD70" i="23"/>
  <c r="AD69" i="23"/>
  <c r="AD68" i="23"/>
  <c r="AD67" i="23"/>
  <c r="AD63" i="23"/>
  <c r="AD62" i="23"/>
  <c r="AD61" i="23"/>
  <c r="AD60" i="23"/>
  <c r="AD59" i="23"/>
  <c r="AD58" i="23"/>
  <c r="AD57" i="23"/>
  <c r="AD56" i="23"/>
  <c r="AD55" i="23"/>
  <c r="AD54" i="23"/>
  <c r="AD53" i="23"/>
  <c r="AD48" i="23"/>
  <c r="AD47" i="23"/>
  <c r="AD46" i="23"/>
  <c r="AD45" i="23"/>
  <c r="AD44" i="23"/>
  <c r="AD43" i="23"/>
  <c r="AD42" i="23"/>
  <c r="AD41" i="23"/>
  <c r="AD40" i="23"/>
  <c r="AD39" i="23"/>
  <c r="AD38" i="23"/>
  <c r="AD37" i="23"/>
  <c r="AD36" i="23"/>
  <c r="AD35" i="23"/>
  <c r="AD34" i="23"/>
  <c r="AD33" i="23"/>
  <c r="AD32" i="23"/>
  <c r="AD31" i="23"/>
  <c r="AD30" i="23"/>
  <c r="AD29" i="23"/>
  <c r="AD28" i="23"/>
  <c r="AD27" i="23"/>
  <c r="AD26" i="23"/>
  <c r="AD25" i="23"/>
  <c r="AD24" i="23"/>
  <c r="AD23" i="23"/>
  <c r="AD22" i="23"/>
  <c r="AD21" i="23"/>
  <c r="AD20" i="23"/>
  <c r="AD19" i="23"/>
  <c r="AD18" i="23"/>
  <c r="AD14" i="23"/>
  <c r="AD13" i="23"/>
  <c r="AD12" i="23"/>
  <c r="AD11" i="23"/>
  <c r="AD10" i="23"/>
  <c r="AD5" i="23"/>
  <c r="AD4" i="23"/>
  <c r="AD3" i="23"/>
  <c r="AD2" i="23"/>
  <c r="D40" i="21" l="1"/>
  <c r="E40" i="21" s="1"/>
  <c r="E38" i="21"/>
  <c r="AD49" i="23"/>
  <c r="D8" i="21" s="1"/>
  <c r="AD15" i="23"/>
  <c r="D5" i="21" s="1"/>
  <c r="AD6" i="23"/>
  <c r="AD64" i="23"/>
  <c r="D7" i="21" s="1"/>
  <c r="AD71" i="23"/>
  <c r="D6" i="21" s="1"/>
  <c r="G38" i="21" l="1"/>
  <c r="E41" i="21"/>
  <c r="H9" i="21"/>
  <c r="D9" i="21"/>
  <c r="B16" i="12" l="1"/>
  <c r="C16" i="10" l="1"/>
  <c r="C19" i="10"/>
  <c r="D10" i="10"/>
  <c r="D11" i="10"/>
  <c r="E23" i="10"/>
  <c r="C17" i="10"/>
  <c r="D13" i="10"/>
  <c r="D12" i="10"/>
  <c r="B22" i="15"/>
  <c r="B11" i="56" s="1"/>
  <c r="C11" i="56" s="1"/>
  <c r="E11" i="56" s="1"/>
  <c r="F11" i="56" s="1"/>
  <c r="G11" i="56" s="1"/>
  <c r="B10" i="56"/>
  <c r="C10" i="56" s="1"/>
  <c r="E10" i="56" s="1"/>
  <c r="F10" i="56" s="1"/>
  <c r="G10" i="56" s="1"/>
  <c r="B20" i="15"/>
  <c r="C19" i="15"/>
  <c r="C20" i="15" s="1"/>
  <c r="B19" i="15"/>
  <c r="C18" i="15"/>
  <c r="B18" i="15"/>
  <c r="B17" i="15"/>
  <c r="C16" i="15"/>
  <c r="B16" i="15"/>
  <c r="B22" i="14"/>
  <c r="B11" i="55" s="1"/>
  <c r="C11" i="55" s="1"/>
  <c r="E11" i="55" s="1"/>
  <c r="F11" i="55" s="1"/>
  <c r="G11" i="55" s="1"/>
  <c r="C21" i="14"/>
  <c r="B20" i="14"/>
  <c r="C19" i="14"/>
  <c r="B19" i="14"/>
  <c r="C18" i="14"/>
  <c r="B18" i="14"/>
  <c r="B17" i="14"/>
  <c r="D17" i="14" s="1"/>
  <c r="B6" i="55" s="1"/>
  <c r="C6" i="55" s="1"/>
  <c r="E6" i="55" s="1"/>
  <c r="F6" i="55" s="1"/>
  <c r="G6" i="55" s="1"/>
  <c r="C16" i="14"/>
  <c r="B16" i="14"/>
  <c r="D21" i="14"/>
  <c r="B10" i="55" s="1"/>
  <c r="C10" i="55" s="1"/>
  <c r="E10" i="55" s="1"/>
  <c r="F10" i="55" s="1"/>
  <c r="G10" i="55" s="1"/>
  <c r="B22" i="13"/>
  <c r="B11" i="54" s="1"/>
  <c r="C11" i="54" s="1"/>
  <c r="E11" i="54" s="1"/>
  <c r="F11" i="54" s="1"/>
  <c r="G11" i="54" s="1"/>
  <c r="C21" i="13"/>
  <c r="D21" i="13" s="1"/>
  <c r="B10" i="54" s="1"/>
  <c r="C10" i="54" s="1"/>
  <c r="E10" i="54" s="1"/>
  <c r="F10" i="54" s="1"/>
  <c r="G10" i="54" s="1"/>
  <c r="B20" i="13"/>
  <c r="C19" i="13"/>
  <c r="C20" i="13" s="1"/>
  <c r="B19" i="13"/>
  <c r="C18" i="13"/>
  <c r="B18" i="13"/>
  <c r="B17" i="13"/>
  <c r="C16" i="13"/>
  <c r="B16" i="13"/>
  <c r="B22" i="12"/>
  <c r="B11" i="53" s="1"/>
  <c r="C11" i="53" s="1"/>
  <c r="E11" i="53" s="1"/>
  <c r="F11" i="53" s="1"/>
  <c r="G11" i="53" s="1"/>
  <c r="C21" i="12"/>
  <c r="D21" i="12" s="1"/>
  <c r="B20" i="12"/>
  <c r="C19" i="12"/>
  <c r="C20" i="12" s="1"/>
  <c r="B19" i="12"/>
  <c r="C18" i="12"/>
  <c r="B18" i="12"/>
  <c r="B17" i="12"/>
  <c r="B10" i="53" l="1"/>
  <c r="C10" i="53" s="1"/>
  <c r="E10" i="53" s="1"/>
  <c r="F10" i="53" s="1"/>
  <c r="G10" i="53" s="1"/>
  <c r="I10" i="53" s="1"/>
  <c r="H11" i="54"/>
  <c r="I11" i="54"/>
  <c r="I6" i="55"/>
  <c r="H6" i="55"/>
  <c r="H10" i="56"/>
  <c r="I10" i="56"/>
  <c r="H10" i="55"/>
  <c r="I10" i="55"/>
  <c r="H11" i="56"/>
  <c r="I11" i="56"/>
  <c r="I11" i="53"/>
  <c r="H11" i="53"/>
  <c r="J11" i="53" s="1"/>
  <c r="D20" i="12"/>
  <c r="B9" i="53" s="1"/>
  <c r="C9" i="53" s="1"/>
  <c r="E9" i="53" s="1"/>
  <c r="F9" i="53" s="1"/>
  <c r="G9" i="53" s="1"/>
  <c r="I10" i="54"/>
  <c r="H10" i="54"/>
  <c r="H11" i="55"/>
  <c r="I11" i="55"/>
  <c r="D16" i="14"/>
  <c r="B5" i="55" s="1"/>
  <c r="D18" i="15"/>
  <c r="B7" i="56" s="1"/>
  <c r="C7" i="56" s="1"/>
  <c r="E7" i="56" s="1"/>
  <c r="F7" i="56" s="1"/>
  <c r="G7" i="56" s="1"/>
  <c r="B9" i="56"/>
  <c r="C9" i="56" s="1"/>
  <c r="E9" i="56" s="1"/>
  <c r="F9" i="56" s="1"/>
  <c r="G9" i="56" s="1"/>
  <c r="B11" i="11"/>
  <c r="D16" i="15"/>
  <c r="B5" i="56" s="1"/>
  <c r="C5" i="56" s="1"/>
  <c r="B10" i="11"/>
  <c r="D19" i="14"/>
  <c r="B8" i="55" s="1"/>
  <c r="C8" i="55" s="1"/>
  <c r="E8" i="55" s="1"/>
  <c r="F8" i="55" s="1"/>
  <c r="G8" i="55" s="1"/>
  <c r="D20" i="13"/>
  <c r="B9" i="54" s="1"/>
  <c r="C9" i="54" s="1"/>
  <c r="E9" i="54" s="1"/>
  <c r="F9" i="54" s="1"/>
  <c r="G9" i="54" s="1"/>
  <c r="D19" i="13"/>
  <c r="E30" i="10"/>
  <c r="D19" i="15"/>
  <c r="B8" i="56" s="1"/>
  <c r="C20" i="14"/>
  <c r="D20" i="14" s="1"/>
  <c r="B9" i="55" s="1"/>
  <c r="C9" i="55" s="1"/>
  <c r="E9" i="55" s="1"/>
  <c r="F9" i="55" s="1"/>
  <c r="G9" i="55" s="1"/>
  <c r="D17" i="13"/>
  <c r="D16" i="13"/>
  <c r="D18" i="13"/>
  <c r="D18" i="14"/>
  <c r="B7" i="55" s="1"/>
  <c r="C7" i="55" s="1"/>
  <c r="E7" i="55" s="1"/>
  <c r="F7" i="55" s="1"/>
  <c r="G7" i="55" s="1"/>
  <c r="D17" i="15"/>
  <c r="B6" i="56" s="1"/>
  <c r="C6" i="56" s="1"/>
  <c r="E6" i="56" s="1"/>
  <c r="F6" i="56" s="1"/>
  <c r="G6" i="56" s="1"/>
  <c r="D19" i="12"/>
  <c r="B8" i="53" s="1"/>
  <c r="C8" i="53" s="1"/>
  <c r="E8" i="53" s="1"/>
  <c r="F8" i="53" s="1"/>
  <c r="G8" i="53" s="1"/>
  <c r="D18" i="12"/>
  <c r="B7" i="53" s="1"/>
  <c r="C7" i="53" s="1"/>
  <c r="E7" i="53" s="1"/>
  <c r="F7" i="53" s="1"/>
  <c r="G7" i="53" s="1"/>
  <c r="D17" i="12"/>
  <c r="B6" i="53" s="1"/>
  <c r="C6" i="53" s="1"/>
  <c r="E6" i="53" s="1"/>
  <c r="F6" i="53" s="1"/>
  <c r="G6" i="53" s="1"/>
  <c r="D16" i="12"/>
  <c r="B5" i="53" s="1"/>
  <c r="B6" i="54" l="1"/>
  <c r="C6" i="54" s="1"/>
  <c r="E6" i="54" s="1"/>
  <c r="F6" i="54" s="1"/>
  <c r="G6" i="54" s="1"/>
  <c r="B6" i="11"/>
  <c r="B5" i="54"/>
  <c r="B5" i="11"/>
  <c r="B8" i="54"/>
  <c r="C8" i="54" s="1"/>
  <c r="E8" i="54" s="1"/>
  <c r="F8" i="54" s="1"/>
  <c r="G8" i="54" s="1"/>
  <c r="I8" i="54" s="1"/>
  <c r="B8" i="11"/>
  <c r="B7" i="54"/>
  <c r="C7" i="54" s="1"/>
  <c r="E7" i="54" s="1"/>
  <c r="F7" i="54" s="1"/>
  <c r="G7" i="54" s="1"/>
  <c r="I7" i="54" s="1"/>
  <c r="B7" i="11"/>
  <c r="H10" i="53"/>
  <c r="J10" i="53"/>
  <c r="C5" i="53"/>
  <c r="B12" i="53"/>
  <c r="H6" i="56"/>
  <c r="I6" i="56"/>
  <c r="I6" i="54"/>
  <c r="H6" i="54"/>
  <c r="E5" i="56"/>
  <c r="C5" i="55"/>
  <c r="B12" i="55"/>
  <c r="J6" i="55"/>
  <c r="H9" i="55"/>
  <c r="I9" i="55"/>
  <c r="I9" i="54"/>
  <c r="H9" i="54"/>
  <c r="I9" i="53"/>
  <c r="H9" i="53"/>
  <c r="J11" i="56"/>
  <c r="I6" i="53"/>
  <c r="H6" i="53"/>
  <c r="I7" i="53"/>
  <c r="H7" i="53"/>
  <c r="B12" i="56"/>
  <c r="C8" i="56"/>
  <c r="E8" i="56" s="1"/>
  <c r="F8" i="56" s="1"/>
  <c r="G8" i="56" s="1"/>
  <c r="H8" i="55"/>
  <c r="I8" i="55"/>
  <c r="H9" i="56"/>
  <c r="I9" i="56"/>
  <c r="J11" i="55"/>
  <c r="H7" i="55"/>
  <c r="I7" i="55"/>
  <c r="I8" i="53"/>
  <c r="H8" i="53"/>
  <c r="C5" i="54"/>
  <c r="B12" i="54"/>
  <c r="H7" i="56"/>
  <c r="I7" i="56"/>
  <c r="J10" i="54"/>
  <c r="J10" i="55"/>
  <c r="J10" i="56"/>
  <c r="J11" i="54"/>
  <c r="B9" i="11"/>
  <c r="D23" i="15"/>
  <c r="D24" i="15" s="1"/>
  <c r="D23" i="14"/>
  <c r="D24" i="14" s="1"/>
  <c r="C27" i="67" s="1"/>
  <c r="G27" i="67" s="1"/>
  <c r="D23" i="13"/>
  <c r="D24" i="13" s="1"/>
  <c r="D23" i="12"/>
  <c r="D24" i="12" s="1"/>
  <c r="C6" i="67" s="1"/>
  <c r="F6" i="67" s="1"/>
  <c r="B61" i="56" l="1"/>
  <c r="B75" i="56" s="1"/>
  <c r="C16" i="67"/>
  <c r="G16" i="67" s="1"/>
  <c r="H7" i="54"/>
  <c r="B61" i="54"/>
  <c r="B75" i="54" s="1"/>
  <c r="B61" i="11"/>
  <c r="C40" i="67"/>
  <c r="F40" i="67" s="1"/>
  <c r="H8" i="54"/>
  <c r="J8" i="54" s="1"/>
  <c r="J7" i="55"/>
  <c r="F7" i="67"/>
  <c r="F9" i="67" s="1"/>
  <c r="E6" i="67"/>
  <c r="D6" i="67"/>
  <c r="J7" i="56"/>
  <c r="J6" i="56"/>
  <c r="J8" i="55"/>
  <c r="J6" i="54"/>
  <c r="J9" i="53"/>
  <c r="J6" i="53"/>
  <c r="J6" i="39"/>
  <c r="B61" i="55"/>
  <c r="B75" i="55" s="1"/>
  <c r="J7" i="53"/>
  <c r="B62" i="55"/>
  <c r="B67" i="55"/>
  <c r="B68" i="55" s="1"/>
  <c r="B62" i="54"/>
  <c r="B67" i="54"/>
  <c r="B68" i="54" s="1"/>
  <c r="D78" i="64" s="1"/>
  <c r="J7" i="54"/>
  <c r="E5" i="55"/>
  <c r="C12" i="55"/>
  <c r="B76" i="56"/>
  <c r="D76" i="56" s="1"/>
  <c r="D75" i="56"/>
  <c r="C12" i="54"/>
  <c r="E5" i="54"/>
  <c r="H8" i="56"/>
  <c r="I8" i="56"/>
  <c r="J9" i="55"/>
  <c r="E12" i="56"/>
  <c r="B82" i="56" s="1"/>
  <c r="F5" i="56"/>
  <c r="B67" i="53"/>
  <c r="B68" i="53" s="1"/>
  <c r="D14" i="21" s="1"/>
  <c r="B62" i="53"/>
  <c r="B126" i="53"/>
  <c r="B128" i="53" s="1"/>
  <c r="J6" i="36"/>
  <c r="B61" i="53"/>
  <c r="D75" i="54"/>
  <c r="B76" i="54"/>
  <c r="D76" i="54" s="1"/>
  <c r="J8" i="53"/>
  <c r="J9" i="56"/>
  <c r="B67" i="56"/>
  <c r="B68" i="56" s="1"/>
  <c r="B62" i="56"/>
  <c r="J9" i="54"/>
  <c r="C12" i="56"/>
  <c r="E5" i="53"/>
  <c r="C12" i="53"/>
  <c r="J6" i="38"/>
  <c r="J6" i="40"/>
  <c r="B75" i="11"/>
  <c r="D75" i="11" s="1"/>
  <c r="D10" i="11"/>
  <c r="C30" i="10"/>
  <c r="D29" i="10"/>
  <c r="E29" i="10" s="1"/>
  <c r="D28" i="10"/>
  <c r="E28" i="10" s="1"/>
  <c r="C27" i="10"/>
  <c r="D26" i="10"/>
  <c r="C26" i="10"/>
  <c r="D25" i="10"/>
  <c r="C24" i="10"/>
  <c r="E24" i="10" s="1"/>
  <c r="E40" i="67" l="1"/>
  <c r="D40" i="67"/>
  <c r="F41" i="67"/>
  <c r="C43" i="67" s="1"/>
  <c r="C10" i="67"/>
  <c r="D17" i="21" s="1"/>
  <c r="D10" i="67"/>
  <c r="E10" i="67"/>
  <c r="D19" i="38"/>
  <c r="D78" i="60"/>
  <c r="D19" i="36"/>
  <c r="D78" i="57"/>
  <c r="D19" i="39"/>
  <c r="D78" i="62"/>
  <c r="J8" i="56"/>
  <c r="D77" i="54"/>
  <c r="D78" i="54" s="1"/>
  <c r="D19" i="40"/>
  <c r="B69" i="54"/>
  <c r="D3" i="64" s="1"/>
  <c r="D82" i="56"/>
  <c r="E12" i="54"/>
  <c r="B82" i="54" s="1"/>
  <c r="F5" i="54"/>
  <c r="D64" i="21"/>
  <c r="B63" i="55"/>
  <c r="B66" i="55"/>
  <c r="B83" i="55" s="1"/>
  <c r="E12" i="53"/>
  <c r="F5" i="53"/>
  <c r="B66" i="53"/>
  <c r="B83" i="53" s="1"/>
  <c r="B63" i="53"/>
  <c r="B63" i="54"/>
  <c r="B66" i="54"/>
  <c r="B83" i="54" s="1"/>
  <c r="B75" i="53"/>
  <c r="B129" i="53"/>
  <c r="B69" i="53"/>
  <c r="D3" i="57" s="1"/>
  <c r="D5" i="57" s="1"/>
  <c r="B77" i="56"/>
  <c r="F5" i="55"/>
  <c r="E12" i="55"/>
  <c r="B82" i="55" s="1"/>
  <c r="D75" i="55"/>
  <c r="B76" i="55"/>
  <c r="D76" i="55" s="1"/>
  <c r="B69" i="56"/>
  <c r="D3" i="60" s="1"/>
  <c r="D30" i="21"/>
  <c r="B66" i="56"/>
  <c r="B83" i="56" s="1"/>
  <c r="B84" i="56" s="1"/>
  <c r="B63" i="56"/>
  <c r="B77" i="54"/>
  <c r="F12" i="56"/>
  <c r="G5" i="56"/>
  <c r="D77" i="56"/>
  <c r="B69" i="55"/>
  <c r="D3" i="62" s="1"/>
  <c r="D46" i="21"/>
  <c r="B76" i="11"/>
  <c r="D27" i="10"/>
  <c r="E27" i="10" s="1"/>
  <c r="E26" i="10"/>
  <c r="E25" i="10"/>
  <c r="F43" i="67" l="1"/>
  <c r="D67" i="21"/>
  <c r="D69" i="21" s="1"/>
  <c r="F10" i="67"/>
  <c r="F11" i="67" s="1"/>
  <c r="D79" i="54"/>
  <c r="B77" i="11"/>
  <c r="D76" i="11"/>
  <c r="D79" i="56"/>
  <c r="D78" i="56"/>
  <c r="B65" i="56"/>
  <c r="B64" i="56"/>
  <c r="B77" i="55"/>
  <c r="G5" i="55"/>
  <c r="F12" i="55"/>
  <c r="B130" i="53"/>
  <c r="B132" i="53" s="1"/>
  <c r="B65" i="53"/>
  <c r="B64" i="53"/>
  <c r="D83" i="55"/>
  <c r="B94" i="55"/>
  <c r="D94" i="55" s="1"/>
  <c r="G12" i="56"/>
  <c r="D23" i="38" s="1"/>
  <c r="H5" i="56"/>
  <c r="I5" i="56"/>
  <c r="I12" i="56" s="1"/>
  <c r="B94" i="56"/>
  <c r="D94" i="56" s="1"/>
  <c r="D83" i="56"/>
  <c r="D84" i="56" s="1"/>
  <c r="B76" i="53"/>
  <c r="D76" i="53" s="1"/>
  <c r="D75" i="53"/>
  <c r="D83" i="53"/>
  <c r="B94" i="53"/>
  <c r="D94" i="53" s="1"/>
  <c r="B64" i="55"/>
  <c r="B65" i="55"/>
  <c r="G5" i="54"/>
  <c r="F12" i="54"/>
  <c r="D77" i="55"/>
  <c r="B94" i="54"/>
  <c r="D94" i="54" s="1"/>
  <c r="D83" i="54"/>
  <c r="F12" i="53"/>
  <c r="G5" i="53"/>
  <c r="D82" i="54"/>
  <c r="B84" i="54"/>
  <c r="D82" i="55"/>
  <c r="B84" i="55"/>
  <c r="B64" i="54"/>
  <c r="B65" i="54"/>
  <c r="B82" i="53"/>
  <c r="H136" i="53"/>
  <c r="H138" i="53"/>
  <c r="C5" i="11"/>
  <c r="E5" i="11" s="1"/>
  <c r="C10" i="11"/>
  <c r="E10" i="11" s="1"/>
  <c r="F10" i="11" s="1"/>
  <c r="G10" i="11" s="1"/>
  <c r="C7" i="11"/>
  <c r="C6" i="11"/>
  <c r="C11" i="11"/>
  <c r="E11" i="11" s="1"/>
  <c r="F11" i="11" s="1"/>
  <c r="G11" i="11" s="1"/>
  <c r="H11" i="11" s="1"/>
  <c r="C9" i="11"/>
  <c r="E9" i="11" s="1"/>
  <c r="F9" i="11" s="1"/>
  <c r="G9" i="11" s="1"/>
  <c r="I9" i="11" s="1"/>
  <c r="E31" i="10"/>
  <c r="E32" i="10" s="1"/>
  <c r="J6" i="41" s="1"/>
  <c r="F44" i="67" l="1"/>
  <c r="E43" i="67"/>
  <c r="D43" i="67"/>
  <c r="D84" i="55"/>
  <c r="D86" i="55" s="1"/>
  <c r="D77" i="11"/>
  <c r="E76" i="11"/>
  <c r="I5" i="53"/>
  <c r="I12" i="53" s="1"/>
  <c r="G12" i="53"/>
  <c r="H5" i="53"/>
  <c r="D79" i="55"/>
  <c r="D78" i="55"/>
  <c r="B92" i="55"/>
  <c r="B100" i="55"/>
  <c r="B77" i="53"/>
  <c r="B100" i="56"/>
  <c r="B92" i="56"/>
  <c r="D82" i="53"/>
  <c r="D84" i="53" s="1"/>
  <c r="B84" i="53"/>
  <c r="D85" i="55"/>
  <c r="D88" i="55"/>
  <c r="J5" i="56"/>
  <c r="J12" i="56" s="1"/>
  <c r="D31" i="38" s="1"/>
  <c r="H12" i="56"/>
  <c r="B100" i="53"/>
  <c r="B92" i="53"/>
  <c r="B103" i="56"/>
  <c r="B93" i="56"/>
  <c r="D93" i="56" s="1"/>
  <c r="B103" i="54"/>
  <c r="B93" i="54"/>
  <c r="D93" i="54" s="1"/>
  <c r="G12" i="54"/>
  <c r="D23" i="40" s="1"/>
  <c r="E23" i="40" s="1"/>
  <c r="F23" i="40" s="1"/>
  <c r="G23" i="40" s="1"/>
  <c r="H23" i="40" s="1"/>
  <c r="I23" i="40" s="1"/>
  <c r="J23" i="40" s="1"/>
  <c r="K23" i="40" s="1"/>
  <c r="L23" i="40" s="1"/>
  <c r="M23" i="40" s="1"/>
  <c r="N23" i="40" s="1"/>
  <c r="O23" i="40" s="1"/>
  <c r="P23" i="40" s="1"/>
  <c r="Q23" i="40" s="1"/>
  <c r="R23" i="40" s="1"/>
  <c r="S23" i="40" s="1"/>
  <c r="T23" i="40" s="1"/>
  <c r="U23" i="40" s="1"/>
  <c r="V23" i="40" s="1"/>
  <c r="W23" i="40" s="1"/>
  <c r="X23" i="40" s="1"/>
  <c r="Y23" i="40" s="1"/>
  <c r="Z23" i="40" s="1"/>
  <c r="AA23" i="40" s="1"/>
  <c r="AB23" i="40" s="1"/>
  <c r="H5" i="54"/>
  <c r="I5" i="54"/>
  <c r="I12" i="54" s="1"/>
  <c r="B93" i="53"/>
  <c r="D93" i="53" s="1"/>
  <c r="B103" i="53"/>
  <c r="H5" i="55"/>
  <c r="G12" i="55"/>
  <c r="D23" i="39" s="1"/>
  <c r="I5" i="55"/>
  <c r="I12" i="55" s="1"/>
  <c r="D85" i="56"/>
  <c r="D88" i="56"/>
  <c r="D86" i="56"/>
  <c r="B100" i="54"/>
  <c r="B92" i="54"/>
  <c r="D84" i="54"/>
  <c r="B93" i="55"/>
  <c r="D93" i="55" s="1"/>
  <c r="B103" i="55"/>
  <c r="D77" i="53"/>
  <c r="B131" i="53"/>
  <c r="E7" i="11"/>
  <c r="F7" i="11" s="1"/>
  <c r="G7" i="11" s="1"/>
  <c r="F5" i="11"/>
  <c r="G5" i="11" s="1"/>
  <c r="E6" i="11"/>
  <c r="F6" i="11" s="1"/>
  <c r="G6" i="11" s="1"/>
  <c r="I10" i="11"/>
  <c r="H10" i="11"/>
  <c r="C14" i="40"/>
  <c r="C14" i="36"/>
  <c r="C14" i="38"/>
  <c r="C14" i="39"/>
  <c r="C8" i="11"/>
  <c r="E8" i="11" s="1"/>
  <c r="F8" i="11" s="1"/>
  <c r="G8" i="11" s="1"/>
  <c r="H9" i="11"/>
  <c r="J9" i="11" s="1"/>
  <c r="I11" i="11"/>
  <c r="J11" i="11" s="1"/>
  <c r="B12" i="11"/>
  <c r="B67" i="11" s="1"/>
  <c r="J76" i="11" l="1"/>
  <c r="J77" i="11" s="1"/>
  <c r="R76" i="11"/>
  <c r="R77" i="11" s="1"/>
  <c r="Z76" i="11"/>
  <c r="Z77" i="11" s="1"/>
  <c r="Y76" i="11"/>
  <c r="Y77" i="11" s="1"/>
  <c r="K76" i="11"/>
  <c r="K77" i="11" s="1"/>
  <c r="S76" i="11"/>
  <c r="S77" i="11" s="1"/>
  <c r="AA76" i="11"/>
  <c r="AA77" i="11" s="1"/>
  <c r="L76" i="11"/>
  <c r="L77" i="11" s="1"/>
  <c r="T76" i="11"/>
  <c r="T77" i="11" s="1"/>
  <c r="AB76" i="11"/>
  <c r="AB77" i="11" s="1"/>
  <c r="I76" i="11"/>
  <c r="I77" i="11" s="1"/>
  <c r="M76" i="11"/>
  <c r="M77" i="11" s="1"/>
  <c r="U76" i="11"/>
  <c r="U77" i="11" s="1"/>
  <c r="F76" i="11"/>
  <c r="F77" i="11" s="1"/>
  <c r="N76" i="11"/>
  <c r="N77" i="11" s="1"/>
  <c r="V76" i="11"/>
  <c r="V77" i="11" s="1"/>
  <c r="G76" i="11"/>
  <c r="G77" i="11" s="1"/>
  <c r="O76" i="11"/>
  <c r="O77" i="11" s="1"/>
  <c r="W76" i="11"/>
  <c r="W77" i="11" s="1"/>
  <c r="Q76" i="11"/>
  <c r="Q77" i="11" s="1"/>
  <c r="H76" i="11"/>
  <c r="H77" i="11" s="1"/>
  <c r="P76" i="11"/>
  <c r="P77" i="11" s="1"/>
  <c r="X76" i="11"/>
  <c r="X77" i="11" s="1"/>
  <c r="D23" i="36"/>
  <c r="E23" i="36" s="1"/>
  <c r="F23" i="36" s="1"/>
  <c r="G23" i="36" s="1"/>
  <c r="H23" i="36" s="1"/>
  <c r="I23" i="36" s="1"/>
  <c r="J23" i="36" s="1"/>
  <c r="K23" i="36" s="1"/>
  <c r="L23" i="36" s="1"/>
  <c r="M23" i="36" s="1"/>
  <c r="N23" i="36" s="1"/>
  <c r="O23" i="36" s="1"/>
  <c r="P23" i="36" s="1"/>
  <c r="Q23" i="36" s="1"/>
  <c r="R23" i="36" s="1"/>
  <c r="S23" i="36" s="1"/>
  <c r="T23" i="36" s="1"/>
  <c r="U23" i="36" s="1"/>
  <c r="V23" i="36" s="1"/>
  <c r="W23" i="36" s="1"/>
  <c r="X23" i="36" s="1"/>
  <c r="Y23" i="36" s="1"/>
  <c r="Z23" i="36" s="1"/>
  <c r="AA23" i="36" s="1"/>
  <c r="AB23" i="36" s="1"/>
  <c r="B68" i="11"/>
  <c r="D79" i="11"/>
  <c r="D78" i="11"/>
  <c r="E77" i="11"/>
  <c r="B104" i="55"/>
  <c r="D103" i="55"/>
  <c r="D86" i="53"/>
  <c r="D85" i="53"/>
  <c r="D88" i="53"/>
  <c r="B95" i="53"/>
  <c r="B109" i="53" s="1"/>
  <c r="D92" i="53"/>
  <c r="D95" i="53" s="1"/>
  <c r="B114" i="55"/>
  <c r="B115" i="55"/>
  <c r="B113" i="55"/>
  <c r="B116" i="55"/>
  <c r="B101" i="55"/>
  <c r="D100" i="55"/>
  <c r="H12" i="53"/>
  <c r="J5" i="53"/>
  <c r="J12" i="53" s="1"/>
  <c r="D31" i="36" s="1"/>
  <c r="D100" i="54"/>
  <c r="B101" i="54"/>
  <c r="B133" i="53"/>
  <c r="B134" i="53"/>
  <c r="D88" i="54"/>
  <c r="D86" i="54"/>
  <c r="D85" i="54"/>
  <c r="B116" i="56"/>
  <c r="B114" i="56"/>
  <c r="B113" i="56"/>
  <c r="B115" i="56"/>
  <c r="H12" i="55"/>
  <c r="J5" i="55"/>
  <c r="J12" i="55" s="1"/>
  <c r="D32" i="39" s="1"/>
  <c r="B104" i="54"/>
  <c r="D103" i="54"/>
  <c r="B101" i="53"/>
  <c r="D100" i="53"/>
  <c r="D92" i="56"/>
  <c r="D95" i="56" s="1"/>
  <c r="B95" i="56"/>
  <c r="B109" i="56" s="1"/>
  <c r="B95" i="55"/>
  <c r="B109" i="55" s="1"/>
  <c r="D92" i="55"/>
  <c r="D95" i="55" s="1"/>
  <c r="B104" i="56"/>
  <c r="D103" i="56"/>
  <c r="D78" i="53"/>
  <c r="D79" i="53"/>
  <c r="B95" i="54"/>
  <c r="B109" i="54" s="1"/>
  <c r="D92" i="54"/>
  <c r="D95" i="54" s="1"/>
  <c r="B104" i="53"/>
  <c r="D103" i="53"/>
  <c r="J5" i="54"/>
  <c r="J12" i="54" s="1"/>
  <c r="D31" i="40" s="1"/>
  <c r="H12" i="54"/>
  <c r="D100" i="56"/>
  <c r="B101" i="56"/>
  <c r="B62" i="11"/>
  <c r="B66" i="11" s="1"/>
  <c r="B83" i="11" s="1"/>
  <c r="I7" i="11"/>
  <c r="H7" i="11"/>
  <c r="J10" i="11"/>
  <c r="I6" i="11"/>
  <c r="H6" i="11"/>
  <c r="I5" i="11"/>
  <c r="H5" i="11"/>
  <c r="C14" i="41"/>
  <c r="D6" i="45"/>
  <c r="C14" i="45" s="1"/>
  <c r="E19" i="36"/>
  <c r="F19" i="36" s="1"/>
  <c r="G19" i="36" s="1"/>
  <c r="H19" i="36" s="1"/>
  <c r="I19" i="36" s="1"/>
  <c r="J19" i="36" s="1"/>
  <c r="K19" i="36" s="1"/>
  <c r="L19" i="36" s="1"/>
  <c r="M19" i="36" s="1"/>
  <c r="N19" i="36" s="1"/>
  <c r="O19" i="36" s="1"/>
  <c r="P19" i="36" s="1"/>
  <c r="Q19" i="36" s="1"/>
  <c r="R19" i="36" s="1"/>
  <c r="S19" i="36" s="1"/>
  <c r="T19" i="36" s="1"/>
  <c r="U19" i="36" s="1"/>
  <c r="V19" i="36" s="1"/>
  <c r="W19" i="36" s="1"/>
  <c r="X19" i="36" s="1"/>
  <c r="Y19" i="36" s="1"/>
  <c r="Z19" i="36" s="1"/>
  <c r="AA19" i="36" s="1"/>
  <c r="AB19" i="36" s="1"/>
  <c r="E23" i="39"/>
  <c r="F23" i="39" s="1"/>
  <c r="G23" i="39" s="1"/>
  <c r="H23" i="39" s="1"/>
  <c r="I23" i="39" s="1"/>
  <c r="J23" i="39" s="1"/>
  <c r="K23" i="39" s="1"/>
  <c r="L23" i="39" s="1"/>
  <c r="M23" i="39" s="1"/>
  <c r="N23" i="39" s="1"/>
  <c r="O23" i="39" s="1"/>
  <c r="P23" i="39" s="1"/>
  <c r="Q23" i="39" s="1"/>
  <c r="R23" i="39" s="1"/>
  <c r="S23" i="39" s="1"/>
  <c r="T23" i="39" s="1"/>
  <c r="U23" i="39" s="1"/>
  <c r="V23" i="39" s="1"/>
  <c r="W23" i="39" s="1"/>
  <c r="X23" i="39" s="1"/>
  <c r="Y23" i="39" s="1"/>
  <c r="Z23" i="39" s="1"/>
  <c r="AA23" i="39" s="1"/>
  <c r="AB23" i="39" s="1"/>
  <c r="E23" i="38"/>
  <c r="F23" i="38" s="1"/>
  <c r="G23" i="38" s="1"/>
  <c r="H23" i="38" s="1"/>
  <c r="I23" i="38" s="1"/>
  <c r="J23" i="38" s="1"/>
  <c r="K23" i="38" s="1"/>
  <c r="L23" i="38" s="1"/>
  <c r="M23" i="38" s="1"/>
  <c r="N23" i="38" s="1"/>
  <c r="O23" i="38" s="1"/>
  <c r="P23" i="38" s="1"/>
  <c r="Q23" i="38" s="1"/>
  <c r="R23" i="38" s="1"/>
  <c r="S23" i="38" s="1"/>
  <c r="T23" i="38" s="1"/>
  <c r="U23" i="38" s="1"/>
  <c r="V23" i="38" s="1"/>
  <c r="W23" i="38" s="1"/>
  <c r="X23" i="38" s="1"/>
  <c r="Y23" i="38" s="1"/>
  <c r="Z23" i="38" s="1"/>
  <c r="AA23" i="38" s="1"/>
  <c r="AB23" i="38" s="1"/>
  <c r="E12" i="11"/>
  <c r="C4" i="69" s="1"/>
  <c r="C12" i="11"/>
  <c r="F12" i="11"/>
  <c r="H8" i="11"/>
  <c r="I8" i="11"/>
  <c r="G12" i="11"/>
  <c r="D24" i="41" s="1"/>
  <c r="V79" i="11" l="1"/>
  <c r="V78" i="11"/>
  <c r="L79" i="11"/>
  <c r="L78" i="11"/>
  <c r="N78" i="11"/>
  <c r="N79" i="11"/>
  <c r="AA78" i="11"/>
  <c r="AA79" i="11"/>
  <c r="P78" i="11"/>
  <c r="P79" i="11"/>
  <c r="S78" i="11"/>
  <c r="S79" i="11"/>
  <c r="H79" i="11"/>
  <c r="H78" i="11"/>
  <c r="U79" i="11"/>
  <c r="U78" i="11"/>
  <c r="K78" i="11"/>
  <c r="K79" i="11"/>
  <c r="Q79" i="11"/>
  <c r="Q78" i="11"/>
  <c r="M79" i="11"/>
  <c r="M78" i="11"/>
  <c r="Y79" i="11"/>
  <c r="Y78" i="11"/>
  <c r="W78" i="11"/>
  <c r="W79" i="11"/>
  <c r="I79" i="11"/>
  <c r="I78" i="11"/>
  <c r="Z78" i="11"/>
  <c r="Z79" i="11"/>
  <c r="O78" i="11"/>
  <c r="O79" i="11"/>
  <c r="AB78" i="11"/>
  <c r="AB79" i="11"/>
  <c r="R78" i="11"/>
  <c r="R79" i="11"/>
  <c r="X79" i="11"/>
  <c r="X78" i="11"/>
  <c r="G78" i="11"/>
  <c r="G79" i="11"/>
  <c r="T79" i="11"/>
  <c r="T78" i="11"/>
  <c r="J79" i="11"/>
  <c r="J78" i="11"/>
  <c r="B94" i="11"/>
  <c r="H83" i="11"/>
  <c r="P83" i="11"/>
  <c r="X83" i="11"/>
  <c r="I83" i="11"/>
  <c r="Q83" i="11"/>
  <c r="Y83" i="11"/>
  <c r="K83" i="11"/>
  <c r="S83" i="11"/>
  <c r="AA83" i="11"/>
  <c r="L83" i="11"/>
  <c r="T83" i="11"/>
  <c r="AB83" i="11"/>
  <c r="F83" i="11"/>
  <c r="V83" i="11"/>
  <c r="D83" i="11"/>
  <c r="G83" i="11"/>
  <c r="W83" i="11"/>
  <c r="J83" i="11"/>
  <c r="Z83" i="11"/>
  <c r="M83" i="11"/>
  <c r="O83" i="11"/>
  <c r="E83" i="11"/>
  <c r="N83" i="11"/>
  <c r="R83" i="11"/>
  <c r="U83" i="11"/>
  <c r="D149" i="64"/>
  <c r="D119" i="64"/>
  <c r="D110" i="64"/>
  <c r="D83" i="64"/>
  <c r="Y78" i="64"/>
  <c r="U78" i="64"/>
  <c r="Q78" i="64"/>
  <c r="M78" i="64"/>
  <c r="I78" i="64"/>
  <c r="E78" i="64"/>
  <c r="AB78" i="64"/>
  <c r="X78" i="64"/>
  <c r="T78" i="64"/>
  <c r="P78" i="64"/>
  <c r="L78" i="64"/>
  <c r="H78" i="64"/>
  <c r="AA78" i="64"/>
  <c r="W78" i="64"/>
  <c r="S78" i="64"/>
  <c r="O78" i="64"/>
  <c r="K78" i="64"/>
  <c r="G78" i="64"/>
  <c r="D84" i="64"/>
  <c r="Z78" i="64"/>
  <c r="V78" i="64"/>
  <c r="R78" i="64"/>
  <c r="N78" i="64"/>
  <c r="J78" i="64"/>
  <c r="F78" i="64"/>
  <c r="D132" i="64"/>
  <c r="D149" i="60"/>
  <c r="D84" i="60"/>
  <c r="M78" i="60"/>
  <c r="P78" i="60"/>
  <c r="H78" i="60"/>
  <c r="O78" i="60"/>
  <c r="G78" i="60"/>
  <c r="D149" i="57"/>
  <c r="B69" i="11"/>
  <c r="D5" i="64" s="1"/>
  <c r="D27" i="64" s="1"/>
  <c r="D79" i="52"/>
  <c r="D32" i="41" s="1"/>
  <c r="B63" i="11"/>
  <c r="B65" i="11" s="1"/>
  <c r="B103" i="11" s="1"/>
  <c r="E79" i="11"/>
  <c r="E78" i="11"/>
  <c r="F78" i="11"/>
  <c r="F79" i="11"/>
  <c r="B102" i="55"/>
  <c r="D101" i="55"/>
  <c r="B105" i="53"/>
  <c r="D104" i="53"/>
  <c r="B102" i="53"/>
  <c r="D101" i="53"/>
  <c r="D97" i="53"/>
  <c r="B111" i="53" s="1"/>
  <c r="D96" i="53"/>
  <c r="B110" i="53" s="1"/>
  <c r="D101" i="56"/>
  <c r="B102" i="56"/>
  <c r="B114" i="54"/>
  <c r="B116" i="54"/>
  <c r="B115" i="54"/>
  <c r="B113" i="54"/>
  <c r="D96" i="54"/>
  <c r="B110" i="54" s="1"/>
  <c r="D97" i="54"/>
  <c r="B111" i="54" s="1"/>
  <c r="B136" i="53"/>
  <c r="B135" i="53"/>
  <c r="D97" i="55"/>
  <c r="B111" i="55" s="1"/>
  <c r="D96" i="55"/>
  <c r="B110" i="55" s="1"/>
  <c r="D104" i="56"/>
  <c r="B105" i="56"/>
  <c r="D97" i="56"/>
  <c r="B111" i="56" s="1"/>
  <c r="D96" i="56"/>
  <c r="B110" i="56" s="1"/>
  <c r="B105" i="54"/>
  <c r="D104" i="54"/>
  <c r="B102" i="54"/>
  <c r="D101" i="54"/>
  <c r="B113" i="53"/>
  <c r="B115" i="53"/>
  <c r="B116" i="53"/>
  <c r="B114" i="53"/>
  <c r="D104" i="55"/>
  <c r="B105" i="55"/>
  <c r="B82" i="11"/>
  <c r="J7" i="11"/>
  <c r="I12" i="11"/>
  <c r="J5" i="11"/>
  <c r="J6" i="11"/>
  <c r="E24" i="41"/>
  <c r="F24" i="41" s="1"/>
  <c r="G24" i="41" s="1"/>
  <c r="H24" i="41" s="1"/>
  <c r="I24" i="41" s="1"/>
  <c r="J24" i="41" s="1"/>
  <c r="K24" i="41" s="1"/>
  <c r="L24" i="41" s="1"/>
  <c r="M24" i="41" s="1"/>
  <c r="N24" i="41" s="1"/>
  <c r="O24" i="41" s="1"/>
  <c r="P24" i="41" s="1"/>
  <c r="Q24" i="41" s="1"/>
  <c r="R24" i="41" s="1"/>
  <c r="S24" i="41" s="1"/>
  <c r="T24" i="41" s="1"/>
  <c r="U24" i="41" s="1"/>
  <c r="V24" i="41" s="1"/>
  <c r="W24" i="41" s="1"/>
  <c r="X24" i="41" s="1"/>
  <c r="Y24" i="41" s="1"/>
  <c r="Z24" i="41" s="1"/>
  <c r="AA24" i="41" s="1"/>
  <c r="AB24" i="41" s="1"/>
  <c r="D23" i="45"/>
  <c r="E31" i="40"/>
  <c r="F31" i="40" s="1"/>
  <c r="G31" i="40" s="1"/>
  <c r="H31" i="40" s="1"/>
  <c r="I31" i="40" s="1"/>
  <c r="J31" i="40" s="1"/>
  <c r="K31" i="40" s="1"/>
  <c r="L31" i="40" s="1"/>
  <c r="M31" i="40" s="1"/>
  <c r="N31" i="40" s="1"/>
  <c r="O31" i="40" s="1"/>
  <c r="P31" i="40" s="1"/>
  <c r="Q31" i="40" s="1"/>
  <c r="R31" i="40" s="1"/>
  <c r="S31" i="40" s="1"/>
  <c r="T31" i="40" s="1"/>
  <c r="U31" i="40" s="1"/>
  <c r="V31" i="40" s="1"/>
  <c r="W31" i="40" s="1"/>
  <c r="X31" i="40" s="1"/>
  <c r="Y31" i="40" s="1"/>
  <c r="Z31" i="40" s="1"/>
  <c r="AA31" i="40" s="1"/>
  <c r="AB31" i="40" s="1"/>
  <c r="E19" i="40"/>
  <c r="F19" i="40" s="1"/>
  <c r="G19" i="40" s="1"/>
  <c r="H19" i="40" s="1"/>
  <c r="I19" i="40" s="1"/>
  <c r="J19" i="40" s="1"/>
  <c r="K19" i="40" s="1"/>
  <c r="L19" i="40" s="1"/>
  <c r="M19" i="40" s="1"/>
  <c r="N19" i="40" s="1"/>
  <c r="O19" i="40" s="1"/>
  <c r="P19" i="40" s="1"/>
  <c r="Q19" i="40" s="1"/>
  <c r="R19" i="40" s="1"/>
  <c r="S19" i="40" s="1"/>
  <c r="T19" i="40" s="1"/>
  <c r="U19" i="40" s="1"/>
  <c r="V19" i="40" s="1"/>
  <c r="W19" i="40" s="1"/>
  <c r="X19" i="40" s="1"/>
  <c r="Y19" i="40" s="1"/>
  <c r="Z19" i="40" s="1"/>
  <c r="AA19" i="40" s="1"/>
  <c r="AB19" i="40" s="1"/>
  <c r="E31" i="36"/>
  <c r="F31" i="36" s="1"/>
  <c r="G31" i="36" s="1"/>
  <c r="H31" i="36" s="1"/>
  <c r="I31" i="36" s="1"/>
  <c r="J31" i="36" s="1"/>
  <c r="K31" i="36" s="1"/>
  <c r="L31" i="36" s="1"/>
  <c r="M31" i="36" s="1"/>
  <c r="N31" i="36" s="1"/>
  <c r="O31" i="36" s="1"/>
  <c r="P31" i="36" s="1"/>
  <c r="Q31" i="36" s="1"/>
  <c r="R31" i="36" s="1"/>
  <c r="S31" i="36" s="1"/>
  <c r="T31" i="36" s="1"/>
  <c r="U31" i="36" s="1"/>
  <c r="V31" i="36" s="1"/>
  <c r="W31" i="36" s="1"/>
  <c r="X31" i="36" s="1"/>
  <c r="Y31" i="36" s="1"/>
  <c r="Z31" i="36" s="1"/>
  <c r="AA31" i="36" s="1"/>
  <c r="AB31" i="36" s="1"/>
  <c r="E19" i="38"/>
  <c r="F19" i="38" s="1"/>
  <c r="G19" i="38" s="1"/>
  <c r="H19" i="38" s="1"/>
  <c r="I19" i="38" s="1"/>
  <c r="J19" i="38" s="1"/>
  <c r="K19" i="38" s="1"/>
  <c r="L19" i="38" s="1"/>
  <c r="M19" i="38" s="1"/>
  <c r="N19" i="38" s="1"/>
  <c r="O19" i="38" s="1"/>
  <c r="P19" i="38" s="1"/>
  <c r="Q19" i="38" s="1"/>
  <c r="R19" i="38" s="1"/>
  <c r="S19" i="38" s="1"/>
  <c r="T19" i="38" s="1"/>
  <c r="U19" i="38" s="1"/>
  <c r="V19" i="38" s="1"/>
  <c r="W19" i="38" s="1"/>
  <c r="X19" i="38" s="1"/>
  <c r="Y19" i="38" s="1"/>
  <c r="Z19" i="38" s="1"/>
  <c r="AA19" i="38" s="1"/>
  <c r="AB19" i="38" s="1"/>
  <c r="E19" i="39"/>
  <c r="F19" i="39" s="1"/>
  <c r="G19" i="39" s="1"/>
  <c r="H19" i="39" s="1"/>
  <c r="I19" i="39" s="1"/>
  <c r="J19" i="39" s="1"/>
  <c r="K19" i="39" s="1"/>
  <c r="L19" i="39" s="1"/>
  <c r="M19" i="39" s="1"/>
  <c r="N19" i="39" s="1"/>
  <c r="O19" i="39" s="1"/>
  <c r="P19" i="39" s="1"/>
  <c r="Q19" i="39" s="1"/>
  <c r="R19" i="39" s="1"/>
  <c r="S19" i="39" s="1"/>
  <c r="T19" i="39" s="1"/>
  <c r="U19" i="39" s="1"/>
  <c r="V19" i="39" s="1"/>
  <c r="W19" i="39" s="1"/>
  <c r="X19" i="39" s="1"/>
  <c r="Y19" i="39" s="1"/>
  <c r="Z19" i="39" s="1"/>
  <c r="AA19" i="39" s="1"/>
  <c r="AB19" i="39" s="1"/>
  <c r="J8" i="11"/>
  <c r="H12" i="11"/>
  <c r="M79" i="52" l="1"/>
  <c r="D19" i="41"/>
  <c r="D19" i="45" s="1"/>
  <c r="B84" i="11"/>
  <c r="G82" i="11"/>
  <c r="G84" i="11" s="1"/>
  <c r="O82" i="11"/>
  <c r="O84" i="11" s="1"/>
  <c r="W82" i="11"/>
  <c r="W84" i="11" s="1"/>
  <c r="H82" i="11"/>
  <c r="H84" i="11" s="1"/>
  <c r="P82" i="11"/>
  <c r="P84" i="11" s="1"/>
  <c r="X82" i="11"/>
  <c r="X84" i="11" s="1"/>
  <c r="J82" i="11"/>
  <c r="J84" i="11" s="1"/>
  <c r="R82" i="11"/>
  <c r="R84" i="11" s="1"/>
  <c r="Z82" i="11"/>
  <c r="Z84" i="11" s="1"/>
  <c r="K82" i="11"/>
  <c r="K84" i="11" s="1"/>
  <c r="S82" i="11"/>
  <c r="S84" i="11" s="1"/>
  <c r="AA82" i="11"/>
  <c r="AA84" i="11" s="1"/>
  <c r="M82" i="11"/>
  <c r="M84" i="11" s="1"/>
  <c r="D82" i="11"/>
  <c r="N82" i="11"/>
  <c r="N84" i="11" s="1"/>
  <c r="Q82" i="11"/>
  <c r="Q84" i="11" s="1"/>
  <c r="V82" i="11"/>
  <c r="V84" i="11" s="1"/>
  <c r="L82" i="11"/>
  <c r="L84" i="11" s="1"/>
  <c r="T82" i="11"/>
  <c r="T84" i="11" s="1"/>
  <c r="E82" i="11"/>
  <c r="E84" i="11" s="1"/>
  <c r="U82" i="11"/>
  <c r="U84" i="11" s="1"/>
  <c r="F82" i="11"/>
  <c r="F84" i="11" s="1"/>
  <c r="AB82" i="11"/>
  <c r="AB84" i="11" s="1"/>
  <c r="I82" i="11"/>
  <c r="I84" i="11" s="1"/>
  <c r="Y82" i="11"/>
  <c r="Y84" i="11" s="1"/>
  <c r="I103" i="11"/>
  <c r="Q103" i="11"/>
  <c r="Y103" i="11"/>
  <c r="J103" i="11"/>
  <c r="R103" i="11"/>
  <c r="Z103" i="11"/>
  <c r="K103" i="11"/>
  <c r="S103" i="11"/>
  <c r="AA103" i="11"/>
  <c r="L103" i="11"/>
  <c r="T103" i="11"/>
  <c r="AB103" i="11"/>
  <c r="E103" i="11"/>
  <c r="M103" i="11"/>
  <c r="U103" i="11"/>
  <c r="F103" i="11"/>
  <c r="N103" i="11"/>
  <c r="V103" i="11"/>
  <c r="H103" i="11"/>
  <c r="W103" i="11"/>
  <c r="O103" i="11"/>
  <c r="D103" i="11"/>
  <c r="P103" i="11"/>
  <c r="G103" i="11"/>
  <c r="X103" i="11"/>
  <c r="K94" i="11"/>
  <c r="S94" i="11"/>
  <c r="AA94" i="11"/>
  <c r="L94" i="11"/>
  <c r="T94" i="11"/>
  <c r="AB94" i="11"/>
  <c r="E94" i="11"/>
  <c r="F94" i="11"/>
  <c r="N94" i="11"/>
  <c r="V94" i="11"/>
  <c r="G94" i="11"/>
  <c r="O94" i="11"/>
  <c r="W94" i="11"/>
  <c r="Q94" i="11"/>
  <c r="H94" i="11"/>
  <c r="R94" i="11"/>
  <c r="U94" i="11"/>
  <c r="P94" i="11"/>
  <c r="X94" i="11"/>
  <c r="J94" i="11"/>
  <c r="I94" i="11"/>
  <c r="Y94" i="11"/>
  <c r="Z94" i="11"/>
  <c r="M94" i="11"/>
  <c r="D94" i="11"/>
  <c r="D32" i="40"/>
  <c r="E32" i="40" s="1"/>
  <c r="D24" i="40"/>
  <c r="V78" i="57"/>
  <c r="X78" i="60"/>
  <c r="R78" i="60"/>
  <c r="AA78" i="57"/>
  <c r="AA84" i="57" s="1"/>
  <c r="W78" i="60"/>
  <c r="W149" i="60" s="1"/>
  <c r="E78" i="60"/>
  <c r="E132" i="60" s="1"/>
  <c r="D110" i="60"/>
  <c r="F149" i="64"/>
  <c r="F110" i="64"/>
  <c r="F84" i="64"/>
  <c r="F132" i="64"/>
  <c r="V149" i="64"/>
  <c r="V110" i="64"/>
  <c r="V84" i="64"/>
  <c r="V132" i="64"/>
  <c r="K149" i="64"/>
  <c r="K110" i="64"/>
  <c r="K84" i="64"/>
  <c r="K132" i="64"/>
  <c r="AA149" i="64"/>
  <c r="AA110" i="64"/>
  <c r="AA84" i="64"/>
  <c r="AA132" i="64"/>
  <c r="T149" i="64"/>
  <c r="T110" i="64"/>
  <c r="T84" i="64"/>
  <c r="T132" i="64"/>
  <c r="D69" i="64"/>
  <c r="Q149" i="64"/>
  <c r="Q110" i="64"/>
  <c r="Q84" i="64"/>
  <c r="Q132" i="64"/>
  <c r="K78" i="57"/>
  <c r="D132" i="60"/>
  <c r="S78" i="60"/>
  <c r="L78" i="60"/>
  <c r="L84" i="60" s="1"/>
  <c r="AB78" i="60"/>
  <c r="AC78" i="60" s="1"/>
  <c r="Y78" i="60"/>
  <c r="Y149" i="60" s="1"/>
  <c r="D83" i="60"/>
  <c r="AB83" i="60" s="1"/>
  <c r="D68" i="64"/>
  <c r="J149" i="64"/>
  <c r="J110" i="64"/>
  <c r="J84" i="64"/>
  <c r="J132" i="64"/>
  <c r="Z149" i="64"/>
  <c r="Z110" i="64"/>
  <c r="Z84" i="64"/>
  <c r="Z132" i="64"/>
  <c r="O149" i="64"/>
  <c r="O110" i="64"/>
  <c r="O84" i="64"/>
  <c r="O132" i="64"/>
  <c r="H149" i="64"/>
  <c r="H110" i="64"/>
  <c r="H84" i="64"/>
  <c r="H132" i="64"/>
  <c r="X149" i="64"/>
  <c r="X110" i="64"/>
  <c r="X84" i="64"/>
  <c r="X132" i="64"/>
  <c r="E149" i="64"/>
  <c r="E110" i="64"/>
  <c r="E84" i="64"/>
  <c r="E132" i="64"/>
  <c r="U149" i="64"/>
  <c r="U110" i="64"/>
  <c r="U84" i="64"/>
  <c r="U132" i="64"/>
  <c r="AB119" i="64"/>
  <c r="AB130" i="64" s="1"/>
  <c r="X119" i="64"/>
  <c r="X130" i="64" s="1"/>
  <c r="T119" i="64"/>
  <c r="T130" i="64" s="1"/>
  <c r="P119" i="64"/>
  <c r="P130" i="64" s="1"/>
  <c r="L119" i="64"/>
  <c r="L130" i="64" s="1"/>
  <c r="H119" i="64"/>
  <c r="H130" i="64" s="1"/>
  <c r="D130" i="64"/>
  <c r="AA119" i="64"/>
  <c r="AA130" i="64" s="1"/>
  <c r="W119" i="64"/>
  <c r="W130" i="64" s="1"/>
  <c r="S119" i="64"/>
  <c r="S130" i="64" s="1"/>
  <c r="O119" i="64"/>
  <c r="O130" i="64" s="1"/>
  <c r="K119" i="64"/>
  <c r="K130" i="64" s="1"/>
  <c r="G119" i="64"/>
  <c r="G130" i="64" s="1"/>
  <c r="Z119" i="64"/>
  <c r="Z130" i="64" s="1"/>
  <c r="V119" i="64"/>
  <c r="V130" i="64" s="1"/>
  <c r="R119" i="64"/>
  <c r="R130" i="64" s="1"/>
  <c r="N119" i="64"/>
  <c r="N130" i="64" s="1"/>
  <c r="J119" i="64"/>
  <c r="J130" i="64" s="1"/>
  <c r="F119" i="64"/>
  <c r="F130" i="64" s="1"/>
  <c r="Q119" i="64"/>
  <c r="Q130" i="64" s="1"/>
  <c r="M119" i="64"/>
  <c r="M130" i="64" s="1"/>
  <c r="Y119" i="64"/>
  <c r="Y130" i="64" s="1"/>
  <c r="I119" i="64"/>
  <c r="I130" i="64" s="1"/>
  <c r="U119" i="64"/>
  <c r="U130" i="64" s="1"/>
  <c r="E119" i="64"/>
  <c r="E130" i="64" s="1"/>
  <c r="N149" i="64"/>
  <c r="N110" i="64"/>
  <c r="N84" i="64"/>
  <c r="N132" i="64"/>
  <c r="S149" i="64"/>
  <c r="S110" i="64"/>
  <c r="S84" i="64"/>
  <c r="S132" i="64"/>
  <c r="L149" i="64"/>
  <c r="L110" i="64"/>
  <c r="L84" i="64"/>
  <c r="L132" i="64"/>
  <c r="AB149" i="64"/>
  <c r="AB110" i="64"/>
  <c r="AC78" i="64"/>
  <c r="AB84" i="64"/>
  <c r="AB132" i="64"/>
  <c r="I149" i="64"/>
  <c r="I110" i="64"/>
  <c r="I84" i="64"/>
  <c r="I132" i="64"/>
  <c r="Y149" i="64"/>
  <c r="Y110" i="64"/>
  <c r="Y84" i="64"/>
  <c r="Y132" i="64"/>
  <c r="AC100" i="64"/>
  <c r="AC143" i="64" s="1"/>
  <c r="Y100" i="64"/>
  <c r="Y143" i="64" s="1"/>
  <c r="U100" i="64"/>
  <c r="U143" i="64" s="1"/>
  <c r="AB100" i="64"/>
  <c r="AB143" i="64" s="1"/>
  <c r="W100" i="64"/>
  <c r="W143" i="64" s="1"/>
  <c r="R100" i="64"/>
  <c r="R143" i="64" s="1"/>
  <c r="N100" i="64"/>
  <c r="N143" i="64" s="1"/>
  <c r="J100" i="64"/>
  <c r="J143" i="64" s="1"/>
  <c r="F100" i="64"/>
  <c r="F143" i="64" s="1"/>
  <c r="AC99" i="64"/>
  <c r="Y99" i="64"/>
  <c r="U99" i="64"/>
  <c r="Q99" i="64"/>
  <c r="M99" i="64"/>
  <c r="I99" i="64"/>
  <c r="E99" i="64"/>
  <c r="AA100" i="64"/>
  <c r="AA143" i="64" s="1"/>
  <c r="V100" i="64"/>
  <c r="V143" i="64" s="1"/>
  <c r="Q100" i="64"/>
  <c r="Q143" i="64" s="1"/>
  <c r="M100" i="64"/>
  <c r="M143" i="64" s="1"/>
  <c r="I100" i="64"/>
  <c r="I143" i="64" s="1"/>
  <c r="E100" i="64"/>
  <c r="E143" i="64" s="1"/>
  <c r="AB99" i="64"/>
  <c r="X99" i="64"/>
  <c r="T99" i="64"/>
  <c r="P99" i="64"/>
  <c r="L99" i="64"/>
  <c r="H99" i="64"/>
  <c r="Z100" i="64"/>
  <c r="Z143" i="64" s="1"/>
  <c r="T100" i="64"/>
  <c r="T143" i="64" s="1"/>
  <c r="P100" i="64"/>
  <c r="P143" i="64" s="1"/>
  <c r="L100" i="64"/>
  <c r="L143" i="64" s="1"/>
  <c r="H100" i="64"/>
  <c r="H143" i="64" s="1"/>
  <c r="AA99" i="64"/>
  <c r="W99" i="64"/>
  <c r="S99" i="64"/>
  <c r="O99" i="64"/>
  <c r="K99" i="64"/>
  <c r="G99" i="64"/>
  <c r="D96" i="64"/>
  <c r="D108" i="64"/>
  <c r="X100" i="64"/>
  <c r="X143" i="64" s="1"/>
  <c r="S100" i="64"/>
  <c r="S143" i="64" s="1"/>
  <c r="O100" i="64"/>
  <c r="O143" i="64" s="1"/>
  <c r="K100" i="64"/>
  <c r="K143" i="64" s="1"/>
  <c r="G100" i="64"/>
  <c r="G143" i="64" s="1"/>
  <c r="Z99" i="64"/>
  <c r="V99" i="64"/>
  <c r="R99" i="64"/>
  <c r="N99" i="64"/>
  <c r="J99" i="64"/>
  <c r="F99" i="64"/>
  <c r="P78" i="57"/>
  <c r="P149" i="57" s="1"/>
  <c r="K78" i="60"/>
  <c r="K132" i="60" s="1"/>
  <c r="AA78" i="60"/>
  <c r="AA132" i="60" s="1"/>
  <c r="T78" i="60"/>
  <c r="T149" i="60" s="1"/>
  <c r="I78" i="60"/>
  <c r="I84" i="60" s="1"/>
  <c r="N78" i="60"/>
  <c r="N132" i="60" s="1"/>
  <c r="D71" i="64"/>
  <c r="R149" i="64"/>
  <c r="R110" i="64"/>
  <c r="R84" i="64"/>
  <c r="R132" i="64"/>
  <c r="G149" i="64"/>
  <c r="G110" i="64"/>
  <c r="G84" i="64"/>
  <c r="G132" i="64"/>
  <c r="W110" i="64"/>
  <c r="W149" i="64"/>
  <c r="W84" i="64"/>
  <c r="W132" i="64"/>
  <c r="P149" i="64"/>
  <c r="P110" i="64"/>
  <c r="P84" i="64"/>
  <c r="P132" i="64"/>
  <c r="D79" i="64"/>
  <c r="M149" i="64"/>
  <c r="M110" i="64"/>
  <c r="M84" i="64"/>
  <c r="M132" i="64"/>
  <c r="D140" i="64"/>
  <c r="AB83" i="64"/>
  <c r="X83" i="64"/>
  <c r="T83" i="64"/>
  <c r="P83" i="64"/>
  <c r="L83" i="64"/>
  <c r="H83" i="64"/>
  <c r="D86" i="64"/>
  <c r="Y83" i="64"/>
  <c r="S83" i="64"/>
  <c r="N83" i="64"/>
  <c r="I83" i="64"/>
  <c r="W83" i="64"/>
  <c r="R83" i="64"/>
  <c r="M83" i="64"/>
  <c r="G83" i="64"/>
  <c r="AA83" i="64"/>
  <c r="V83" i="64"/>
  <c r="Q83" i="64"/>
  <c r="K83" i="64"/>
  <c r="F83" i="64"/>
  <c r="Z83" i="64"/>
  <c r="U83" i="64"/>
  <c r="O83" i="64"/>
  <c r="J83" i="64"/>
  <c r="E83" i="64"/>
  <c r="D113" i="64"/>
  <c r="AB79" i="52"/>
  <c r="AB85" i="52" s="1"/>
  <c r="S79" i="52"/>
  <c r="S111" i="52" s="1"/>
  <c r="D110" i="57"/>
  <c r="Q78" i="60"/>
  <c r="Q110" i="60" s="1"/>
  <c r="F78" i="60"/>
  <c r="F132" i="60" s="1"/>
  <c r="V78" i="60"/>
  <c r="V132" i="60" s="1"/>
  <c r="D119" i="60"/>
  <c r="P119" i="60" s="1"/>
  <c r="P130" i="60" s="1"/>
  <c r="J79" i="52"/>
  <c r="J85" i="52" s="1"/>
  <c r="E78" i="57"/>
  <c r="U78" i="60"/>
  <c r="J78" i="60"/>
  <c r="J110" i="60" s="1"/>
  <c r="Z78" i="60"/>
  <c r="Z110" i="60" s="1"/>
  <c r="U78" i="57"/>
  <c r="U149" i="57" s="1"/>
  <c r="D119" i="62"/>
  <c r="D149" i="62"/>
  <c r="D110" i="62"/>
  <c r="AB78" i="62"/>
  <c r="X78" i="62"/>
  <c r="T78" i="62"/>
  <c r="P78" i="62"/>
  <c r="L78" i="62"/>
  <c r="H78" i="62"/>
  <c r="U78" i="62"/>
  <c r="M78" i="62"/>
  <c r="E78" i="62"/>
  <c r="AA78" i="62"/>
  <c r="W78" i="62"/>
  <c r="S78" i="62"/>
  <c r="O78" i="62"/>
  <c r="K78" i="62"/>
  <c r="G78" i="62"/>
  <c r="Y78" i="62"/>
  <c r="Q78" i="62"/>
  <c r="D83" i="62"/>
  <c r="Z78" i="62"/>
  <c r="V78" i="62"/>
  <c r="R78" i="62"/>
  <c r="N78" i="62"/>
  <c r="J78" i="62"/>
  <c r="F78" i="62"/>
  <c r="D84" i="62"/>
  <c r="I78" i="62"/>
  <c r="D132" i="62"/>
  <c r="D5" i="60"/>
  <c r="D27" i="60" s="1"/>
  <c r="AC100" i="60" s="1"/>
  <c r="AC143" i="60" s="1"/>
  <c r="D5" i="62"/>
  <c r="D27" i="62" s="1"/>
  <c r="Z79" i="52"/>
  <c r="Z133" i="52" s="1"/>
  <c r="L79" i="52"/>
  <c r="L133" i="52" s="1"/>
  <c r="Y79" i="52"/>
  <c r="Y150" i="52" s="1"/>
  <c r="Y114" i="52" s="1"/>
  <c r="R110" i="60"/>
  <c r="R149" i="60"/>
  <c r="R84" i="60"/>
  <c r="R132" i="60"/>
  <c r="T84" i="60"/>
  <c r="X79" i="52"/>
  <c r="X150" i="52" s="1"/>
  <c r="X114" i="52" s="1"/>
  <c r="H79" i="52"/>
  <c r="H150" i="52" s="1"/>
  <c r="H114" i="52" s="1"/>
  <c r="O79" i="52"/>
  <c r="O133" i="52" s="1"/>
  <c r="V79" i="52"/>
  <c r="V133" i="52" s="1"/>
  <c r="F79" i="52"/>
  <c r="F111" i="52" s="1"/>
  <c r="U79" i="52"/>
  <c r="U85" i="52" s="1"/>
  <c r="V99" i="60"/>
  <c r="Z78" i="57"/>
  <c r="Z110" i="57" s="1"/>
  <c r="O78" i="57"/>
  <c r="O84" i="57" s="1"/>
  <c r="D119" i="57"/>
  <c r="O119" i="57" s="1"/>
  <c r="O130" i="57" s="1"/>
  <c r="T78" i="57"/>
  <c r="T84" i="57" s="1"/>
  <c r="F78" i="57"/>
  <c r="I78" i="57"/>
  <c r="I132" i="57" s="1"/>
  <c r="Y78" i="57"/>
  <c r="Y132" i="57" s="1"/>
  <c r="O149" i="60"/>
  <c r="O110" i="60"/>
  <c r="O84" i="60"/>
  <c r="O132" i="60"/>
  <c r="H149" i="60"/>
  <c r="H110" i="60"/>
  <c r="H84" i="60"/>
  <c r="H132" i="60"/>
  <c r="X149" i="60"/>
  <c r="X110" i="60"/>
  <c r="X84" i="60"/>
  <c r="X132" i="60"/>
  <c r="U149" i="60"/>
  <c r="U110" i="60"/>
  <c r="U84" i="60"/>
  <c r="U132" i="60"/>
  <c r="D85" i="52"/>
  <c r="T79" i="52"/>
  <c r="T111" i="52" s="1"/>
  <c r="AA79" i="52"/>
  <c r="AA150" i="52" s="1"/>
  <c r="AA114" i="52" s="1"/>
  <c r="K79" i="52"/>
  <c r="K133" i="52" s="1"/>
  <c r="R79" i="52"/>
  <c r="R85" i="52" s="1"/>
  <c r="D84" i="52"/>
  <c r="T84" i="52" s="1"/>
  <c r="Q79" i="52"/>
  <c r="Q150" i="52" s="1"/>
  <c r="Q114" i="52" s="1"/>
  <c r="D132" i="57"/>
  <c r="D83" i="57"/>
  <c r="AA83" i="57" s="1"/>
  <c r="S78" i="57"/>
  <c r="S84" i="57" s="1"/>
  <c r="H78" i="57"/>
  <c r="H149" i="57" s="1"/>
  <c r="X78" i="57"/>
  <c r="X132" i="57" s="1"/>
  <c r="J78" i="57"/>
  <c r="J110" i="57" s="1"/>
  <c r="M78" i="57"/>
  <c r="M132" i="57" s="1"/>
  <c r="D84" i="57"/>
  <c r="S149" i="60"/>
  <c r="S110" i="60"/>
  <c r="S84" i="60"/>
  <c r="S132" i="60"/>
  <c r="AB110" i="60"/>
  <c r="AB84" i="60"/>
  <c r="D133" i="52"/>
  <c r="P79" i="52"/>
  <c r="P133" i="52" s="1"/>
  <c r="W79" i="52"/>
  <c r="W85" i="52" s="1"/>
  <c r="G79" i="52"/>
  <c r="G111" i="52" s="1"/>
  <c r="N79" i="52"/>
  <c r="N85" i="52" s="1"/>
  <c r="D111" i="52"/>
  <c r="N78" i="57"/>
  <c r="N149" i="57" s="1"/>
  <c r="G78" i="57"/>
  <c r="G132" i="57" s="1"/>
  <c r="W78" i="57"/>
  <c r="W149" i="57" s="1"/>
  <c r="L78" i="57"/>
  <c r="L84" i="57" s="1"/>
  <c r="AB78" i="57"/>
  <c r="AB84" i="57" s="1"/>
  <c r="R78" i="57"/>
  <c r="R149" i="57" s="1"/>
  <c r="Q78" i="57"/>
  <c r="Q149" i="57" s="1"/>
  <c r="G149" i="60"/>
  <c r="G110" i="60"/>
  <c r="G84" i="60"/>
  <c r="G132" i="60"/>
  <c r="W132" i="60"/>
  <c r="P149" i="60"/>
  <c r="P110" i="60"/>
  <c r="P84" i="60"/>
  <c r="P132" i="60"/>
  <c r="M149" i="60"/>
  <c r="M110" i="60"/>
  <c r="M84" i="60"/>
  <c r="M132" i="60"/>
  <c r="D140" i="60"/>
  <c r="D86" i="60"/>
  <c r="AA83" i="60"/>
  <c r="V83" i="60"/>
  <c r="R83" i="60"/>
  <c r="M83" i="60"/>
  <c r="I83" i="60"/>
  <c r="D113" i="60"/>
  <c r="D27" i="57"/>
  <c r="AC100" i="57" s="1"/>
  <c r="AC143" i="57" s="1"/>
  <c r="V149" i="57"/>
  <c r="V110" i="57"/>
  <c r="V84" i="57"/>
  <c r="V132" i="57"/>
  <c r="K149" i="57"/>
  <c r="K110" i="57"/>
  <c r="K84" i="57"/>
  <c r="K132" i="57"/>
  <c r="P110" i="57"/>
  <c r="P84" i="57"/>
  <c r="P132" i="57"/>
  <c r="Q132" i="57"/>
  <c r="I79" i="52"/>
  <c r="I150" i="52" s="1"/>
  <c r="I114" i="52" s="1"/>
  <c r="D131" i="52"/>
  <c r="S149" i="57"/>
  <c r="S110" i="57"/>
  <c r="F149" i="57"/>
  <c r="F84" i="57"/>
  <c r="F110" i="57"/>
  <c r="F132" i="57"/>
  <c r="E149" i="57"/>
  <c r="E110" i="57"/>
  <c r="E84" i="57"/>
  <c r="E132" i="57"/>
  <c r="D113" i="57"/>
  <c r="E79" i="52"/>
  <c r="E85" i="52" s="1"/>
  <c r="D150" i="52"/>
  <c r="D114" i="52" s="1"/>
  <c r="M133" i="52"/>
  <c r="M150" i="52"/>
  <c r="M114" i="52" s="1"/>
  <c r="M85" i="52"/>
  <c r="M111" i="52"/>
  <c r="B64" i="11"/>
  <c r="B100" i="11" s="1"/>
  <c r="S150" i="52"/>
  <c r="S114" i="52" s="1"/>
  <c r="S85" i="52"/>
  <c r="B93" i="11"/>
  <c r="D3" i="52"/>
  <c r="D105" i="55"/>
  <c r="D105" i="54"/>
  <c r="D105" i="53"/>
  <c r="D105" i="56"/>
  <c r="D102" i="56"/>
  <c r="D102" i="54"/>
  <c r="D102" i="53"/>
  <c r="D102" i="55"/>
  <c r="B104" i="11"/>
  <c r="D84" i="11"/>
  <c r="AC24" i="41"/>
  <c r="E32" i="39"/>
  <c r="F32" i="39" s="1"/>
  <c r="G32" i="39" s="1"/>
  <c r="H32" i="39" s="1"/>
  <c r="I32" i="39" s="1"/>
  <c r="J32" i="39" s="1"/>
  <c r="E31" i="38"/>
  <c r="F31" i="38" s="1"/>
  <c r="G31" i="38" s="1"/>
  <c r="H31" i="38" s="1"/>
  <c r="I31" i="38" s="1"/>
  <c r="J31" i="38" s="1"/>
  <c r="K31" i="38" s="1"/>
  <c r="L31" i="38" s="1"/>
  <c r="M31" i="38" s="1"/>
  <c r="N31" i="38" s="1"/>
  <c r="O31" i="38" s="1"/>
  <c r="P31" i="38" s="1"/>
  <c r="Q31" i="38" s="1"/>
  <c r="R31" i="38" s="1"/>
  <c r="S31" i="38" s="1"/>
  <c r="T31" i="38" s="1"/>
  <c r="U31" i="38" s="1"/>
  <c r="V31" i="38" s="1"/>
  <c r="W31" i="38" s="1"/>
  <c r="X31" i="38" s="1"/>
  <c r="Y31" i="38" s="1"/>
  <c r="Z31" i="38" s="1"/>
  <c r="AA31" i="38" s="1"/>
  <c r="AB31" i="38" s="1"/>
  <c r="K32" i="39" l="1"/>
  <c r="D31" i="41"/>
  <c r="C5" i="69"/>
  <c r="Z149" i="60"/>
  <c r="AB119" i="57"/>
  <c r="AB130" i="57" s="1"/>
  <c r="S119" i="57"/>
  <c r="S130" i="57" s="1"/>
  <c r="M119" i="57"/>
  <c r="M130" i="57" s="1"/>
  <c r="Q119" i="57"/>
  <c r="Q130" i="57" s="1"/>
  <c r="Q115" i="57" s="1"/>
  <c r="Q83" i="60"/>
  <c r="Z83" i="60"/>
  <c r="H83" i="60"/>
  <c r="D130" i="57"/>
  <c r="D115" i="57" s="1"/>
  <c r="F119" i="57"/>
  <c r="F130" i="57" s="1"/>
  <c r="U83" i="60"/>
  <c r="U140" i="60" s="1"/>
  <c r="G83" i="60"/>
  <c r="L83" i="60"/>
  <c r="L140" i="60" s="1"/>
  <c r="V84" i="60"/>
  <c r="V86" i="60" s="1"/>
  <c r="D5" i="52"/>
  <c r="D28" i="52" s="1"/>
  <c r="D97" i="52" s="1"/>
  <c r="D102" i="52" s="1"/>
  <c r="C45" i="52" s="1"/>
  <c r="C19" i="69"/>
  <c r="J119" i="57"/>
  <c r="J130" i="57" s="1"/>
  <c r="J137" i="57" s="1"/>
  <c r="Y83" i="60"/>
  <c r="K83" i="60"/>
  <c r="P83" i="60"/>
  <c r="P119" i="57"/>
  <c r="P130" i="57" s="1"/>
  <c r="P137" i="57" s="1"/>
  <c r="V119" i="57"/>
  <c r="V130" i="57" s="1"/>
  <c r="V137" i="57" s="1"/>
  <c r="F83" i="60"/>
  <c r="O83" i="60"/>
  <c r="T83" i="60"/>
  <c r="I110" i="60"/>
  <c r="S132" i="57"/>
  <c r="T119" i="57"/>
  <c r="T130" i="57" s="1"/>
  <c r="Z119" i="57"/>
  <c r="Z130" i="57" s="1"/>
  <c r="Z137" i="57" s="1"/>
  <c r="J83" i="60"/>
  <c r="S83" i="60"/>
  <c r="X83" i="60"/>
  <c r="L119" i="57"/>
  <c r="L130" i="57" s="1"/>
  <c r="L115" i="57" s="1"/>
  <c r="E83" i="60"/>
  <c r="N83" i="60"/>
  <c r="W83" i="60"/>
  <c r="O150" i="52"/>
  <c r="O114" i="52" s="1"/>
  <c r="N86" i="11"/>
  <c r="N85" i="11"/>
  <c r="N88" i="11"/>
  <c r="F85" i="11"/>
  <c r="F86" i="11"/>
  <c r="F88" i="11"/>
  <c r="X85" i="11"/>
  <c r="X86" i="11"/>
  <c r="X88" i="11"/>
  <c r="J86" i="11"/>
  <c r="J85" i="11"/>
  <c r="J88" i="11"/>
  <c r="U86" i="11"/>
  <c r="U85" i="11"/>
  <c r="U88" i="11"/>
  <c r="M86" i="11"/>
  <c r="M85" i="11"/>
  <c r="M88" i="11"/>
  <c r="P85" i="11"/>
  <c r="P86" i="11"/>
  <c r="P88" i="11"/>
  <c r="AB85" i="11"/>
  <c r="AB86" i="11"/>
  <c r="AB88" i="11"/>
  <c r="AB111" i="52"/>
  <c r="E85" i="11"/>
  <c r="E86" i="11"/>
  <c r="E88" i="11"/>
  <c r="AA86" i="11"/>
  <c r="AA85" i="11"/>
  <c r="AA88" i="11"/>
  <c r="H86" i="11"/>
  <c r="H85" i="11"/>
  <c r="H88" i="11"/>
  <c r="J93" i="11"/>
  <c r="R93" i="11"/>
  <c r="Z93" i="11"/>
  <c r="K93" i="11"/>
  <c r="S93" i="11"/>
  <c r="AA93" i="11"/>
  <c r="E93" i="11"/>
  <c r="M93" i="11"/>
  <c r="U93" i="11"/>
  <c r="D93" i="11"/>
  <c r="F93" i="11"/>
  <c r="N93" i="11"/>
  <c r="V93" i="11"/>
  <c r="H93" i="11"/>
  <c r="X93" i="11"/>
  <c r="I93" i="11"/>
  <c r="Y93" i="11"/>
  <c r="L93" i="11"/>
  <c r="AB93" i="11"/>
  <c r="O93" i="11"/>
  <c r="Q93" i="11"/>
  <c r="W93" i="11"/>
  <c r="P93" i="11"/>
  <c r="G93" i="11"/>
  <c r="T93" i="11"/>
  <c r="AB150" i="52"/>
  <c r="AB114" i="52" s="1"/>
  <c r="T85" i="11"/>
  <c r="T86" i="11"/>
  <c r="T88" i="11"/>
  <c r="S86" i="11"/>
  <c r="S85" i="11"/>
  <c r="S88" i="11"/>
  <c r="W86" i="11"/>
  <c r="W85" i="11"/>
  <c r="W88" i="11"/>
  <c r="AC79" i="52"/>
  <c r="AC133" i="52" s="1"/>
  <c r="L85" i="11"/>
  <c r="L86" i="11"/>
  <c r="L88" i="11"/>
  <c r="K86" i="11"/>
  <c r="K85" i="11"/>
  <c r="K88" i="11"/>
  <c r="O86" i="11"/>
  <c r="O85" i="11"/>
  <c r="O88" i="11"/>
  <c r="B101" i="11"/>
  <c r="I100" i="11"/>
  <c r="Q100" i="11"/>
  <c r="Y100" i="11"/>
  <c r="J100" i="11"/>
  <c r="R100" i="11"/>
  <c r="Z100" i="11"/>
  <c r="D100" i="11"/>
  <c r="K100" i="11"/>
  <c r="S100" i="11"/>
  <c r="AA100" i="11"/>
  <c r="L100" i="11"/>
  <c r="T100" i="11"/>
  <c r="AB100" i="11"/>
  <c r="E100" i="11"/>
  <c r="M100" i="11"/>
  <c r="U100" i="11"/>
  <c r="F100" i="11"/>
  <c r="N100" i="11"/>
  <c r="V100" i="11"/>
  <c r="G100" i="11"/>
  <c r="H100" i="11"/>
  <c r="O100" i="11"/>
  <c r="P100" i="11"/>
  <c r="W100" i="11"/>
  <c r="X100" i="11"/>
  <c r="Y85" i="11"/>
  <c r="Y86" i="11"/>
  <c r="Y88" i="11"/>
  <c r="V86" i="11"/>
  <c r="V85" i="11"/>
  <c r="V88" i="11"/>
  <c r="Z85" i="11"/>
  <c r="Z86" i="11"/>
  <c r="Z88" i="11"/>
  <c r="G85" i="11"/>
  <c r="G86" i="11"/>
  <c r="G88" i="11"/>
  <c r="I104" i="11"/>
  <c r="Q104" i="11"/>
  <c r="Y104" i="11"/>
  <c r="J104" i="11"/>
  <c r="R104" i="11"/>
  <c r="Z104" i="11"/>
  <c r="K104" i="11"/>
  <c r="S104" i="11"/>
  <c r="AA104" i="11"/>
  <c r="L104" i="11"/>
  <c r="T104" i="11"/>
  <c r="AB104" i="11"/>
  <c r="E104" i="11"/>
  <c r="M104" i="11"/>
  <c r="U104" i="11"/>
  <c r="F104" i="11"/>
  <c r="N104" i="11"/>
  <c r="V104" i="11"/>
  <c r="D104" i="11"/>
  <c r="G104" i="11"/>
  <c r="H104" i="11"/>
  <c r="O104" i="11"/>
  <c r="W104" i="11"/>
  <c r="P104" i="11"/>
  <c r="X104" i="11"/>
  <c r="I85" i="11"/>
  <c r="I86" i="11"/>
  <c r="I88" i="11"/>
  <c r="Q86" i="11"/>
  <c r="Q85" i="11"/>
  <c r="Q88" i="11"/>
  <c r="R85" i="11"/>
  <c r="R86" i="11"/>
  <c r="R88" i="11"/>
  <c r="I149" i="60"/>
  <c r="I113" i="60" s="1"/>
  <c r="V110" i="60"/>
  <c r="O110" i="57"/>
  <c r="V149" i="60"/>
  <c r="Q133" i="52"/>
  <c r="I132" i="60"/>
  <c r="J149" i="57"/>
  <c r="J113" i="57" s="1"/>
  <c r="Z149" i="57"/>
  <c r="Z113" i="57" s="1"/>
  <c r="AB110" i="57"/>
  <c r="M149" i="57"/>
  <c r="M113" i="57" s="1"/>
  <c r="AB149" i="57"/>
  <c r="AB132" i="57"/>
  <c r="L149" i="57"/>
  <c r="L113" i="57" s="1"/>
  <c r="W84" i="60"/>
  <c r="W140" i="60" s="1"/>
  <c r="AB149" i="60"/>
  <c r="AB113" i="60" s="1"/>
  <c r="W110" i="60"/>
  <c r="AA84" i="60"/>
  <c r="AA140" i="60" s="1"/>
  <c r="AB132" i="60"/>
  <c r="AA110" i="60"/>
  <c r="S84" i="52"/>
  <c r="S141" i="52" s="1"/>
  <c r="V84" i="52"/>
  <c r="M84" i="52"/>
  <c r="M141" i="52" s="1"/>
  <c r="AB84" i="52"/>
  <c r="AB87" i="52" s="1"/>
  <c r="H84" i="52"/>
  <c r="J84" i="52"/>
  <c r="J87" i="52" s="1"/>
  <c r="F84" i="60"/>
  <c r="F140" i="60" s="1"/>
  <c r="W111" i="52"/>
  <c r="E84" i="60"/>
  <c r="Y132" i="60"/>
  <c r="F110" i="60"/>
  <c r="E110" i="60"/>
  <c r="Y84" i="60"/>
  <c r="F149" i="60"/>
  <c r="F113" i="60" s="1"/>
  <c r="Y110" i="60"/>
  <c r="F99" i="60"/>
  <c r="F142" i="60" s="1"/>
  <c r="AB119" i="60"/>
  <c r="AB130" i="60" s="1"/>
  <c r="AB115" i="60" s="1"/>
  <c r="D32" i="38"/>
  <c r="E32" i="38" s="1"/>
  <c r="F32" i="38" s="1"/>
  <c r="D24" i="38"/>
  <c r="E24" i="38" s="1"/>
  <c r="F24" i="38" s="1"/>
  <c r="E149" i="60"/>
  <c r="E113" i="60" s="1"/>
  <c r="L110" i="60"/>
  <c r="L100" i="60"/>
  <c r="L143" i="60" s="1"/>
  <c r="T132" i="60"/>
  <c r="S133" i="52"/>
  <c r="AB133" i="52"/>
  <c r="Q111" i="52"/>
  <c r="W133" i="52"/>
  <c r="V150" i="52"/>
  <c r="V114" i="52" s="1"/>
  <c r="O85" i="52"/>
  <c r="V111" i="52"/>
  <c r="Q85" i="52"/>
  <c r="W150" i="52"/>
  <c r="W114" i="52" s="1"/>
  <c r="P111" i="52"/>
  <c r="O111" i="52"/>
  <c r="P150" i="52"/>
  <c r="P114" i="52" s="1"/>
  <c r="H132" i="57"/>
  <c r="AA149" i="57"/>
  <c r="AA113" i="57" s="1"/>
  <c r="G84" i="52"/>
  <c r="U84" i="52"/>
  <c r="U87" i="52" s="1"/>
  <c r="P84" i="52"/>
  <c r="M110" i="57"/>
  <c r="Z84" i="52"/>
  <c r="Q84" i="52"/>
  <c r="L84" i="52"/>
  <c r="Y133" i="52"/>
  <c r="V83" i="57"/>
  <c r="V140" i="57" s="1"/>
  <c r="M84" i="57"/>
  <c r="AA84" i="52"/>
  <c r="R84" i="52"/>
  <c r="R87" i="52" s="1"/>
  <c r="I84" i="52"/>
  <c r="J111" i="52"/>
  <c r="Z132" i="57"/>
  <c r="W84" i="52"/>
  <c r="W87" i="52" s="1"/>
  <c r="N84" i="52"/>
  <c r="N141" i="52" s="1"/>
  <c r="E84" i="52"/>
  <c r="E87" i="52" s="1"/>
  <c r="Z84" i="57"/>
  <c r="O84" i="52"/>
  <c r="F84" i="52"/>
  <c r="X84" i="52"/>
  <c r="K84" i="52"/>
  <c r="Y84" i="52"/>
  <c r="H111" i="52"/>
  <c r="H110" i="57"/>
  <c r="H84" i="57"/>
  <c r="U132" i="57"/>
  <c r="U110" i="57"/>
  <c r="U84" i="57"/>
  <c r="I110" i="57"/>
  <c r="F133" i="52"/>
  <c r="E150" i="52"/>
  <c r="E114" i="52" s="1"/>
  <c r="G133" i="52"/>
  <c r="N133" i="52"/>
  <c r="U150" i="52"/>
  <c r="U114" i="52" s="1"/>
  <c r="N150" i="52"/>
  <c r="N114" i="52" s="1"/>
  <c r="T133" i="52"/>
  <c r="T150" i="52"/>
  <c r="T114" i="52" s="1"/>
  <c r="D141" i="52"/>
  <c r="F85" i="52"/>
  <c r="Z150" i="52"/>
  <c r="Z114" i="52" s="1"/>
  <c r="X84" i="57"/>
  <c r="Y84" i="57"/>
  <c r="N132" i="57"/>
  <c r="AA119" i="57"/>
  <c r="AA130" i="57" s="1"/>
  <c r="AA137" i="57" s="1"/>
  <c r="D32" i="36"/>
  <c r="D24" i="36"/>
  <c r="E24" i="36" s="1"/>
  <c r="Y110" i="57"/>
  <c r="N84" i="57"/>
  <c r="T85" i="52"/>
  <c r="T87" i="52" s="1"/>
  <c r="K150" i="52"/>
  <c r="K114" i="52" s="1"/>
  <c r="AA85" i="52"/>
  <c r="Z85" i="52"/>
  <c r="Z111" i="52"/>
  <c r="AA133" i="52"/>
  <c r="L150" i="52"/>
  <c r="L114" i="52" s="1"/>
  <c r="D87" i="52"/>
  <c r="AA111" i="52"/>
  <c r="D33" i="39"/>
  <c r="E33" i="39" s="1"/>
  <c r="F33" i="39" s="1"/>
  <c r="D25" i="39"/>
  <c r="E25" i="39" s="1"/>
  <c r="X85" i="52"/>
  <c r="X111" i="52"/>
  <c r="L111" i="52"/>
  <c r="E31" i="41"/>
  <c r="F31" i="41" s="1"/>
  <c r="G31" i="41" s="1"/>
  <c r="H31" i="41" s="1"/>
  <c r="I31" i="41" s="1"/>
  <c r="J31" i="41" s="1"/>
  <c r="K31" i="41" s="1"/>
  <c r="L31" i="41" s="1"/>
  <c r="M31" i="41" s="1"/>
  <c r="N31" i="41" s="1"/>
  <c r="O31" i="41" s="1"/>
  <c r="P31" i="41" s="1"/>
  <c r="Q31" i="41" s="1"/>
  <c r="R31" i="41" s="1"/>
  <c r="S31" i="41" s="1"/>
  <c r="T31" i="41" s="1"/>
  <c r="U31" i="41" s="1"/>
  <c r="V31" i="41" s="1"/>
  <c r="W31" i="41" s="1"/>
  <c r="X31" i="41" s="1"/>
  <c r="Y31" i="41" s="1"/>
  <c r="Z31" i="41" s="1"/>
  <c r="AA31" i="41" s="1"/>
  <c r="AB31" i="41" s="1"/>
  <c r="D31" i="45"/>
  <c r="R132" i="57"/>
  <c r="L83" i="57"/>
  <c r="L140" i="57" s="1"/>
  <c r="AA110" i="57"/>
  <c r="N99" i="57"/>
  <c r="N142" i="57" s="1"/>
  <c r="N84" i="60"/>
  <c r="N140" i="60" s="1"/>
  <c r="AA119" i="60"/>
  <c r="AA130" i="60" s="1"/>
  <c r="AA115" i="60" s="1"/>
  <c r="J149" i="60"/>
  <c r="J113" i="60" s="1"/>
  <c r="K84" i="60"/>
  <c r="Z119" i="60"/>
  <c r="Z130" i="60" s="1"/>
  <c r="Z137" i="60" s="1"/>
  <c r="W99" i="57"/>
  <c r="P100" i="57"/>
  <c r="P143" i="57" s="1"/>
  <c r="B92" i="11"/>
  <c r="X133" i="52"/>
  <c r="L85" i="52"/>
  <c r="F150" i="52"/>
  <c r="F114" i="52" s="1"/>
  <c r="T83" i="57"/>
  <c r="T140" i="57" s="1"/>
  <c r="T110" i="57"/>
  <c r="AA132" i="57"/>
  <c r="W132" i="57"/>
  <c r="E99" i="57"/>
  <c r="E142" i="57" s="1"/>
  <c r="W100" i="57"/>
  <c r="W143" i="57" s="1"/>
  <c r="I99" i="57"/>
  <c r="I142" i="57" s="1"/>
  <c r="N110" i="60"/>
  <c r="J119" i="60"/>
  <c r="J130" i="60" s="1"/>
  <c r="J115" i="60" s="1"/>
  <c r="D130" i="60"/>
  <c r="D115" i="60" s="1"/>
  <c r="T119" i="60"/>
  <c r="T130" i="60" s="1"/>
  <c r="T137" i="60" s="1"/>
  <c r="L149" i="60"/>
  <c r="AC99" i="60"/>
  <c r="AC101" i="60" s="1"/>
  <c r="O100" i="60"/>
  <c r="O143" i="60" s="1"/>
  <c r="K110" i="60"/>
  <c r="G100" i="57"/>
  <c r="G143" i="57" s="1"/>
  <c r="R133" i="52"/>
  <c r="G84" i="57"/>
  <c r="N100" i="57"/>
  <c r="N143" i="57" s="1"/>
  <c r="G99" i="57"/>
  <c r="G142" i="57" s="1"/>
  <c r="J100" i="57"/>
  <c r="J143" i="57" s="1"/>
  <c r="N149" i="60"/>
  <c r="N113" i="60" s="1"/>
  <c r="F119" i="60"/>
  <c r="F130" i="60" s="1"/>
  <c r="F137" i="60" s="1"/>
  <c r="K119" i="60"/>
  <c r="K130" i="60" s="1"/>
  <c r="K137" i="60" s="1"/>
  <c r="R119" i="60"/>
  <c r="R130" i="60" s="1"/>
  <c r="R115" i="60" s="1"/>
  <c r="L132" i="60"/>
  <c r="H99" i="60"/>
  <c r="H142" i="60" s="1"/>
  <c r="Q100" i="60"/>
  <c r="Q143" i="60" s="1"/>
  <c r="K149" i="60"/>
  <c r="K113" i="60" s="1"/>
  <c r="N119" i="60"/>
  <c r="N130" i="60" s="1"/>
  <c r="N137" i="60" s="1"/>
  <c r="V119" i="60"/>
  <c r="V130" i="60" s="1"/>
  <c r="V137" i="60" s="1"/>
  <c r="W119" i="60"/>
  <c r="W130" i="60" s="1"/>
  <c r="W115" i="60" s="1"/>
  <c r="J132" i="60"/>
  <c r="O140" i="64"/>
  <c r="O86" i="64"/>
  <c r="F140" i="64"/>
  <c r="F86" i="64"/>
  <c r="AA140" i="64"/>
  <c r="AA86" i="64"/>
  <c r="W140" i="64"/>
  <c r="W86" i="64"/>
  <c r="Y140" i="64"/>
  <c r="Y86" i="64"/>
  <c r="L140" i="64"/>
  <c r="L86" i="64"/>
  <c r="AB140" i="64"/>
  <c r="AB86" i="64"/>
  <c r="P113" i="64"/>
  <c r="J142" i="64"/>
  <c r="J101" i="64"/>
  <c r="Z142" i="64"/>
  <c r="Z101" i="64"/>
  <c r="G142" i="64"/>
  <c r="G101" i="64"/>
  <c r="W142" i="64"/>
  <c r="W101" i="64"/>
  <c r="L142" i="64"/>
  <c r="L101" i="64"/>
  <c r="AB142" i="64"/>
  <c r="AB101" i="64"/>
  <c r="I142" i="64"/>
  <c r="I101" i="64"/>
  <c r="Y142" i="64"/>
  <c r="Y101" i="64"/>
  <c r="I113" i="64"/>
  <c r="S113" i="64"/>
  <c r="E137" i="64"/>
  <c r="E115" i="64"/>
  <c r="M137" i="64"/>
  <c r="M115" i="64"/>
  <c r="J115" i="64"/>
  <c r="J137" i="64"/>
  <c r="Z115" i="64"/>
  <c r="Z137" i="64"/>
  <c r="S137" i="64"/>
  <c r="S115" i="64"/>
  <c r="H137" i="64"/>
  <c r="H115" i="64"/>
  <c r="X137" i="64"/>
  <c r="X115" i="64"/>
  <c r="X113" i="64"/>
  <c r="J113" i="64"/>
  <c r="AA113" i="64"/>
  <c r="I85" i="52"/>
  <c r="P85" i="52"/>
  <c r="M83" i="57"/>
  <c r="O83" i="57"/>
  <c r="O140" i="57" s="1"/>
  <c r="H119" i="57"/>
  <c r="H130" i="57" s="1"/>
  <c r="H137" i="57" s="1"/>
  <c r="E119" i="57"/>
  <c r="E130" i="57" s="1"/>
  <c r="E137" i="57" s="1"/>
  <c r="U119" i="57"/>
  <c r="U130" i="57" s="1"/>
  <c r="U115" i="57" s="1"/>
  <c r="N119" i="57"/>
  <c r="N130" i="57" s="1"/>
  <c r="N115" i="57" s="1"/>
  <c r="G119" i="57"/>
  <c r="G130" i="57" s="1"/>
  <c r="G137" i="57" s="1"/>
  <c r="W119" i="57"/>
  <c r="W130" i="57" s="1"/>
  <c r="W137" i="57" s="1"/>
  <c r="Y149" i="57"/>
  <c r="Y113" i="57" s="1"/>
  <c r="AC78" i="57"/>
  <c r="AC149" i="57" s="1"/>
  <c r="L132" i="57"/>
  <c r="N110" i="57"/>
  <c r="AA149" i="60"/>
  <c r="AA113" i="60" s="1"/>
  <c r="I119" i="60"/>
  <c r="I130" i="60" s="1"/>
  <c r="I137" i="60" s="1"/>
  <c r="S119" i="60"/>
  <c r="S130" i="60" s="1"/>
  <c r="O119" i="60"/>
  <c r="O130" i="60" s="1"/>
  <c r="O115" i="60" s="1"/>
  <c r="G119" i="60"/>
  <c r="G130" i="60" s="1"/>
  <c r="G115" i="60" s="1"/>
  <c r="H119" i="60"/>
  <c r="H130" i="60" s="1"/>
  <c r="H137" i="60" s="1"/>
  <c r="X119" i="60"/>
  <c r="X130" i="60" s="1"/>
  <c r="X137" i="60" s="1"/>
  <c r="J84" i="60"/>
  <c r="J140" i="60" s="1"/>
  <c r="D96" i="60"/>
  <c r="D101" i="60" s="1"/>
  <c r="I99" i="60"/>
  <c r="I142" i="60" s="1"/>
  <c r="D108" i="60"/>
  <c r="T110" i="60"/>
  <c r="D153" i="64"/>
  <c r="U140" i="64"/>
  <c r="U86" i="64"/>
  <c r="K140" i="64"/>
  <c r="K86" i="64"/>
  <c r="G140" i="64"/>
  <c r="G86" i="64"/>
  <c r="I140" i="64"/>
  <c r="I86" i="64"/>
  <c r="P140" i="64"/>
  <c r="P86" i="64"/>
  <c r="N142" i="64"/>
  <c r="N101" i="64"/>
  <c r="K142" i="64"/>
  <c r="K101" i="64"/>
  <c r="AA142" i="64"/>
  <c r="AA101" i="64"/>
  <c r="P142" i="64"/>
  <c r="P101" i="64"/>
  <c r="M142" i="64"/>
  <c r="M101" i="64"/>
  <c r="AC142" i="64"/>
  <c r="AC101" i="64"/>
  <c r="N113" i="64"/>
  <c r="U137" i="64"/>
  <c r="U115" i="64"/>
  <c r="D120" i="64"/>
  <c r="D72" i="64" s="1"/>
  <c r="N137" i="64"/>
  <c r="N115" i="64"/>
  <c r="G137" i="64"/>
  <c r="G115" i="64"/>
  <c r="W137" i="64"/>
  <c r="W115" i="64"/>
  <c r="L137" i="64"/>
  <c r="L115" i="64"/>
  <c r="AB137" i="64"/>
  <c r="AB115" i="64"/>
  <c r="H113" i="64"/>
  <c r="Q113" i="64"/>
  <c r="K113" i="64"/>
  <c r="I133" i="52"/>
  <c r="K85" i="52"/>
  <c r="F83" i="57"/>
  <c r="F140" i="57" s="1"/>
  <c r="D86" i="57"/>
  <c r="X119" i="57"/>
  <c r="X130" i="57" s="1"/>
  <c r="X137" i="57" s="1"/>
  <c r="I119" i="57"/>
  <c r="I130" i="57" s="1"/>
  <c r="I137" i="57" s="1"/>
  <c r="Y119" i="57"/>
  <c r="Y130" i="57" s="1"/>
  <c r="Y137" i="57" s="1"/>
  <c r="R119" i="57"/>
  <c r="R130" i="57" s="1"/>
  <c r="R115" i="57" s="1"/>
  <c r="K119" i="57"/>
  <c r="K130" i="57" s="1"/>
  <c r="K137" i="57" s="1"/>
  <c r="L110" i="57"/>
  <c r="Y119" i="60"/>
  <c r="Y130" i="60" s="1"/>
  <c r="Y137" i="60" s="1"/>
  <c r="Q119" i="60"/>
  <c r="Q130" i="60" s="1"/>
  <c r="Q137" i="60" s="1"/>
  <c r="E119" i="60"/>
  <c r="E130" i="60" s="1"/>
  <c r="E137" i="60" s="1"/>
  <c r="U119" i="60"/>
  <c r="U130" i="60" s="1"/>
  <c r="U137" i="60" s="1"/>
  <c r="M119" i="60"/>
  <c r="M130" i="60" s="1"/>
  <c r="L119" i="60"/>
  <c r="L130" i="60" s="1"/>
  <c r="L115" i="60" s="1"/>
  <c r="W99" i="60"/>
  <c r="W142" i="60" s="1"/>
  <c r="F100" i="60"/>
  <c r="F143" i="60" s="1"/>
  <c r="AB99" i="60"/>
  <c r="AB142" i="60" s="1"/>
  <c r="E140" i="64"/>
  <c r="E86" i="64"/>
  <c r="Z140" i="64"/>
  <c r="Z86" i="64"/>
  <c r="Q140" i="64"/>
  <c r="Q86" i="64"/>
  <c r="M140" i="64"/>
  <c r="M86" i="64"/>
  <c r="N140" i="64"/>
  <c r="N86" i="64"/>
  <c r="D90" i="64"/>
  <c r="T140" i="64"/>
  <c r="T86" i="64"/>
  <c r="M113" i="64"/>
  <c r="G113" i="64"/>
  <c r="R142" i="64"/>
  <c r="R101" i="64"/>
  <c r="Z107" i="64"/>
  <c r="V107" i="64"/>
  <c r="R107" i="64"/>
  <c r="N107" i="64"/>
  <c r="J107" i="64"/>
  <c r="F107" i="64"/>
  <c r="AC107" i="64"/>
  <c r="Y107" i="64"/>
  <c r="U107" i="64"/>
  <c r="Q107" i="64"/>
  <c r="M107" i="64"/>
  <c r="I107" i="64"/>
  <c r="E107" i="64"/>
  <c r="X107" i="64"/>
  <c r="P107" i="64"/>
  <c r="H107" i="64"/>
  <c r="W107" i="64"/>
  <c r="O107" i="64"/>
  <c r="G107" i="64"/>
  <c r="AB107" i="64"/>
  <c r="T107" i="64"/>
  <c r="L107" i="64"/>
  <c r="AA107" i="64"/>
  <c r="S107" i="64"/>
  <c r="K107" i="64"/>
  <c r="O142" i="64"/>
  <c r="O101" i="64"/>
  <c r="T142" i="64"/>
  <c r="T101" i="64"/>
  <c r="Q142" i="64"/>
  <c r="Q101" i="64"/>
  <c r="AB113" i="64"/>
  <c r="I137" i="64"/>
  <c r="I115" i="64"/>
  <c r="Q137" i="64"/>
  <c r="Q115" i="64"/>
  <c r="R137" i="64"/>
  <c r="R115" i="64"/>
  <c r="K137" i="64"/>
  <c r="K115" i="64"/>
  <c r="AA137" i="64"/>
  <c r="AA115" i="64"/>
  <c r="P137" i="64"/>
  <c r="P115" i="64"/>
  <c r="U113" i="64"/>
  <c r="O113" i="64"/>
  <c r="V113" i="64"/>
  <c r="D68" i="60"/>
  <c r="J140" i="64"/>
  <c r="J86" i="64"/>
  <c r="C45" i="64"/>
  <c r="V140" i="64"/>
  <c r="V86" i="64"/>
  <c r="R140" i="64"/>
  <c r="R86" i="64"/>
  <c r="S140" i="64"/>
  <c r="S86" i="64"/>
  <c r="H140" i="64"/>
  <c r="H86" i="64"/>
  <c r="X86" i="64"/>
  <c r="X140" i="64"/>
  <c r="W113" i="64"/>
  <c r="R113" i="64"/>
  <c r="F142" i="64"/>
  <c r="F101" i="64"/>
  <c r="V142" i="64"/>
  <c r="V101" i="64"/>
  <c r="D139" i="64"/>
  <c r="D101" i="64"/>
  <c r="S142" i="64"/>
  <c r="S101" i="64"/>
  <c r="H142" i="64"/>
  <c r="H101" i="64"/>
  <c r="X142" i="64"/>
  <c r="X101" i="64"/>
  <c r="E142" i="64"/>
  <c r="E101" i="64"/>
  <c r="U142" i="64"/>
  <c r="U101" i="64"/>
  <c r="Y113" i="64"/>
  <c r="AC149" i="64"/>
  <c r="AC110" i="64"/>
  <c r="AC84" i="64"/>
  <c r="D91" i="64" s="1"/>
  <c r="AC119" i="64"/>
  <c r="AC130" i="64" s="1"/>
  <c r="D131" i="64" s="1"/>
  <c r="C48" i="64" s="1"/>
  <c r="C56" i="64" s="1"/>
  <c r="AC132" i="64"/>
  <c r="D133" i="64" s="1"/>
  <c r="L113" i="64"/>
  <c r="Y137" i="64"/>
  <c r="Y115" i="64"/>
  <c r="F137" i="64"/>
  <c r="F115" i="64"/>
  <c r="V137" i="64"/>
  <c r="V115" i="64"/>
  <c r="O137" i="64"/>
  <c r="O115" i="64"/>
  <c r="D137" i="64"/>
  <c r="D115" i="64"/>
  <c r="T137" i="64"/>
  <c r="T115" i="64"/>
  <c r="E113" i="64"/>
  <c r="Z113" i="64"/>
  <c r="T113" i="64"/>
  <c r="F113" i="64"/>
  <c r="H85" i="52"/>
  <c r="U133" i="52"/>
  <c r="R150" i="52"/>
  <c r="R114" i="52" s="1"/>
  <c r="G150" i="52"/>
  <c r="G114" i="52" s="1"/>
  <c r="Y85" i="52"/>
  <c r="J133" i="52"/>
  <c r="D72" i="52"/>
  <c r="X83" i="57"/>
  <c r="Q83" i="57"/>
  <c r="J83" i="57"/>
  <c r="Z83" i="57"/>
  <c r="Z86" i="57" s="1"/>
  <c r="AB83" i="57"/>
  <c r="AB140" i="57" s="1"/>
  <c r="S83" i="57"/>
  <c r="S140" i="57" s="1"/>
  <c r="D140" i="57"/>
  <c r="D69" i="57"/>
  <c r="T149" i="57"/>
  <c r="T113" i="57" s="1"/>
  <c r="R84" i="57"/>
  <c r="J132" i="57"/>
  <c r="G110" i="57"/>
  <c r="Z132" i="60"/>
  <c r="J99" i="60"/>
  <c r="H100" i="60"/>
  <c r="H143" i="60" s="1"/>
  <c r="G99" i="60"/>
  <c r="G142" i="60" s="1"/>
  <c r="J100" i="60"/>
  <c r="J143" i="60" s="1"/>
  <c r="L99" i="60"/>
  <c r="L142" i="60" s="1"/>
  <c r="T100" i="60"/>
  <c r="T143" i="60" s="1"/>
  <c r="M99" i="60"/>
  <c r="M142" i="60" s="1"/>
  <c r="N100" i="60"/>
  <c r="N143" i="60" s="1"/>
  <c r="Z99" i="60"/>
  <c r="S100" i="60"/>
  <c r="S143" i="60" s="1"/>
  <c r="P99" i="60"/>
  <c r="P142" i="60" s="1"/>
  <c r="E100" i="60"/>
  <c r="E143" i="60" s="1"/>
  <c r="U100" i="60"/>
  <c r="U143" i="60" s="1"/>
  <c r="Q149" i="60"/>
  <c r="D79" i="62"/>
  <c r="H133" i="52"/>
  <c r="U111" i="52"/>
  <c r="R111" i="52"/>
  <c r="G85" i="52"/>
  <c r="Y111" i="52"/>
  <c r="J150" i="52"/>
  <c r="J114" i="52" s="1"/>
  <c r="E83" i="57"/>
  <c r="E140" i="57" s="1"/>
  <c r="U83" i="57"/>
  <c r="N83" i="57"/>
  <c r="H83" i="57"/>
  <c r="G83" i="57"/>
  <c r="W83" i="57"/>
  <c r="T132" i="57"/>
  <c r="R110" i="57"/>
  <c r="J84" i="57"/>
  <c r="J140" i="57" s="1"/>
  <c r="G149" i="57"/>
  <c r="G113" i="57" s="1"/>
  <c r="D79" i="60"/>
  <c r="Z84" i="60"/>
  <c r="N99" i="60"/>
  <c r="N142" i="60" s="1"/>
  <c r="P100" i="60"/>
  <c r="P143" i="60" s="1"/>
  <c r="K99" i="60"/>
  <c r="K142" i="60" s="1"/>
  <c r="R100" i="60"/>
  <c r="R143" i="60" s="1"/>
  <c r="Q99" i="60"/>
  <c r="Q142" i="60" s="1"/>
  <c r="AB100" i="60"/>
  <c r="AB143" i="60" s="1"/>
  <c r="S99" i="60"/>
  <c r="S142" i="60" s="1"/>
  <c r="V100" i="60"/>
  <c r="V143" i="60" s="1"/>
  <c r="G100" i="60"/>
  <c r="G143" i="60" s="1"/>
  <c r="W100" i="60"/>
  <c r="W143" i="60" s="1"/>
  <c r="T99" i="60"/>
  <c r="T142" i="60" s="1"/>
  <c r="I100" i="60"/>
  <c r="I143" i="60" s="1"/>
  <c r="Y100" i="60"/>
  <c r="Y143" i="60" s="1"/>
  <c r="Q132" i="60"/>
  <c r="D71" i="60"/>
  <c r="D69" i="60"/>
  <c r="I83" i="57"/>
  <c r="Y83" i="57"/>
  <c r="R83" i="57"/>
  <c r="P83" i="57"/>
  <c r="P140" i="57" s="1"/>
  <c r="K83" i="57"/>
  <c r="K140" i="57" s="1"/>
  <c r="U99" i="60"/>
  <c r="U142" i="60" s="1"/>
  <c r="X100" i="60"/>
  <c r="X143" i="60" s="1"/>
  <c r="O99" i="60"/>
  <c r="Z100" i="60"/>
  <c r="Z143" i="60" s="1"/>
  <c r="Y99" i="60"/>
  <c r="Y142" i="60" s="1"/>
  <c r="E99" i="60"/>
  <c r="E142" i="60" s="1"/>
  <c r="AA99" i="60"/>
  <c r="R99" i="60"/>
  <c r="R142" i="60" s="1"/>
  <c r="K100" i="60"/>
  <c r="K143" i="60" s="1"/>
  <c r="AA100" i="60"/>
  <c r="AA143" i="60" s="1"/>
  <c r="X99" i="60"/>
  <c r="M100" i="60"/>
  <c r="M143" i="60" s="1"/>
  <c r="Q84" i="60"/>
  <c r="D71" i="62"/>
  <c r="R149" i="62"/>
  <c r="R84" i="62"/>
  <c r="R110" i="62"/>
  <c r="R132" i="62"/>
  <c r="D69" i="62"/>
  <c r="K149" i="62"/>
  <c r="K84" i="62"/>
  <c r="K110" i="62"/>
  <c r="K132" i="62"/>
  <c r="AA149" i="62"/>
  <c r="AA84" i="62"/>
  <c r="AA110" i="62"/>
  <c r="AA132" i="62"/>
  <c r="H149" i="62"/>
  <c r="H110" i="62"/>
  <c r="H84" i="62"/>
  <c r="H132" i="62"/>
  <c r="X149" i="62"/>
  <c r="X110" i="62"/>
  <c r="X84" i="62"/>
  <c r="X132" i="62"/>
  <c r="D68" i="62"/>
  <c r="F149" i="62"/>
  <c r="F84" i="62"/>
  <c r="F110" i="62"/>
  <c r="F132" i="62"/>
  <c r="V149" i="62"/>
  <c r="V84" i="62"/>
  <c r="V110" i="62"/>
  <c r="V132" i="62"/>
  <c r="Q149" i="62"/>
  <c r="Q110" i="62"/>
  <c r="Q84" i="62"/>
  <c r="Q132" i="62"/>
  <c r="O149" i="62"/>
  <c r="O84" i="62"/>
  <c r="O110" i="62"/>
  <c r="O132" i="62"/>
  <c r="E149" i="62"/>
  <c r="E110" i="62"/>
  <c r="E84" i="62"/>
  <c r="E132" i="62"/>
  <c r="L149" i="62"/>
  <c r="L110" i="62"/>
  <c r="L84" i="62"/>
  <c r="L132" i="62"/>
  <c r="AB110" i="62"/>
  <c r="AB84" i="62"/>
  <c r="AC78" i="62"/>
  <c r="AB149" i="62"/>
  <c r="AB132" i="62"/>
  <c r="D113" i="62"/>
  <c r="AB100" i="62"/>
  <c r="AB143" i="62" s="1"/>
  <c r="X100" i="62"/>
  <c r="X143" i="62" s="1"/>
  <c r="T100" i="62"/>
  <c r="T143" i="62" s="1"/>
  <c r="P100" i="62"/>
  <c r="P143" i="62" s="1"/>
  <c r="L100" i="62"/>
  <c r="L143" i="62" s="1"/>
  <c r="H100" i="62"/>
  <c r="H143" i="62" s="1"/>
  <c r="AA99" i="62"/>
  <c r="W99" i="62"/>
  <c r="S99" i="62"/>
  <c r="O99" i="62"/>
  <c r="K99" i="62"/>
  <c r="G99" i="62"/>
  <c r="D96" i="62"/>
  <c r="Y100" i="62"/>
  <c r="Y143" i="62" s="1"/>
  <c r="M100" i="62"/>
  <c r="M143" i="62" s="1"/>
  <c r="X99" i="62"/>
  <c r="H99" i="62"/>
  <c r="D108" i="62"/>
  <c r="AA100" i="62"/>
  <c r="AA143" i="62" s="1"/>
  <c r="W100" i="62"/>
  <c r="W143" i="62" s="1"/>
  <c r="S100" i="62"/>
  <c r="S143" i="62" s="1"/>
  <c r="O100" i="62"/>
  <c r="O143" i="62" s="1"/>
  <c r="K100" i="62"/>
  <c r="K143" i="62" s="1"/>
  <c r="G100" i="62"/>
  <c r="G143" i="62" s="1"/>
  <c r="Z99" i="62"/>
  <c r="V99" i="62"/>
  <c r="R99" i="62"/>
  <c r="N99" i="62"/>
  <c r="J99" i="62"/>
  <c r="F99" i="62"/>
  <c r="AC100" i="62"/>
  <c r="AC143" i="62" s="1"/>
  <c r="U100" i="62"/>
  <c r="U143" i="62" s="1"/>
  <c r="I100" i="62"/>
  <c r="I143" i="62" s="1"/>
  <c r="T99" i="62"/>
  <c r="Z100" i="62"/>
  <c r="Z143" i="62" s="1"/>
  <c r="V100" i="62"/>
  <c r="V143" i="62" s="1"/>
  <c r="R100" i="62"/>
  <c r="R143" i="62" s="1"/>
  <c r="N100" i="62"/>
  <c r="N143" i="62" s="1"/>
  <c r="J100" i="62"/>
  <c r="J143" i="62" s="1"/>
  <c r="F100" i="62"/>
  <c r="F143" i="62" s="1"/>
  <c r="AC99" i="62"/>
  <c r="Y99" i="62"/>
  <c r="U99" i="62"/>
  <c r="Q99" i="62"/>
  <c r="M99" i="62"/>
  <c r="I99" i="62"/>
  <c r="E99" i="62"/>
  <c r="Q100" i="62"/>
  <c r="Q143" i="62" s="1"/>
  <c r="E100" i="62"/>
  <c r="E143" i="62" s="1"/>
  <c r="AB99" i="62"/>
  <c r="P99" i="62"/>
  <c r="L99" i="62"/>
  <c r="I149" i="62"/>
  <c r="I110" i="62"/>
  <c r="I84" i="62"/>
  <c r="I132" i="62"/>
  <c r="J149" i="62"/>
  <c r="J84" i="62"/>
  <c r="J110" i="62"/>
  <c r="J132" i="62"/>
  <c r="Z149" i="62"/>
  <c r="Z84" i="62"/>
  <c r="Z110" i="62"/>
  <c r="Z132" i="62"/>
  <c r="Y149" i="62"/>
  <c r="Y110" i="62"/>
  <c r="Y84" i="62"/>
  <c r="Y132" i="62"/>
  <c r="S149" i="62"/>
  <c r="S84" i="62"/>
  <c r="S110" i="62"/>
  <c r="S132" i="62"/>
  <c r="M149" i="62"/>
  <c r="M110" i="62"/>
  <c r="M84" i="62"/>
  <c r="M132" i="62"/>
  <c r="P149" i="62"/>
  <c r="P110" i="62"/>
  <c r="P84" i="62"/>
  <c r="P132" i="62"/>
  <c r="AB119" i="62"/>
  <c r="AB130" i="62" s="1"/>
  <c r="X119" i="62"/>
  <c r="X130" i="62" s="1"/>
  <c r="T119" i="62"/>
  <c r="T130" i="62" s="1"/>
  <c r="P119" i="62"/>
  <c r="P130" i="62" s="1"/>
  <c r="L119" i="62"/>
  <c r="L130" i="62" s="1"/>
  <c r="H119" i="62"/>
  <c r="H130" i="62" s="1"/>
  <c r="D130" i="62"/>
  <c r="AA119" i="62"/>
  <c r="AA130" i="62" s="1"/>
  <c r="W119" i="62"/>
  <c r="W130" i="62" s="1"/>
  <c r="S119" i="62"/>
  <c r="S130" i="62" s="1"/>
  <c r="O119" i="62"/>
  <c r="O130" i="62" s="1"/>
  <c r="K119" i="62"/>
  <c r="K130" i="62" s="1"/>
  <c r="G119" i="62"/>
  <c r="G130" i="62" s="1"/>
  <c r="Z119" i="62"/>
  <c r="Z130" i="62" s="1"/>
  <c r="V119" i="62"/>
  <c r="V130" i="62" s="1"/>
  <c r="R119" i="62"/>
  <c r="R130" i="62" s="1"/>
  <c r="N119" i="62"/>
  <c r="N130" i="62" s="1"/>
  <c r="J119" i="62"/>
  <c r="J130" i="62" s="1"/>
  <c r="F119" i="62"/>
  <c r="F130" i="62" s="1"/>
  <c r="M119" i="62"/>
  <c r="M130" i="62" s="1"/>
  <c r="Y119" i="62"/>
  <c r="Y130" i="62" s="1"/>
  <c r="I119" i="62"/>
  <c r="I130" i="62" s="1"/>
  <c r="Q119" i="62"/>
  <c r="Q130" i="62" s="1"/>
  <c r="U119" i="62"/>
  <c r="U130" i="62" s="1"/>
  <c r="E119" i="62"/>
  <c r="E130" i="62" s="1"/>
  <c r="N149" i="62"/>
  <c r="N84" i="62"/>
  <c r="N110" i="62"/>
  <c r="N132" i="62"/>
  <c r="D140" i="62"/>
  <c r="Z83" i="62"/>
  <c r="V83" i="62"/>
  <c r="R83" i="62"/>
  <c r="N83" i="62"/>
  <c r="J83" i="62"/>
  <c r="F83" i="62"/>
  <c r="D86" i="62"/>
  <c r="S83" i="62"/>
  <c r="Y83" i="62"/>
  <c r="U83" i="62"/>
  <c r="Q83" i="62"/>
  <c r="M83" i="62"/>
  <c r="I83" i="62"/>
  <c r="E83" i="62"/>
  <c r="K83" i="62"/>
  <c r="AB83" i="62"/>
  <c r="X83" i="62"/>
  <c r="T83" i="62"/>
  <c r="P83" i="62"/>
  <c r="L83" i="62"/>
  <c r="H83" i="62"/>
  <c r="AA83" i="62"/>
  <c r="W83" i="62"/>
  <c r="O83" i="62"/>
  <c r="G83" i="62"/>
  <c r="G149" i="62"/>
  <c r="G84" i="62"/>
  <c r="G110" i="62"/>
  <c r="G132" i="62"/>
  <c r="W149" i="62"/>
  <c r="W84" i="62"/>
  <c r="W110" i="62"/>
  <c r="W132" i="62"/>
  <c r="U149" i="62"/>
  <c r="U110" i="62"/>
  <c r="U84" i="62"/>
  <c r="U132" i="62"/>
  <c r="T149" i="62"/>
  <c r="T110" i="62"/>
  <c r="T84" i="62"/>
  <c r="T132" i="62"/>
  <c r="AB99" i="57"/>
  <c r="AB142" i="57" s="1"/>
  <c r="Q100" i="57"/>
  <c r="Q143" i="57" s="1"/>
  <c r="L99" i="57"/>
  <c r="L142" i="57" s="1"/>
  <c r="P137" i="60"/>
  <c r="P115" i="60"/>
  <c r="N111" i="52"/>
  <c r="D80" i="52"/>
  <c r="E133" i="52"/>
  <c r="I111" i="52"/>
  <c r="V85" i="52"/>
  <c r="K111" i="52"/>
  <c r="X110" i="57"/>
  <c r="D71" i="57"/>
  <c r="Q84" i="57"/>
  <c r="O149" i="57"/>
  <c r="O113" i="57" s="1"/>
  <c r="I84" i="57"/>
  <c r="W84" i="57"/>
  <c r="Q99" i="57"/>
  <c r="Q142" i="57" s="1"/>
  <c r="Z100" i="57"/>
  <c r="Z143" i="57" s="1"/>
  <c r="R99" i="57"/>
  <c r="R142" i="57" s="1"/>
  <c r="K100" i="57"/>
  <c r="K143" i="57" s="1"/>
  <c r="AA100" i="57"/>
  <c r="AA143" i="57" s="1"/>
  <c r="K99" i="57"/>
  <c r="K142" i="57" s="1"/>
  <c r="AA99" i="57"/>
  <c r="AA142" i="57" s="1"/>
  <c r="T100" i="57"/>
  <c r="T143" i="57" s="1"/>
  <c r="M99" i="57"/>
  <c r="M142" i="57" s="1"/>
  <c r="R100" i="57"/>
  <c r="R143" i="57" s="1"/>
  <c r="P99" i="57"/>
  <c r="P142" i="57" s="1"/>
  <c r="E100" i="57"/>
  <c r="E143" i="57" s="1"/>
  <c r="U100" i="57"/>
  <c r="U143" i="57" s="1"/>
  <c r="D68" i="57"/>
  <c r="Z140" i="60"/>
  <c r="Z86" i="60"/>
  <c r="S140" i="60"/>
  <c r="S86" i="60"/>
  <c r="T140" i="60"/>
  <c r="T86" i="60"/>
  <c r="P113" i="60"/>
  <c r="S137" i="60"/>
  <c r="S115" i="60"/>
  <c r="AC149" i="60"/>
  <c r="AC110" i="60"/>
  <c r="AC119" i="60"/>
  <c r="AC130" i="60" s="1"/>
  <c r="AC84" i="60"/>
  <c r="AC132" i="60"/>
  <c r="H113" i="60"/>
  <c r="O142" i="60"/>
  <c r="X142" i="60"/>
  <c r="T113" i="60"/>
  <c r="R113" i="60"/>
  <c r="M140" i="60"/>
  <c r="M86" i="60"/>
  <c r="O140" i="60"/>
  <c r="O86" i="60"/>
  <c r="P140" i="60"/>
  <c r="P86" i="60"/>
  <c r="X113" i="60"/>
  <c r="D70" i="52"/>
  <c r="E111" i="52"/>
  <c r="D69" i="52"/>
  <c r="X149" i="57"/>
  <c r="X113" i="57" s="1"/>
  <c r="Q110" i="57"/>
  <c r="O132" i="57"/>
  <c r="D79" i="57"/>
  <c r="I149" i="57"/>
  <c r="I113" i="57" s="1"/>
  <c r="W110" i="57"/>
  <c r="AC99" i="57"/>
  <c r="AC101" i="57" s="1"/>
  <c r="F99" i="57"/>
  <c r="F142" i="57" s="1"/>
  <c r="V99" i="57"/>
  <c r="V142" i="57" s="1"/>
  <c r="O100" i="57"/>
  <c r="O143" i="57" s="1"/>
  <c r="D108" i="57"/>
  <c r="N107" i="57" s="1"/>
  <c r="O99" i="57"/>
  <c r="O142" i="57" s="1"/>
  <c r="H100" i="57"/>
  <c r="H143" i="57" s="1"/>
  <c r="X100" i="57"/>
  <c r="X143" i="57" s="1"/>
  <c r="U99" i="57"/>
  <c r="U142" i="57" s="1"/>
  <c r="V100" i="57"/>
  <c r="V143" i="57" s="1"/>
  <c r="T99" i="57"/>
  <c r="T142" i="57" s="1"/>
  <c r="I100" i="57"/>
  <c r="I143" i="57" s="1"/>
  <c r="Y100" i="57"/>
  <c r="Y143" i="57" s="1"/>
  <c r="U86" i="60"/>
  <c r="G140" i="60"/>
  <c r="G86" i="60"/>
  <c r="H140" i="60"/>
  <c r="H86" i="60"/>
  <c r="X140" i="60"/>
  <c r="X86" i="60"/>
  <c r="W113" i="60"/>
  <c r="Y113" i="60"/>
  <c r="L113" i="60"/>
  <c r="U113" i="60"/>
  <c r="O113" i="60"/>
  <c r="V142" i="60"/>
  <c r="V101" i="60"/>
  <c r="Z107" i="60"/>
  <c r="V107" i="60"/>
  <c r="R107" i="60"/>
  <c r="N107" i="60"/>
  <c r="J107" i="60"/>
  <c r="F107" i="60"/>
  <c r="AC107" i="60"/>
  <c r="Y107" i="60"/>
  <c r="U107" i="60"/>
  <c r="Q107" i="60"/>
  <c r="M107" i="60"/>
  <c r="I107" i="60"/>
  <c r="E107" i="60"/>
  <c r="AB107" i="60"/>
  <c r="X107" i="60"/>
  <c r="T107" i="60"/>
  <c r="P107" i="60"/>
  <c r="L107" i="60"/>
  <c r="H107" i="60"/>
  <c r="W107" i="60"/>
  <c r="G107" i="60"/>
  <c r="S107" i="60"/>
  <c r="O107" i="60"/>
  <c r="AA107" i="60"/>
  <c r="K107" i="60"/>
  <c r="F100" i="57"/>
  <c r="F143" i="57" s="1"/>
  <c r="J99" i="57"/>
  <c r="J142" i="57" s="1"/>
  <c r="Z99" i="57"/>
  <c r="Z142" i="57" s="1"/>
  <c r="S100" i="57"/>
  <c r="S143" i="57" s="1"/>
  <c r="D96" i="57"/>
  <c r="D101" i="57" s="1"/>
  <c r="S99" i="57"/>
  <c r="S142" i="57" s="1"/>
  <c r="L100" i="57"/>
  <c r="L143" i="57" s="1"/>
  <c r="AB100" i="57"/>
  <c r="AB143" i="57" s="1"/>
  <c r="Y99" i="57"/>
  <c r="Y142" i="57" s="1"/>
  <c r="H99" i="57"/>
  <c r="H142" i="57" s="1"/>
  <c r="X99" i="57"/>
  <c r="X142" i="57" s="1"/>
  <c r="M100" i="57"/>
  <c r="M143" i="57" s="1"/>
  <c r="I140" i="60"/>
  <c r="I86" i="60"/>
  <c r="R140" i="60"/>
  <c r="R86" i="60"/>
  <c r="AB140" i="60"/>
  <c r="AB86" i="60"/>
  <c r="M113" i="60"/>
  <c r="G113" i="60"/>
  <c r="M137" i="60"/>
  <c r="M115" i="60"/>
  <c r="Z113" i="60"/>
  <c r="S113" i="60"/>
  <c r="V113" i="60"/>
  <c r="J142" i="60"/>
  <c r="Z142" i="60"/>
  <c r="F113" i="57"/>
  <c r="AA140" i="57"/>
  <c r="AA86" i="57"/>
  <c r="S137" i="57"/>
  <c r="S115" i="57"/>
  <c r="W142" i="57"/>
  <c r="E120" i="52"/>
  <c r="E131" i="52" s="1"/>
  <c r="E138" i="52" s="1"/>
  <c r="I120" i="52"/>
  <c r="I131" i="52" s="1"/>
  <c r="I138" i="52" s="1"/>
  <c r="M120" i="52"/>
  <c r="M131" i="52" s="1"/>
  <c r="M116" i="52" s="1"/>
  <c r="Q120" i="52"/>
  <c r="Q131" i="52" s="1"/>
  <c r="Q138" i="52" s="1"/>
  <c r="U120" i="52"/>
  <c r="U131" i="52" s="1"/>
  <c r="U116" i="52" s="1"/>
  <c r="Y120" i="52"/>
  <c r="Y131" i="52" s="1"/>
  <c r="Y138" i="52" s="1"/>
  <c r="F120" i="52"/>
  <c r="F131" i="52" s="1"/>
  <c r="F116" i="52" s="1"/>
  <c r="J120" i="52"/>
  <c r="J131" i="52" s="1"/>
  <c r="J116" i="52" s="1"/>
  <c r="N120" i="52"/>
  <c r="N131" i="52" s="1"/>
  <c r="N116" i="52" s="1"/>
  <c r="R120" i="52"/>
  <c r="R131" i="52" s="1"/>
  <c r="R116" i="52" s="1"/>
  <c r="V120" i="52"/>
  <c r="V131" i="52" s="1"/>
  <c r="V116" i="52" s="1"/>
  <c r="Z120" i="52"/>
  <c r="Z131" i="52" s="1"/>
  <c r="Z138" i="52" s="1"/>
  <c r="L120" i="52"/>
  <c r="L131" i="52" s="1"/>
  <c r="L116" i="52" s="1"/>
  <c r="G120" i="52"/>
  <c r="G131" i="52" s="1"/>
  <c r="G138" i="52" s="1"/>
  <c r="K120" i="52"/>
  <c r="K131" i="52" s="1"/>
  <c r="K116" i="52" s="1"/>
  <c r="O120" i="52"/>
  <c r="O131" i="52" s="1"/>
  <c r="O138" i="52" s="1"/>
  <c r="S120" i="52"/>
  <c r="S131" i="52" s="1"/>
  <c r="S116" i="52" s="1"/>
  <c r="W120" i="52"/>
  <c r="W131" i="52" s="1"/>
  <c r="W138" i="52" s="1"/>
  <c r="AA120" i="52"/>
  <c r="AA131" i="52" s="1"/>
  <c r="AA138" i="52" s="1"/>
  <c r="H120" i="52"/>
  <c r="H131" i="52" s="1"/>
  <c r="H116" i="52" s="1"/>
  <c r="P120" i="52"/>
  <c r="P131" i="52" s="1"/>
  <c r="P116" i="52" s="1"/>
  <c r="T120" i="52"/>
  <c r="T131" i="52" s="1"/>
  <c r="T116" i="52" s="1"/>
  <c r="X120" i="52"/>
  <c r="X131" i="52" s="1"/>
  <c r="X116" i="52" s="1"/>
  <c r="AB120" i="52"/>
  <c r="AB131" i="52" s="1"/>
  <c r="AB116" i="52" s="1"/>
  <c r="R113" i="57"/>
  <c r="K113" i="57"/>
  <c r="W113" i="57"/>
  <c r="U113" i="57"/>
  <c r="H113" i="57"/>
  <c r="M137" i="57"/>
  <c r="M115" i="57"/>
  <c r="V113" i="57"/>
  <c r="E113" i="57"/>
  <c r="S113" i="57"/>
  <c r="Q113" i="57"/>
  <c r="T115" i="57"/>
  <c r="T137" i="57"/>
  <c r="AB115" i="57"/>
  <c r="AB137" i="57"/>
  <c r="Q137" i="57"/>
  <c r="F137" i="57"/>
  <c r="F115" i="57"/>
  <c r="O137" i="57"/>
  <c r="O115" i="57"/>
  <c r="P113" i="57"/>
  <c r="AB113" i="57"/>
  <c r="N113" i="57"/>
  <c r="D116" i="52"/>
  <c r="D138" i="52"/>
  <c r="D88" i="11"/>
  <c r="B105" i="11"/>
  <c r="D85" i="11"/>
  <c r="D86" i="11"/>
  <c r="E24" i="40"/>
  <c r="F24" i="40" s="1"/>
  <c r="D25" i="41"/>
  <c r="D24" i="45"/>
  <c r="F32" i="40"/>
  <c r="Z101" i="52" l="1"/>
  <c r="Z144" i="52" s="1"/>
  <c r="T101" i="52"/>
  <c r="T144" i="52" s="1"/>
  <c r="G100" i="52"/>
  <c r="G143" i="52" s="1"/>
  <c r="AC100" i="52"/>
  <c r="AC143" i="52" s="1"/>
  <c r="F100" i="52"/>
  <c r="J100" i="52"/>
  <c r="J143" i="52" s="1"/>
  <c r="AB100" i="52"/>
  <c r="AB143" i="52" s="1"/>
  <c r="N100" i="52"/>
  <c r="N143" i="52" s="1"/>
  <c r="L100" i="52"/>
  <c r="L143" i="52" s="1"/>
  <c r="Z100" i="52"/>
  <c r="Z143" i="52" s="1"/>
  <c r="M100" i="52"/>
  <c r="M143" i="52" s="1"/>
  <c r="AC101" i="52"/>
  <c r="AC144" i="52" s="1"/>
  <c r="X101" i="52"/>
  <c r="X144" i="52" s="1"/>
  <c r="Y100" i="52"/>
  <c r="Y143" i="52" s="1"/>
  <c r="S101" i="52"/>
  <c r="S144" i="52" s="1"/>
  <c r="M101" i="52"/>
  <c r="M144" i="52" s="1"/>
  <c r="F101" i="52"/>
  <c r="F144" i="52" s="1"/>
  <c r="K100" i="52"/>
  <c r="K143" i="52" s="1"/>
  <c r="I100" i="52"/>
  <c r="I143" i="52" s="1"/>
  <c r="O101" i="52"/>
  <c r="O144" i="52" s="1"/>
  <c r="X100" i="52"/>
  <c r="X143" i="52" s="1"/>
  <c r="Q100" i="52"/>
  <c r="Q143" i="52" s="1"/>
  <c r="V100" i="52"/>
  <c r="V143" i="52" s="1"/>
  <c r="U101" i="52"/>
  <c r="U144" i="52" s="1"/>
  <c r="P101" i="52"/>
  <c r="P144" i="52" s="1"/>
  <c r="E100" i="52"/>
  <c r="E143" i="52" s="1"/>
  <c r="W100" i="52"/>
  <c r="W143" i="52" s="1"/>
  <c r="U100" i="52"/>
  <c r="I101" i="52"/>
  <c r="I144" i="52" s="1"/>
  <c r="AA100" i="52"/>
  <c r="AA143" i="52" s="1"/>
  <c r="T100" i="52"/>
  <c r="T143" i="52" s="1"/>
  <c r="L101" i="52"/>
  <c r="L144" i="52" s="1"/>
  <c r="V101" i="52"/>
  <c r="V144" i="52" s="1"/>
  <c r="E101" i="52"/>
  <c r="E144" i="52" s="1"/>
  <c r="H101" i="52"/>
  <c r="H144" i="52" s="1"/>
  <c r="K101" i="52"/>
  <c r="K144" i="52" s="1"/>
  <c r="H100" i="52"/>
  <c r="H143" i="52" s="1"/>
  <c r="AB101" i="52"/>
  <c r="AB144" i="52" s="1"/>
  <c r="G101" i="52"/>
  <c r="G144" i="52" s="1"/>
  <c r="O100" i="52"/>
  <c r="AA101" i="52"/>
  <c r="AA144" i="52" s="1"/>
  <c r="N101" i="52"/>
  <c r="N144" i="52" s="1"/>
  <c r="D140" i="52"/>
  <c r="S100" i="52"/>
  <c r="S143" i="52" s="1"/>
  <c r="W101" i="52"/>
  <c r="W144" i="52" s="1"/>
  <c r="Q101" i="52"/>
  <c r="Q144" i="52" s="1"/>
  <c r="J101" i="52"/>
  <c r="J144" i="52" s="1"/>
  <c r="R100" i="52"/>
  <c r="R143" i="52" s="1"/>
  <c r="Y101" i="52"/>
  <c r="Y144" i="52" s="1"/>
  <c r="R101" i="52"/>
  <c r="R144" i="52" s="1"/>
  <c r="P100" i="52"/>
  <c r="P143" i="52" s="1"/>
  <c r="D109" i="52"/>
  <c r="AA108" i="52" s="1"/>
  <c r="E31" i="45"/>
  <c r="L32" i="39"/>
  <c r="Z115" i="57"/>
  <c r="V140" i="60"/>
  <c r="V115" i="57"/>
  <c r="P115" i="57"/>
  <c r="V86" i="57"/>
  <c r="L86" i="60"/>
  <c r="Q86" i="60"/>
  <c r="D90" i="60"/>
  <c r="F86" i="57"/>
  <c r="AA86" i="60"/>
  <c r="N86" i="57"/>
  <c r="L137" i="57"/>
  <c r="J115" i="57"/>
  <c r="D137" i="57"/>
  <c r="AC142" i="60"/>
  <c r="E140" i="60"/>
  <c r="E150" i="60" s="1"/>
  <c r="E151" i="60" s="1"/>
  <c r="E152" i="60" s="1"/>
  <c r="W86" i="60"/>
  <c r="K140" i="60"/>
  <c r="Y140" i="60"/>
  <c r="D32" i="45"/>
  <c r="E32" i="45" s="1"/>
  <c r="AC111" i="52"/>
  <c r="AC85" i="52"/>
  <c r="AC87" i="52" s="1"/>
  <c r="AC150" i="52"/>
  <c r="AC114" i="52" s="1"/>
  <c r="AC120" i="52"/>
  <c r="AC131" i="52" s="1"/>
  <c r="AC138" i="52" s="1"/>
  <c r="I101" i="11"/>
  <c r="Q101" i="11"/>
  <c r="Y101" i="11"/>
  <c r="D101" i="11"/>
  <c r="J101" i="11"/>
  <c r="R101" i="11"/>
  <c r="Z101" i="11"/>
  <c r="K101" i="11"/>
  <c r="S101" i="11"/>
  <c r="AA101" i="11"/>
  <c r="L101" i="11"/>
  <c r="T101" i="11"/>
  <c r="AB101" i="11"/>
  <c r="E101" i="11"/>
  <c r="M101" i="11"/>
  <c r="U101" i="11"/>
  <c r="F101" i="11"/>
  <c r="N101" i="11"/>
  <c r="V101" i="11"/>
  <c r="X101" i="11"/>
  <c r="O101" i="11"/>
  <c r="G101" i="11"/>
  <c r="W101" i="11"/>
  <c r="H101" i="11"/>
  <c r="P101" i="11"/>
  <c r="B95" i="11"/>
  <c r="B109" i="11" s="1"/>
  <c r="C6" i="69" s="1"/>
  <c r="I92" i="11"/>
  <c r="I95" i="11" s="1"/>
  <c r="Q92" i="11"/>
  <c r="Q95" i="11" s="1"/>
  <c r="Y92" i="11"/>
  <c r="Y95" i="11" s="1"/>
  <c r="J92" i="11"/>
  <c r="J95" i="11" s="1"/>
  <c r="R92" i="11"/>
  <c r="R95" i="11" s="1"/>
  <c r="Z92" i="11"/>
  <c r="Z95" i="11" s="1"/>
  <c r="L92" i="11"/>
  <c r="L95" i="11" s="1"/>
  <c r="T92" i="11"/>
  <c r="T95" i="11" s="1"/>
  <c r="AB92" i="11"/>
  <c r="AB95" i="11" s="1"/>
  <c r="E92" i="11"/>
  <c r="E95" i="11" s="1"/>
  <c r="M92" i="11"/>
  <c r="M95" i="11" s="1"/>
  <c r="U92" i="11"/>
  <c r="U95" i="11" s="1"/>
  <c r="D92" i="11"/>
  <c r="O92" i="11"/>
  <c r="O95" i="11" s="1"/>
  <c r="F92" i="11"/>
  <c r="F95" i="11" s="1"/>
  <c r="H92" i="11"/>
  <c r="H95" i="11" s="1"/>
  <c r="N92" i="11"/>
  <c r="N95" i="11" s="1"/>
  <c r="P92" i="11"/>
  <c r="P95" i="11" s="1"/>
  <c r="S92" i="11"/>
  <c r="S95" i="11" s="1"/>
  <c r="V92" i="11"/>
  <c r="V95" i="11" s="1"/>
  <c r="X92" i="11"/>
  <c r="X95" i="11" s="1"/>
  <c r="G92" i="11"/>
  <c r="G95" i="11" s="1"/>
  <c r="W92" i="11"/>
  <c r="W95" i="11" s="1"/>
  <c r="K92" i="11"/>
  <c r="K95" i="11" s="1"/>
  <c r="AA92" i="11"/>
  <c r="AA95" i="11" s="1"/>
  <c r="B102" i="11"/>
  <c r="H105" i="11"/>
  <c r="I105" i="11"/>
  <c r="Q105" i="11"/>
  <c r="Y105" i="11"/>
  <c r="R105" i="11"/>
  <c r="Z105" i="11"/>
  <c r="S105" i="11"/>
  <c r="AA105" i="11"/>
  <c r="J105" i="11"/>
  <c r="K105" i="11"/>
  <c r="L105" i="11"/>
  <c r="T105" i="11"/>
  <c r="AB105" i="11"/>
  <c r="E105" i="11"/>
  <c r="M105" i="11"/>
  <c r="U105" i="11"/>
  <c r="D105" i="11"/>
  <c r="N105" i="11"/>
  <c r="V105" i="11"/>
  <c r="F105" i="11"/>
  <c r="G105" i="11"/>
  <c r="X105" i="11"/>
  <c r="O105" i="11"/>
  <c r="P105" i="11"/>
  <c r="W105" i="11"/>
  <c r="AB141" i="52"/>
  <c r="AB151" i="52" s="1"/>
  <c r="AB152" i="52" s="1"/>
  <c r="AB153" i="52" s="1"/>
  <c r="Z101" i="60"/>
  <c r="Z103" i="60" s="1"/>
  <c r="O137" i="60"/>
  <c r="W140" i="57"/>
  <c r="B115" i="11"/>
  <c r="C12" i="69" s="1"/>
  <c r="B116" i="11"/>
  <c r="C13" i="69" s="1"/>
  <c r="B113" i="11"/>
  <c r="C10" i="69" s="1"/>
  <c r="B114" i="11"/>
  <c r="C11" i="69" s="1"/>
  <c r="K115" i="57"/>
  <c r="L101" i="57"/>
  <c r="R140" i="57"/>
  <c r="R144" i="57" s="1"/>
  <c r="M140" i="57"/>
  <c r="H115" i="57"/>
  <c r="M86" i="57"/>
  <c r="AA115" i="57"/>
  <c r="W101" i="57"/>
  <c r="M87" i="52"/>
  <c r="W86" i="57"/>
  <c r="S86" i="57"/>
  <c r="G115" i="57"/>
  <c r="U140" i="57"/>
  <c r="N137" i="57"/>
  <c r="Y115" i="57"/>
  <c r="AA101" i="57"/>
  <c r="I86" i="57"/>
  <c r="Z101" i="57"/>
  <c r="N140" i="57"/>
  <c r="N144" i="57" s="1"/>
  <c r="N101" i="57"/>
  <c r="N103" i="57" s="1"/>
  <c r="R137" i="57"/>
  <c r="I115" i="57"/>
  <c r="AB86" i="57"/>
  <c r="L86" i="57"/>
  <c r="X115" i="57"/>
  <c r="S87" i="52"/>
  <c r="F86" i="60"/>
  <c r="Z115" i="60"/>
  <c r="D137" i="60"/>
  <c r="Y140" i="57"/>
  <c r="Y150" i="57" s="1"/>
  <c r="Y151" i="57" s="1"/>
  <c r="Y152" i="57" s="1"/>
  <c r="H140" i="57"/>
  <c r="H150" i="57" s="1"/>
  <c r="H151" i="57" s="1"/>
  <c r="H152" i="57" s="1"/>
  <c r="V141" i="52"/>
  <c r="V145" i="52" s="1"/>
  <c r="U115" i="60"/>
  <c r="H141" i="52"/>
  <c r="H151" i="52" s="1"/>
  <c r="H152" i="52" s="1"/>
  <c r="H153" i="52" s="1"/>
  <c r="J141" i="52"/>
  <c r="J151" i="52" s="1"/>
  <c r="J152" i="52" s="1"/>
  <c r="J153" i="52" s="1"/>
  <c r="N86" i="60"/>
  <c r="AB137" i="60"/>
  <c r="C45" i="60"/>
  <c r="C53" i="60" s="1"/>
  <c r="E86" i="60"/>
  <c r="R141" i="52"/>
  <c r="R145" i="52" s="1"/>
  <c r="E115" i="60"/>
  <c r="U141" i="52"/>
  <c r="N87" i="52"/>
  <c r="AA137" i="60"/>
  <c r="G137" i="60"/>
  <c r="F115" i="60"/>
  <c r="N115" i="60"/>
  <c r="J101" i="60"/>
  <c r="Q140" i="60"/>
  <c r="Q150" i="60" s="1"/>
  <c r="Q151" i="60" s="1"/>
  <c r="Q152" i="60" s="1"/>
  <c r="W141" i="52"/>
  <c r="W151" i="52" s="1"/>
  <c r="W152" i="52" s="1"/>
  <c r="W153" i="52" s="1"/>
  <c r="Y86" i="60"/>
  <c r="AA101" i="60"/>
  <c r="X115" i="60"/>
  <c r="AA142" i="60"/>
  <c r="AA150" i="60" s="1"/>
  <c r="AA151" i="60" s="1"/>
  <c r="AA152" i="60" s="1"/>
  <c r="G87" i="52"/>
  <c r="Y115" i="60"/>
  <c r="E101" i="60"/>
  <c r="V115" i="60"/>
  <c r="H115" i="60"/>
  <c r="K115" i="60"/>
  <c r="W137" i="60"/>
  <c r="I101" i="60"/>
  <c r="I103" i="60" s="1"/>
  <c r="I111" i="60" s="1"/>
  <c r="H101" i="60"/>
  <c r="H103" i="60" s="1"/>
  <c r="L101" i="60"/>
  <c r="L103" i="60" s="1"/>
  <c r="E141" i="52"/>
  <c r="E151" i="52" s="1"/>
  <c r="E152" i="52" s="1"/>
  <c r="E153" i="52" s="1"/>
  <c r="D153" i="60"/>
  <c r="J137" i="60"/>
  <c r="T115" i="60"/>
  <c r="I115" i="60"/>
  <c r="F101" i="60"/>
  <c r="S101" i="60"/>
  <c r="S103" i="60" s="1"/>
  <c r="X101" i="60"/>
  <c r="X103" i="60" s="1"/>
  <c r="I87" i="52"/>
  <c r="D151" i="52"/>
  <c r="D152" i="52" s="1"/>
  <c r="K87" i="52"/>
  <c r="L141" i="52"/>
  <c r="L145" i="52" s="1"/>
  <c r="Y141" i="52"/>
  <c r="Y151" i="52" s="1"/>
  <c r="Y152" i="52" s="1"/>
  <c r="Y153" i="52" s="1"/>
  <c r="Q87" i="52"/>
  <c r="O87" i="52"/>
  <c r="Q141" i="52"/>
  <c r="Q151" i="52" s="1"/>
  <c r="Q152" i="52" s="1"/>
  <c r="Q153" i="52" s="1"/>
  <c r="O141" i="52"/>
  <c r="AA87" i="52"/>
  <c r="Z141" i="52"/>
  <c r="Z151" i="52" s="1"/>
  <c r="Z152" i="52" s="1"/>
  <c r="Z153" i="52" s="1"/>
  <c r="T141" i="52"/>
  <c r="T145" i="52" s="1"/>
  <c r="U86" i="57"/>
  <c r="Z140" i="57"/>
  <c r="Z150" i="57" s="1"/>
  <c r="Z151" i="57" s="1"/>
  <c r="Z152" i="57" s="1"/>
  <c r="U137" i="57"/>
  <c r="AA141" i="52"/>
  <c r="AA151" i="52" s="1"/>
  <c r="AA152" i="52" s="1"/>
  <c r="AA153" i="52" s="1"/>
  <c r="D91" i="52"/>
  <c r="E115" i="57"/>
  <c r="J101" i="57"/>
  <c r="H86" i="57"/>
  <c r="X140" i="57"/>
  <c r="X144" i="57" s="1"/>
  <c r="H101" i="57"/>
  <c r="Y86" i="57"/>
  <c r="E103" i="64"/>
  <c r="E111" i="64" s="1"/>
  <c r="F101" i="57"/>
  <c r="G140" i="57"/>
  <c r="G150" i="57" s="1"/>
  <c r="G151" i="57" s="1"/>
  <c r="G152" i="57" s="1"/>
  <c r="P87" i="52"/>
  <c r="X141" i="52"/>
  <c r="X151" i="52" s="1"/>
  <c r="X152" i="52" s="1"/>
  <c r="X153" i="52" s="1"/>
  <c r="F141" i="52"/>
  <c r="F138" i="52"/>
  <c r="F87" i="52"/>
  <c r="X101" i="57"/>
  <c r="AC132" i="57"/>
  <c r="D133" i="57" s="1"/>
  <c r="AC110" i="57"/>
  <c r="R101" i="57"/>
  <c r="AC84" i="57"/>
  <c r="O86" i="57"/>
  <c r="X86" i="57"/>
  <c r="AC119" i="57"/>
  <c r="AC130" i="57" s="1"/>
  <c r="AC137" i="57" s="1"/>
  <c r="R86" i="57"/>
  <c r="P141" i="52"/>
  <c r="P151" i="52" s="1"/>
  <c r="P152" i="52" s="1"/>
  <c r="P153" i="52" s="1"/>
  <c r="D95" i="11"/>
  <c r="D97" i="11" s="1"/>
  <c r="O103" i="64"/>
  <c r="O111" i="64" s="1"/>
  <c r="X87" i="52"/>
  <c r="Z87" i="52"/>
  <c r="M138" i="52"/>
  <c r="F103" i="64"/>
  <c r="F111" i="64" s="1"/>
  <c r="T103" i="64"/>
  <c r="T112" i="64" s="1"/>
  <c r="E32" i="36"/>
  <c r="F32" i="36" s="1"/>
  <c r="G32" i="36" s="1"/>
  <c r="H32" i="36" s="1"/>
  <c r="G101" i="57"/>
  <c r="P86" i="57"/>
  <c r="Q86" i="57"/>
  <c r="J86" i="57"/>
  <c r="I141" i="52"/>
  <c r="I151" i="52" s="1"/>
  <c r="I152" i="52" s="1"/>
  <c r="I153" i="52" s="1"/>
  <c r="K141" i="52"/>
  <c r="K151" i="52" s="1"/>
  <c r="K152" i="52" s="1"/>
  <c r="K153" i="52" s="1"/>
  <c r="R138" i="52"/>
  <c r="AC31" i="41"/>
  <c r="H87" i="52"/>
  <c r="Q116" i="52"/>
  <c r="AA116" i="52"/>
  <c r="Z116" i="52"/>
  <c r="V138" i="52"/>
  <c r="G141" i="52"/>
  <c r="G145" i="52" s="1"/>
  <c r="K138" i="52"/>
  <c r="Y87" i="52"/>
  <c r="D154" i="52"/>
  <c r="L87" i="52"/>
  <c r="N138" i="52"/>
  <c r="J138" i="52"/>
  <c r="C46" i="52"/>
  <c r="C54" i="52" s="1"/>
  <c r="X138" i="52"/>
  <c r="D120" i="57"/>
  <c r="D72" i="57" s="1"/>
  <c r="W115" i="57"/>
  <c r="T86" i="57"/>
  <c r="G86" i="57"/>
  <c r="E86" i="57"/>
  <c r="K86" i="57"/>
  <c r="H107" i="57"/>
  <c r="H103" i="57" s="1"/>
  <c r="AA107" i="57"/>
  <c r="S101" i="57"/>
  <c r="X107" i="57"/>
  <c r="R107" i="57"/>
  <c r="M107" i="57"/>
  <c r="AC107" i="57"/>
  <c r="Y101" i="57"/>
  <c r="R137" i="60"/>
  <c r="J86" i="60"/>
  <c r="L137" i="60"/>
  <c r="K86" i="60"/>
  <c r="Q115" i="60"/>
  <c r="Q113" i="60"/>
  <c r="D120" i="60"/>
  <c r="D72" i="60" s="1"/>
  <c r="D133" i="60"/>
  <c r="D139" i="60"/>
  <c r="D150" i="60" s="1"/>
  <c r="D151" i="60" s="1"/>
  <c r="K101" i="60"/>
  <c r="Y101" i="60"/>
  <c r="U101" i="60"/>
  <c r="U103" i="60" s="1"/>
  <c r="O101" i="60"/>
  <c r="O103" i="60" s="1"/>
  <c r="V103" i="64"/>
  <c r="V111" i="64" s="1"/>
  <c r="Q103" i="64"/>
  <c r="Q111" i="64" s="1"/>
  <c r="U103" i="64"/>
  <c r="U112" i="64" s="1"/>
  <c r="H103" i="64"/>
  <c r="H112" i="64" s="1"/>
  <c r="I140" i="57"/>
  <c r="I144" i="57" s="1"/>
  <c r="D90" i="57"/>
  <c r="D150" i="64"/>
  <c r="D151" i="64" s="1"/>
  <c r="D144" i="64"/>
  <c r="H150" i="64"/>
  <c r="H151" i="64" s="1"/>
  <c r="H152" i="64" s="1"/>
  <c r="H144" i="64"/>
  <c r="R144" i="64"/>
  <c r="R150" i="64"/>
  <c r="R151" i="64" s="1"/>
  <c r="R152" i="64" s="1"/>
  <c r="N150" i="64"/>
  <c r="N151" i="64" s="1"/>
  <c r="N152" i="64" s="1"/>
  <c r="N144" i="64"/>
  <c r="Q150" i="64"/>
  <c r="Q151" i="64" s="1"/>
  <c r="Q152" i="64" s="1"/>
  <c r="Q144" i="64"/>
  <c r="E144" i="64"/>
  <c r="E150" i="64"/>
  <c r="E151" i="64" s="1"/>
  <c r="E152" i="64" s="1"/>
  <c r="I150" i="64"/>
  <c r="I151" i="64" s="1"/>
  <c r="I152" i="64" s="1"/>
  <c r="I144" i="64"/>
  <c r="K144" i="64"/>
  <c r="K150" i="64"/>
  <c r="K151" i="64" s="1"/>
  <c r="K152" i="64" s="1"/>
  <c r="I103" i="64"/>
  <c r="L103" i="64"/>
  <c r="G103" i="64"/>
  <c r="J103" i="64"/>
  <c r="X103" i="64"/>
  <c r="S103" i="64"/>
  <c r="X150" i="64"/>
  <c r="X151" i="64" s="1"/>
  <c r="X152" i="64" s="1"/>
  <c r="X144" i="64"/>
  <c r="J150" i="64"/>
  <c r="J151" i="64" s="1"/>
  <c r="J152" i="64" s="1"/>
  <c r="J144" i="64"/>
  <c r="T150" i="64"/>
  <c r="T151" i="64" s="1"/>
  <c r="T152" i="64" s="1"/>
  <c r="T144" i="64"/>
  <c r="P103" i="64"/>
  <c r="K103" i="64"/>
  <c r="AB150" i="64"/>
  <c r="AB151" i="64" s="1"/>
  <c r="AB152" i="64" s="1"/>
  <c r="AB144" i="64"/>
  <c r="Y150" i="64"/>
  <c r="Y151" i="64" s="1"/>
  <c r="Y152" i="64" s="1"/>
  <c r="Y144" i="64"/>
  <c r="AA144" i="64"/>
  <c r="AA150" i="64"/>
  <c r="AA151" i="64" s="1"/>
  <c r="AA152" i="64" s="1"/>
  <c r="O150" i="64"/>
  <c r="O151" i="64" s="1"/>
  <c r="O152" i="64" s="1"/>
  <c r="O144" i="64"/>
  <c r="AC137" i="64"/>
  <c r="AC115" i="64"/>
  <c r="AC113" i="64"/>
  <c r="S144" i="64"/>
  <c r="S150" i="64"/>
  <c r="S151" i="64" s="1"/>
  <c r="S152" i="64" s="1"/>
  <c r="V150" i="64"/>
  <c r="V151" i="64" s="1"/>
  <c r="V152" i="64" s="1"/>
  <c r="V144" i="64"/>
  <c r="R103" i="64"/>
  <c r="D92" i="64"/>
  <c r="M150" i="64"/>
  <c r="M151" i="64" s="1"/>
  <c r="M152" i="64" s="1"/>
  <c r="M144" i="64"/>
  <c r="Z144" i="64"/>
  <c r="Z150" i="64"/>
  <c r="Z151" i="64" s="1"/>
  <c r="Z152" i="64" s="1"/>
  <c r="P150" i="64"/>
  <c r="P151" i="64" s="1"/>
  <c r="P152" i="64" s="1"/>
  <c r="P144" i="64"/>
  <c r="G150" i="64"/>
  <c r="G151" i="64" s="1"/>
  <c r="G152" i="64" s="1"/>
  <c r="G144" i="64"/>
  <c r="U150" i="64"/>
  <c r="U151" i="64" s="1"/>
  <c r="U152" i="64" s="1"/>
  <c r="U144" i="64"/>
  <c r="Y103" i="64"/>
  <c r="AB103" i="64"/>
  <c r="W103" i="64"/>
  <c r="Z103" i="64"/>
  <c r="AC140" i="64"/>
  <c r="AC86" i="64"/>
  <c r="AC103" i="64" s="1"/>
  <c r="E112" i="64"/>
  <c r="D103" i="64"/>
  <c r="C44" i="64"/>
  <c r="C52" i="64" s="1"/>
  <c r="C53" i="64"/>
  <c r="M103" i="64"/>
  <c r="AA103" i="64"/>
  <c r="N103" i="64"/>
  <c r="L150" i="64"/>
  <c r="L151" i="64" s="1"/>
  <c r="L152" i="64" s="1"/>
  <c r="L144" i="64"/>
  <c r="W150" i="64"/>
  <c r="W151" i="64" s="1"/>
  <c r="W152" i="64" s="1"/>
  <c r="W144" i="64"/>
  <c r="F150" i="64"/>
  <c r="F151" i="64" s="1"/>
  <c r="F152" i="64" s="1"/>
  <c r="F144" i="64"/>
  <c r="G116" i="52"/>
  <c r="AB107" i="57"/>
  <c r="V107" i="57"/>
  <c r="L107" i="57"/>
  <c r="G107" i="57"/>
  <c r="W116" i="52"/>
  <c r="T138" i="52"/>
  <c r="D134" i="52"/>
  <c r="T101" i="57"/>
  <c r="O107" i="57"/>
  <c r="P107" i="57"/>
  <c r="E107" i="57"/>
  <c r="U107" i="57"/>
  <c r="K107" i="57"/>
  <c r="J107" i="57"/>
  <c r="Z107" i="57"/>
  <c r="AC142" i="57"/>
  <c r="P101" i="57"/>
  <c r="K101" i="57"/>
  <c r="I101" i="57"/>
  <c r="E101" i="57"/>
  <c r="P101" i="60"/>
  <c r="P103" i="60" s="1"/>
  <c r="P112" i="60" s="1"/>
  <c r="M101" i="60"/>
  <c r="M103" i="60" s="1"/>
  <c r="M112" i="60" s="1"/>
  <c r="G101" i="60"/>
  <c r="G103" i="60" s="1"/>
  <c r="G111" i="60" s="1"/>
  <c r="AB101" i="60"/>
  <c r="AB103" i="60" s="1"/>
  <c r="D153" i="57"/>
  <c r="T101" i="60"/>
  <c r="T103" i="60" s="1"/>
  <c r="Q101" i="60"/>
  <c r="N101" i="60"/>
  <c r="N103" i="60" s="1"/>
  <c r="R101" i="60"/>
  <c r="R103" i="60" s="1"/>
  <c r="Q107" i="57"/>
  <c r="F107" i="57"/>
  <c r="D139" i="57"/>
  <c r="D150" i="57" s="1"/>
  <c r="D151" i="57" s="1"/>
  <c r="W107" i="57"/>
  <c r="T107" i="57"/>
  <c r="I107" i="57"/>
  <c r="Y107" i="57"/>
  <c r="S107" i="57"/>
  <c r="W101" i="60"/>
  <c r="W103" i="60" s="1"/>
  <c r="W112" i="60" s="1"/>
  <c r="O101" i="57"/>
  <c r="C45" i="57"/>
  <c r="C53" i="57" s="1"/>
  <c r="D153" i="62"/>
  <c r="AA140" i="62"/>
  <c r="AA86" i="62"/>
  <c r="S140" i="62"/>
  <c r="S86" i="62"/>
  <c r="M137" i="62"/>
  <c r="M115" i="62"/>
  <c r="W137" i="62"/>
  <c r="W115" i="62"/>
  <c r="L142" i="62"/>
  <c r="L101" i="62"/>
  <c r="U101" i="57"/>
  <c r="Q140" i="57"/>
  <c r="Q150" i="57" s="1"/>
  <c r="Q151" i="57" s="1"/>
  <c r="Q152" i="57" s="1"/>
  <c r="V87" i="52"/>
  <c r="T113" i="62"/>
  <c r="G140" i="62"/>
  <c r="G86" i="62"/>
  <c r="H140" i="62"/>
  <c r="H86" i="62"/>
  <c r="X140" i="62"/>
  <c r="X86" i="62"/>
  <c r="C45" i="62"/>
  <c r="Q140" i="62"/>
  <c r="Q86" i="62"/>
  <c r="R140" i="62"/>
  <c r="R86" i="62"/>
  <c r="N113" i="62"/>
  <c r="Q137" i="62"/>
  <c r="Q115" i="62"/>
  <c r="D120" i="62"/>
  <c r="D72" i="62" s="1"/>
  <c r="R137" i="62"/>
  <c r="R115" i="62"/>
  <c r="K137" i="62"/>
  <c r="K115" i="62"/>
  <c r="AA137" i="62"/>
  <c r="AA115" i="62"/>
  <c r="P137" i="62"/>
  <c r="P115" i="62"/>
  <c r="P113" i="62"/>
  <c r="Z113" i="62"/>
  <c r="P142" i="62"/>
  <c r="P101" i="62"/>
  <c r="E142" i="62"/>
  <c r="E101" i="62"/>
  <c r="U142" i="62"/>
  <c r="U101" i="62"/>
  <c r="R142" i="62"/>
  <c r="R101" i="62"/>
  <c r="K142" i="62"/>
  <c r="K101" i="62"/>
  <c r="AA142" i="62"/>
  <c r="AA101" i="62"/>
  <c r="AC149" i="62"/>
  <c r="AC119" i="62"/>
  <c r="AC130" i="62" s="1"/>
  <c r="D131" i="62" s="1"/>
  <c r="C48" i="62" s="1"/>
  <c r="C56" i="62" s="1"/>
  <c r="AC110" i="62"/>
  <c r="AC84" i="62"/>
  <c r="AC132" i="62"/>
  <c r="D133" i="62" s="1"/>
  <c r="L113" i="62"/>
  <c r="V113" i="62"/>
  <c r="H113" i="62"/>
  <c r="R113" i="62"/>
  <c r="D90" i="62"/>
  <c r="N140" i="62"/>
  <c r="N86" i="62"/>
  <c r="U137" i="62"/>
  <c r="U115" i="62"/>
  <c r="G137" i="62"/>
  <c r="G115" i="62"/>
  <c r="AB137" i="62"/>
  <c r="AB115" i="62"/>
  <c r="Q142" i="62"/>
  <c r="Q101" i="62"/>
  <c r="G142" i="62"/>
  <c r="G101" i="62"/>
  <c r="X113" i="62"/>
  <c r="E116" i="52"/>
  <c r="V101" i="57"/>
  <c r="M101" i="57"/>
  <c r="Q101" i="57"/>
  <c r="Q103" i="57" s="1"/>
  <c r="U113" i="62"/>
  <c r="O140" i="62"/>
  <c r="O86" i="62"/>
  <c r="L140" i="62"/>
  <c r="L86" i="62"/>
  <c r="AB140" i="62"/>
  <c r="AB86" i="62"/>
  <c r="E140" i="62"/>
  <c r="E86" i="62"/>
  <c r="U140" i="62"/>
  <c r="U86" i="62"/>
  <c r="F140" i="62"/>
  <c r="F86" i="62"/>
  <c r="V140" i="62"/>
  <c r="V86" i="62"/>
  <c r="I137" i="62"/>
  <c r="I115" i="62"/>
  <c r="F137" i="62"/>
  <c r="F115" i="62"/>
  <c r="V137" i="62"/>
  <c r="V115" i="62"/>
  <c r="O137" i="62"/>
  <c r="O115" i="62"/>
  <c r="D137" i="62"/>
  <c r="D115" i="62"/>
  <c r="T137" i="62"/>
  <c r="T115" i="62"/>
  <c r="M113" i="62"/>
  <c r="J113" i="62"/>
  <c r="AB142" i="62"/>
  <c r="AB101" i="62"/>
  <c r="I142" i="62"/>
  <c r="I101" i="62"/>
  <c r="Y142" i="62"/>
  <c r="Y101" i="62"/>
  <c r="T101" i="62"/>
  <c r="T142" i="62"/>
  <c r="F142" i="62"/>
  <c r="F101" i="62"/>
  <c r="V142" i="62"/>
  <c r="V101" i="62"/>
  <c r="AC107" i="62"/>
  <c r="Y107" i="62"/>
  <c r="U107" i="62"/>
  <c r="Q107" i="62"/>
  <c r="M107" i="62"/>
  <c r="I107" i="62"/>
  <c r="E107" i="62"/>
  <c r="V107" i="62"/>
  <c r="N107" i="62"/>
  <c r="AB107" i="62"/>
  <c r="X107" i="62"/>
  <c r="T107" i="62"/>
  <c r="P107" i="62"/>
  <c r="L107" i="62"/>
  <c r="H107" i="62"/>
  <c r="Z107" i="62"/>
  <c r="R107" i="62"/>
  <c r="F107" i="62"/>
  <c r="AA107" i="62"/>
  <c r="W107" i="62"/>
  <c r="S107" i="62"/>
  <c r="O107" i="62"/>
  <c r="K107" i="62"/>
  <c r="G107" i="62"/>
  <c r="J107" i="62"/>
  <c r="O142" i="62"/>
  <c r="O101" i="62"/>
  <c r="E113" i="62"/>
  <c r="F113" i="62"/>
  <c r="AA113" i="62"/>
  <c r="G113" i="62"/>
  <c r="T140" i="62"/>
  <c r="T86" i="62"/>
  <c r="M140" i="62"/>
  <c r="M86" i="62"/>
  <c r="N137" i="62"/>
  <c r="N115" i="62"/>
  <c r="L137" i="62"/>
  <c r="L115" i="62"/>
  <c r="Y113" i="62"/>
  <c r="N142" i="62"/>
  <c r="N101" i="62"/>
  <c r="X142" i="62"/>
  <c r="X101" i="62"/>
  <c r="W142" i="62"/>
  <c r="W101" i="62"/>
  <c r="AB113" i="62"/>
  <c r="Q113" i="62"/>
  <c r="W113" i="62"/>
  <c r="W140" i="62"/>
  <c r="W86" i="62"/>
  <c r="P140" i="62"/>
  <c r="P86" i="62"/>
  <c r="K140" i="62"/>
  <c r="K86" i="62"/>
  <c r="I140" i="62"/>
  <c r="I86" i="62"/>
  <c r="Y140" i="62"/>
  <c r="Y86" i="62"/>
  <c r="J140" i="62"/>
  <c r="J86" i="62"/>
  <c r="Z140" i="62"/>
  <c r="Z86" i="62"/>
  <c r="E137" i="62"/>
  <c r="E115" i="62"/>
  <c r="Y137" i="62"/>
  <c r="Y115" i="62"/>
  <c r="J137" i="62"/>
  <c r="J115" i="62"/>
  <c r="Z137" i="62"/>
  <c r="Z115" i="62"/>
  <c r="S115" i="62"/>
  <c r="S137" i="62"/>
  <c r="H137" i="62"/>
  <c r="H115" i="62"/>
  <c r="X137" i="62"/>
  <c r="X115" i="62"/>
  <c r="S113" i="62"/>
  <c r="I113" i="62"/>
  <c r="M142" i="62"/>
  <c r="M101" i="62"/>
  <c r="AC142" i="62"/>
  <c r="AC101" i="62"/>
  <c r="J142" i="62"/>
  <c r="J101" i="62"/>
  <c r="Z142" i="62"/>
  <c r="Z101" i="62"/>
  <c r="H142" i="62"/>
  <c r="H101" i="62"/>
  <c r="D139" i="62"/>
  <c r="D101" i="62"/>
  <c r="S142" i="62"/>
  <c r="S101" i="62"/>
  <c r="S103" i="62" s="1"/>
  <c r="O113" i="62"/>
  <c r="K113" i="62"/>
  <c r="V103" i="60"/>
  <c r="AA103" i="60"/>
  <c r="S144" i="60"/>
  <c r="S150" i="60"/>
  <c r="S151" i="60" s="1"/>
  <c r="S152" i="60" s="1"/>
  <c r="J150" i="60"/>
  <c r="J151" i="60" s="1"/>
  <c r="J152" i="60" s="1"/>
  <c r="J144" i="60"/>
  <c r="F150" i="60"/>
  <c r="F151" i="60" s="1"/>
  <c r="F152" i="60" s="1"/>
  <c r="F144" i="60"/>
  <c r="AB150" i="60"/>
  <c r="AB151" i="60" s="1"/>
  <c r="AB152" i="60" s="1"/>
  <c r="AB144" i="60"/>
  <c r="R150" i="60"/>
  <c r="R151" i="60" s="1"/>
  <c r="R152" i="60" s="1"/>
  <c r="R144" i="60"/>
  <c r="I150" i="60"/>
  <c r="I151" i="60" s="1"/>
  <c r="I152" i="60" s="1"/>
  <c r="I144" i="60"/>
  <c r="D103" i="60"/>
  <c r="C44" i="60"/>
  <c r="C52" i="60" s="1"/>
  <c r="H150" i="60"/>
  <c r="H151" i="60" s="1"/>
  <c r="H152" i="60" s="1"/>
  <c r="H144" i="60"/>
  <c r="G150" i="60"/>
  <c r="G151" i="60" s="1"/>
  <c r="G152" i="60" s="1"/>
  <c r="G144" i="60"/>
  <c r="U150" i="60"/>
  <c r="U151" i="60" s="1"/>
  <c r="U152" i="60" s="1"/>
  <c r="U144" i="60"/>
  <c r="P150" i="60"/>
  <c r="P151" i="60" s="1"/>
  <c r="P152" i="60" s="1"/>
  <c r="P144" i="60"/>
  <c r="V150" i="60"/>
  <c r="V151" i="60" s="1"/>
  <c r="V152" i="60" s="1"/>
  <c r="V144" i="60"/>
  <c r="AC137" i="60"/>
  <c r="AC115" i="60"/>
  <c r="D131" i="60"/>
  <c r="C48" i="60" s="1"/>
  <c r="C56" i="60" s="1"/>
  <c r="T150" i="60"/>
  <c r="T151" i="60" s="1"/>
  <c r="T152" i="60" s="1"/>
  <c r="T144" i="60"/>
  <c r="Z144" i="60"/>
  <c r="Z150" i="60"/>
  <c r="Z151" i="60" s="1"/>
  <c r="Z152" i="60" s="1"/>
  <c r="AB101" i="57"/>
  <c r="L150" i="60"/>
  <c r="L151" i="60" s="1"/>
  <c r="L152" i="60" s="1"/>
  <c r="L144" i="60"/>
  <c r="K144" i="60"/>
  <c r="K150" i="60"/>
  <c r="K151" i="60" s="1"/>
  <c r="K152" i="60" s="1"/>
  <c r="Y150" i="60"/>
  <c r="Y151" i="60" s="1"/>
  <c r="Y152" i="60" s="1"/>
  <c r="Y144" i="60"/>
  <c r="X150" i="60"/>
  <c r="X151" i="60" s="1"/>
  <c r="X152" i="60" s="1"/>
  <c r="X144" i="60"/>
  <c r="W150" i="60"/>
  <c r="W151" i="60" s="1"/>
  <c r="W152" i="60" s="1"/>
  <c r="W144" i="60"/>
  <c r="N144" i="60"/>
  <c r="N150" i="60"/>
  <c r="N151" i="60" s="1"/>
  <c r="N152" i="60" s="1"/>
  <c r="O150" i="60"/>
  <c r="O151" i="60" s="1"/>
  <c r="O152" i="60" s="1"/>
  <c r="O144" i="60"/>
  <c r="M144" i="60"/>
  <c r="M150" i="60"/>
  <c r="M151" i="60" s="1"/>
  <c r="M152" i="60" s="1"/>
  <c r="AC140" i="60"/>
  <c r="AC86" i="60"/>
  <c r="AC103" i="60" s="1"/>
  <c r="AC113" i="60"/>
  <c r="D91" i="60"/>
  <c r="AB138" i="52"/>
  <c r="E32" i="41"/>
  <c r="F32" i="41" s="1"/>
  <c r="U138" i="52"/>
  <c r="O116" i="52"/>
  <c r="D121" i="52"/>
  <c r="D73" i="52" s="1"/>
  <c r="C21" i="69" s="1"/>
  <c r="P138" i="52"/>
  <c r="W150" i="57"/>
  <c r="W151" i="57" s="1"/>
  <c r="W152" i="57" s="1"/>
  <c r="W144" i="57"/>
  <c r="U150" i="57"/>
  <c r="U151" i="57" s="1"/>
  <c r="U152" i="57" s="1"/>
  <c r="U144" i="57"/>
  <c r="T150" i="57"/>
  <c r="T151" i="57" s="1"/>
  <c r="T152" i="57" s="1"/>
  <c r="T144" i="57"/>
  <c r="F150" i="57"/>
  <c r="F151" i="57" s="1"/>
  <c r="F152" i="57" s="1"/>
  <c r="F144" i="57"/>
  <c r="AC113" i="57"/>
  <c r="AA150" i="57"/>
  <c r="AA151" i="57" s="1"/>
  <c r="AA152" i="57" s="1"/>
  <c r="AA144" i="57"/>
  <c r="P150" i="57"/>
  <c r="P151" i="57" s="1"/>
  <c r="P152" i="57" s="1"/>
  <c r="P144" i="57"/>
  <c r="L144" i="57"/>
  <c r="L150" i="57"/>
  <c r="L151" i="57" s="1"/>
  <c r="L152" i="57" s="1"/>
  <c r="S150" i="57"/>
  <c r="S151" i="57" s="1"/>
  <c r="S152" i="57" s="1"/>
  <c r="S144" i="57"/>
  <c r="S138" i="52"/>
  <c r="L138" i="52"/>
  <c r="Y116" i="52"/>
  <c r="I116" i="52"/>
  <c r="H138" i="52"/>
  <c r="AB150" i="57"/>
  <c r="AB151" i="57" s="1"/>
  <c r="AB152" i="57" s="1"/>
  <c r="AB144" i="57"/>
  <c r="J144" i="57"/>
  <c r="J150" i="57"/>
  <c r="J151" i="57" s="1"/>
  <c r="J152" i="57" s="1"/>
  <c r="AC140" i="57"/>
  <c r="AC86" i="57"/>
  <c r="AC103" i="57" s="1"/>
  <c r="R150" i="57"/>
  <c r="R151" i="57" s="1"/>
  <c r="R152" i="57" s="1"/>
  <c r="D103" i="57"/>
  <c r="C44" i="57"/>
  <c r="E150" i="57"/>
  <c r="E151" i="57" s="1"/>
  <c r="E152" i="57" s="1"/>
  <c r="E144" i="57"/>
  <c r="O150" i="57"/>
  <c r="O151" i="57" s="1"/>
  <c r="O152" i="57" s="1"/>
  <c r="O144" i="57"/>
  <c r="V144" i="57"/>
  <c r="V150" i="57"/>
  <c r="V151" i="57" s="1"/>
  <c r="V152" i="57" s="1"/>
  <c r="M150" i="57"/>
  <c r="M151" i="57" s="1"/>
  <c r="M152" i="57" s="1"/>
  <c r="M144" i="57"/>
  <c r="K150" i="57"/>
  <c r="K151" i="57" s="1"/>
  <c r="K152" i="57" s="1"/>
  <c r="K144" i="57"/>
  <c r="D91" i="57"/>
  <c r="E25" i="41"/>
  <c r="F25" i="41" s="1"/>
  <c r="AC141" i="52"/>
  <c r="AC145" i="52" s="1"/>
  <c r="AC108" i="52"/>
  <c r="F108" i="52"/>
  <c r="H108" i="52"/>
  <c r="Q108" i="52"/>
  <c r="X108" i="52"/>
  <c r="Y108" i="52"/>
  <c r="AB108" i="52"/>
  <c r="R108" i="52"/>
  <c r="O108" i="52"/>
  <c r="F31" i="45"/>
  <c r="E108" i="52"/>
  <c r="V108" i="52"/>
  <c r="S108" i="52"/>
  <c r="P108" i="52"/>
  <c r="M108" i="52"/>
  <c r="J108" i="52"/>
  <c r="Z108" i="52"/>
  <c r="G108" i="52"/>
  <c r="W108" i="52"/>
  <c r="T108" i="52"/>
  <c r="L108" i="52"/>
  <c r="U108" i="52"/>
  <c r="N108" i="52"/>
  <c r="I108" i="52"/>
  <c r="K108" i="52"/>
  <c r="S102" i="52"/>
  <c r="J102" i="52"/>
  <c r="U102" i="52"/>
  <c r="U143" i="52"/>
  <c r="N102" i="52"/>
  <c r="F102" i="52"/>
  <c r="O102" i="52"/>
  <c r="I102" i="52"/>
  <c r="R102" i="52"/>
  <c r="F143" i="52"/>
  <c r="O143" i="52"/>
  <c r="P102" i="52"/>
  <c r="E19" i="41"/>
  <c r="F19" i="41" s="1"/>
  <c r="G19" i="41" s="1"/>
  <c r="H19" i="41" s="1"/>
  <c r="I19" i="41" s="1"/>
  <c r="J19" i="41" s="1"/>
  <c r="K19" i="41" s="1"/>
  <c r="L19" i="41" s="1"/>
  <c r="M19" i="41" s="1"/>
  <c r="N19" i="41" s="1"/>
  <c r="O19" i="41" s="1"/>
  <c r="P19" i="41" s="1"/>
  <c r="Q19" i="41" s="1"/>
  <c r="R19" i="41" s="1"/>
  <c r="S19" i="41" s="1"/>
  <c r="T19" i="41" s="1"/>
  <c r="U19" i="41" s="1"/>
  <c r="V19" i="41" s="1"/>
  <c r="W19" i="41" s="1"/>
  <c r="X19" i="41" s="1"/>
  <c r="Y19" i="41" s="1"/>
  <c r="Z19" i="41" s="1"/>
  <c r="AA19" i="41" s="1"/>
  <c r="AB19" i="41" s="1"/>
  <c r="M102" i="52"/>
  <c r="Y102" i="52"/>
  <c r="H102" i="52"/>
  <c r="K102" i="52"/>
  <c r="E102" i="52"/>
  <c r="Z102" i="52"/>
  <c r="AA102" i="52"/>
  <c r="D104" i="52"/>
  <c r="L102" i="52"/>
  <c r="W102" i="52"/>
  <c r="Q102" i="52"/>
  <c r="T102" i="52"/>
  <c r="V102" i="52"/>
  <c r="AC102" i="52"/>
  <c r="G102" i="52"/>
  <c r="X102" i="52"/>
  <c r="AB102" i="52"/>
  <c r="M151" i="52"/>
  <c r="M152" i="52" s="1"/>
  <c r="M153" i="52" s="1"/>
  <c r="M145" i="52"/>
  <c r="N145" i="52"/>
  <c r="N151" i="52"/>
  <c r="N152" i="52" s="1"/>
  <c r="N153" i="52" s="1"/>
  <c r="T151" i="52"/>
  <c r="T152" i="52" s="1"/>
  <c r="T153" i="52" s="1"/>
  <c r="D145" i="52"/>
  <c r="S151" i="52"/>
  <c r="S152" i="52" s="1"/>
  <c r="S153" i="52" s="1"/>
  <c r="S145" i="52"/>
  <c r="G24" i="40"/>
  <c r="G32" i="40"/>
  <c r="G33" i="39"/>
  <c r="G32" i="38"/>
  <c r="F25" i="39"/>
  <c r="G24" i="38"/>
  <c r="F24" i="36"/>
  <c r="G24" i="21"/>
  <c r="I24" i="21" s="1"/>
  <c r="G23" i="21"/>
  <c r="I23" i="21" s="1"/>
  <c r="G40" i="21"/>
  <c r="I40" i="21" s="1"/>
  <c r="G39" i="21"/>
  <c r="I39" i="21" s="1"/>
  <c r="E59" i="21"/>
  <c r="G59" i="21" s="1"/>
  <c r="I59" i="21" s="1"/>
  <c r="E58" i="21"/>
  <c r="G58" i="21" s="1"/>
  <c r="I58" i="21" s="1"/>
  <c r="E57" i="21"/>
  <c r="G57" i="21" s="1"/>
  <c r="I57" i="21" s="1"/>
  <c r="E25" i="21"/>
  <c r="G25" i="21" s="1"/>
  <c r="I25" i="21" s="1"/>
  <c r="E8" i="21"/>
  <c r="G8" i="21" s="1"/>
  <c r="I8" i="21" s="1"/>
  <c r="E6" i="21"/>
  <c r="G6" i="21" s="1"/>
  <c r="I6" i="21" s="1"/>
  <c r="E7" i="21"/>
  <c r="G7" i="21" s="1"/>
  <c r="I7" i="21" s="1"/>
  <c r="M32" i="39" l="1"/>
  <c r="F32" i="45"/>
  <c r="Z112" i="60"/>
  <c r="Z111" i="60"/>
  <c r="Q103" i="60"/>
  <c r="AC116" i="52"/>
  <c r="D132" i="52"/>
  <c r="C49" i="52" s="1"/>
  <c r="C57" i="52" s="1"/>
  <c r="D92" i="60"/>
  <c r="E144" i="60"/>
  <c r="F103" i="60"/>
  <c r="F112" i="60" s="1"/>
  <c r="Q144" i="57"/>
  <c r="AB145" i="52"/>
  <c r="D92" i="52"/>
  <c r="D93" i="52" s="1"/>
  <c r="G97" i="11"/>
  <c r="G96" i="11"/>
  <c r="O97" i="11"/>
  <c r="O96" i="11"/>
  <c r="Z96" i="11"/>
  <c r="Z97" i="11"/>
  <c r="X97" i="11"/>
  <c r="X96" i="11"/>
  <c r="R96" i="11"/>
  <c r="R97" i="11"/>
  <c r="L151" i="52"/>
  <c r="L152" i="52" s="1"/>
  <c r="L153" i="52" s="1"/>
  <c r="V96" i="11"/>
  <c r="V97" i="11"/>
  <c r="U97" i="11"/>
  <c r="U96" i="11"/>
  <c r="J96" i="11"/>
  <c r="J97" i="11"/>
  <c r="S97" i="11"/>
  <c r="S96" i="11"/>
  <c r="M97" i="11"/>
  <c r="M96" i="11"/>
  <c r="Y97" i="11"/>
  <c r="Y96" i="11"/>
  <c r="I102" i="11"/>
  <c r="Q102" i="11"/>
  <c r="Y102" i="11"/>
  <c r="J102" i="11"/>
  <c r="R102" i="11"/>
  <c r="Z102" i="11"/>
  <c r="K102" i="11"/>
  <c r="S102" i="11"/>
  <c r="AA102" i="11"/>
  <c r="L102" i="11"/>
  <c r="T102" i="11"/>
  <c r="AB102" i="11"/>
  <c r="E102" i="11"/>
  <c r="M102" i="11"/>
  <c r="U102" i="11"/>
  <c r="F102" i="11"/>
  <c r="N102" i="11"/>
  <c r="V102" i="11"/>
  <c r="P102" i="11"/>
  <c r="O102" i="11"/>
  <c r="W102" i="11"/>
  <c r="X102" i="11"/>
  <c r="D102" i="11"/>
  <c r="G102" i="11"/>
  <c r="H102" i="11"/>
  <c r="P96" i="11"/>
  <c r="P97" i="11"/>
  <c r="E96" i="11"/>
  <c r="E97" i="11"/>
  <c r="Q97" i="11"/>
  <c r="Q96" i="11"/>
  <c r="AA97" i="11"/>
  <c r="AA96" i="11"/>
  <c r="N97" i="11"/>
  <c r="N96" i="11"/>
  <c r="AB97" i="11"/>
  <c r="AB96" i="11"/>
  <c r="I97" i="11"/>
  <c r="I96" i="11"/>
  <c r="K97" i="11"/>
  <c r="K96" i="11"/>
  <c r="H97" i="11"/>
  <c r="H96" i="11"/>
  <c r="T97" i="11"/>
  <c r="T96" i="11"/>
  <c r="W97" i="11"/>
  <c r="W96" i="11"/>
  <c r="F97" i="11"/>
  <c r="F96" i="11"/>
  <c r="L97" i="11"/>
  <c r="L96" i="11"/>
  <c r="E103" i="57"/>
  <c r="E111" i="57" s="1"/>
  <c r="W103" i="57"/>
  <c r="W111" i="57" s="1"/>
  <c r="J145" i="52"/>
  <c r="N150" i="57"/>
  <c r="N151" i="57" s="1"/>
  <c r="N152" i="57" s="1"/>
  <c r="G144" i="57"/>
  <c r="F103" i="57"/>
  <c r="F111" i="57" s="1"/>
  <c r="Z103" i="57"/>
  <c r="Z111" i="57" s="1"/>
  <c r="X150" i="57"/>
  <c r="X151" i="57" s="1"/>
  <c r="X152" i="57" s="1"/>
  <c r="Y144" i="57"/>
  <c r="AA103" i="57"/>
  <c r="AA112" i="57" s="1"/>
  <c r="V151" i="52"/>
  <c r="V152" i="52" s="1"/>
  <c r="V153" i="52" s="1"/>
  <c r="H144" i="57"/>
  <c r="I150" i="57"/>
  <c r="I151" i="57" s="1"/>
  <c r="I152" i="57" s="1"/>
  <c r="L103" i="57"/>
  <c r="L111" i="57" s="1"/>
  <c r="Z144" i="57"/>
  <c r="D92" i="57"/>
  <c r="V103" i="57"/>
  <c r="V111" i="57" s="1"/>
  <c r="S103" i="57"/>
  <c r="S112" i="57" s="1"/>
  <c r="Y145" i="52"/>
  <c r="U145" i="52"/>
  <c r="H145" i="52"/>
  <c r="P103" i="57"/>
  <c r="P112" i="57" s="1"/>
  <c r="R103" i="57"/>
  <c r="R112" i="57" s="1"/>
  <c r="J103" i="57"/>
  <c r="J112" i="57" s="1"/>
  <c r="AA144" i="60"/>
  <c r="G112" i="60"/>
  <c r="R151" i="52"/>
  <c r="R152" i="52" s="1"/>
  <c r="R153" i="52" s="1"/>
  <c r="D144" i="60"/>
  <c r="K103" i="60"/>
  <c r="E103" i="60"/>
  <c r="E112" i="60" s="1"/>
  <c r="Q144" i="60"/>
  <c r="Y103" i="60"/>
  <c r="Y111" i="60" s="1"/>
  <c r="E145" i="52"/>
  <c r="L112" i="60"/>
  <c r="L111" i="60"/>
  <c r="Q145" i="52"/>
  <c r="J103" i="60"/>
  <c r="J111" i="60" s="1"/>
  <c r="W145" i="52"/>
  <c r="I112" i="60"/>
  <c r="Z145" i="52"/>
  <c r="P111" i="60"/>
  <c r="C54" i="60"/>
  <c r="AA145" i="52"/>
  <c r="AA104" i="52"/>
  <c r="AA112" i="52" s="1"/>
  <c r="D96" i="11"/>
  <c r="O104" i="52"/>
  <c r="O113" i="52" s="1"/>
  <c r="O151" i="52"/>
  <c r="O152" i="52" s="1"/>
  <c r="O153" i="52" s="1"/>
  <c r="F145" i="52"/>
  <c r="X145" i="52"/>
  <c r="P145" i="52"/>
  <c r="P104" i="52"/>
  <c r="P112" i="52" s="1"/>
  <c r="O112" i="64"/>
  <c r="G103" i="57"/>
  <c r="G111" i="57" s="1"/>
  <c r="U103" i="57"/>
  <c r="U112" i="57" s="1"/>
  <c r="Y103" i="57"/>
  <c r="Y112" i="57" s="1"/>
  <c r="K103" i="57"/>
  <c r="K112" i="57" s="1"/>
  <c r="Q112" i="64"/>
  <c r="I103" i="57"/>
  <c r="I111" i="57" s="1"/>
  <c r="D131" i="57"/>
  <c r="C48" i="57" s="1"/>
  <c r="C56" i="57" s="1"/>
  <c r="AC115" i="57"/>
  <c r="X103" i="57"/>
  <c r="X112" i="57" s="1"/>
  <c r="T111" i="64"/>
  <c r="V112" i="64"/>
  <c r="F112" i="64"/>
  <c r="I145" i="52"/>
  <c r="U111" i="64"/>
  <c r="H111" i="64"/>
  <c r="C46" i="64"/>
  <c r="K145" i="52"/>
  <c r="G104" i="52"/>
  <c r="G113" i="52" s="1"/>
  <c r="G151" i="52"/>
  <c r="G152" i="52" s="1"/>
  <c r="G153" i="52" s="1"/>
  <c r="Z103" i="62"/>
  <c r="V104" i="52"/>
  <c r="V112" i="52" s="1"/>
  <c r="AC104" i="52"/>
  <c r="AC112" i="52" s="1"/>
  <c r="Z104" i="52"/>
  <c r="Z112" i="52" s="1"/>
  <c r="J104" i="52"/>
  <c r="J112" i="52" s="1"/>
  <c r="Z112" i="57"/>
  <c r="O103" i="57"/>
  <c r="O112" i="57" s="1"/>
  <c r="AB103" i="57"/>
  <c r="AB111" i="57" s="1"/>
  <c r="M103" i="57"/>
  <c r="M112" i="57" s="1"/>
  <c r="D144" i="57"/>
  <c r="M111" i="60"/>
  <c r="C54" i="64"/>
  <c r="AC112" i="64"/>
  <c r="AC111" i="64"/>
  <c r="AB104" i="52"/>
  <c r="AB113" i="52" s="1"/>
  <c r="C46" i="60"/>
  <c r="W111" i="60"/>
  <c r="O103" i="62"/>
  <c r="O112" i="62" s="1"/>
  <c r="M112" i="64"/>
  <c r="M111" i="64"/>
  <c r="AC150" i="64"/>
  <c r="AC151" i="64" s="1"/>
  <c r="AC152" i="64" s="1"/>
  <c r="AC144" i="64"/>
  <c r="Y112" i="64"/>
  <c r="Y111" i="64"/>
  <c r="R112" i="64"/>
  <c r="R111" i="64"/>
  <c r="L112" i="64"/>
  <c r="L111" i="64"/>
  <c r="Z112" i="64"/>
  <c r="Z111" i="64"/>
  <c r="K111" i="64"/>
  <c r="K112" i="64"/>
  <c r="I112" i="64"/>
  <c r="I111" i="64"/>
  <c r="D154" i="64"/>
  <c r="D152" i="64"/>
  <c r="D161" i="64"/>
  <c r="D160" i="64"/>
  <c r="C157" i="64"/>
  <c r="D159" i="64"/>
  <c r="N111" i="64"/>
  <c r="N112" i="64"/>
  <c r="D112" i="64"/>
  <c r="D111" i="64"/>
  <c r="W112" i="64"/>
  <c r="W111" i="64"/>
  <c r="P112" i="64"/>
  <c r="P111" i="64"/>
  <c r="S111" i="64"/>
  <c r="S112" i="64"/>
  <c r="J112" i="64"/>
  <c r="J111" i="64"/>
  <c r="AA111" i="64"/>
  <c r="AA112" i="64"/>
  <c r="AB112" i="64"/>
  <c r="AB111" i="64"/>
  <c r="X112" i="64"/>
  <c r="X111" i="64"/>
  <c r="G112" i="64"/>
  <c r="G111" i="64"/>
  <c r="T103" i="62"/>
  <c r="T111" i="62" s="1"/>
  <c r="Q103" i="62"/>
  <c r="Q112" i="62" s="1"/>
  <c r="R103" i="62"/>
  <c r="R112" i="62" s="1"/>
  <c r="W103" i="62"/>
  <c r="W111" i="62" s="1"/>
  <c r="N103" i="62"/>
  <c r="N112" i="62" s="1"/>
  <c r="L103" i="62"/>
  <c r="L111" i="62" s="1"/>
  <c r="T103" i="57"/>
  <c r="Z144" i="62"/>
  <c r="Z150" i="62"/>
  <c r="Z151" i="62" s="1"/>
  <c r="Z152" i="62" s="1"/>
  <c r="Y150" i="62"/>
  <c r="Y151" i="62" s="1"/>
  <c r="Y152" i="62" s="1"/>
  <c r="Y144" i="62"/>
  <c r="K144" i="62"/>
  <c r="K150" i="62"/>
  <c r="K151" i="62" s="1"/>
  <c r="K152" i="62" s="1"/>
  <c r="W150" i="62"/>
  <c r="W151" i="62" s="1"/>
  <c r="W152" i="62" s="1"/>
  <c r="W144" i="62"/>
  <c r="AC140" i="62"/>
  <c r="AC86" i="62"/>
  <c r="AC103" i="62" s="1"/>
  <c r="AC113" i="62"/>
  <c r="X150" i="62"/>
  <c r="X151" i="62" s="1"/>
  <c r="X152" i="62" s="1"/>
  <c r="X144" i="62"/>
  <c r="G150" i="62"/>
  <c r="G151" i="62" s="1"/>
  <c r="G152" i="62" s="1"/>
  <c r="G144" i="62"/>
  <c r="D103" i="62"/>
  <c r="C44" i="62"/>
  <c r="C52" i="62" s="1"/>
  <c r="Z112" i="62"/>
  <c r="Z111" i="62"/>
  <c r="M150" i="62"/>
  <c r="M151" i="62" s="1"/>
  <c r="M152" i="62" s="1"/>
  <c r="M144" i="62"/>
  <c r="F103" i="62"/>
  <c r="Y103" i="62"/>
  <c r="AB103" i="62"/>
  <c r="V144" i="62"/>
  <c r="V150" i="62"/>
  <c r="V151" i="62" s="1"/>
  <c r="V152" i="62" s="1"/>
  <c r="U150" i="62"/>
  <c r="U151" i="62" s="1"/>
  <c r="U152" i="62" s="1"/>
  <c r="U144" i="62"/>
  <c r="AB150" i="62"/>
  <c r="AB151" i="62" s="1"/>
  <c r="AB152" i="62" s="1"/>
  <c r="AB144" i="62"/>
  <c r="O150" i="62"/>
  <c r="O151" i="62" s="1"/>
  <c r="O152" i="62" s="1"/>
  <c r="O144" i="62"/>
  <c r="N150" i="62"/>
  <c r="N151" i="62" s="1"/>
  <c r="N152" i="62" s="1"/>
  <c r="N144" i="62"/>
  <c r="AA103" i="62"/>
  <c r="E103" i="62"/>
  <c r="Q150" i="62"/>
  <c r="Q151" i="62" s="1"/>
  <c r="Q152" i="62" s="1"/>
  <c r="Q144" i="62"/>
  <c r="AA150" i="62"/>
  <c r="AA151" i="62" s="1"/>
  <c r="AA152" i="62" s="1"/>
  <c r="AA144" i="62"/>
  <c r="D150" i="62"/>
  <c r="D151" i="62" s="1"/>
  <c r="D144" i="62"/>
  <c r="J150" i="62"/>
  <c r="J151" i="62" s="1"/>
  <c r="J152" i="62" s="1"/>
  <c r="J144" i="62"/>
  <c r="I150" i="62"/>
  <c r="I151" i="62" s="1"/>
  <c r="I152" i="62" s="1"/>
  <c r="I144" i="62"/>
  <c r="P150" i="62"/>
  <c r="P151" i="62" s="1"/>
  <c r="P152" i="62" s="1"/>
  <c r="P144" i="62"/>
  <c r="X103" i="62"/>
  <c r="G103" i="62"/>
  <c r="AC137" i="62"/>
  <c r="AC115" i="62"/>
  <c r="C53" i="62"/>
  <c r="H150" i="62"/>
  <c r="H151" i="62" s="1"/>
  <c r="H152" i="62" s="1"/>
  <c r="H144" i="62"/>
  <c r="D91" i="62"/>
  <c r="D92" i="62" s="1"/>
  <c r="S112" i="62"/>
  <c r="S111" i="62"/>
  <c r="H103" i="62"/>
  <c r="J103" i="62"/>
  <c r="M103" i="62"/>
  <c r="T150" i="62"/>
  <c r="T151" i="62" s="1"/>
  <c r="T152" i="62" s="1"/>
  <c r="T144" i="62"/>
  <c r="V103" i="62"/>
  <c r="I103" i="62"/>
  <c r="F144" i="62"/>
  <c r="F150" i="62"/>
  <c r="F151" i="62" s="1"/>
  <c r="F152" i="62" s="1"/>
  <c r="E150" i="62"/>
  <c r="E151" i="62" s="1"/>
  <c r="E152" i="62" s="1"/>
  <c r="E144" i="62"/>
  <c r="L150" i="62"/>
  <c r="L151" i="62" s="1"/>
  <c r="L152" i="62" s="1"/>
  <c r="L144" i="62"/>
  <c r="K103" i="62"/>
  <c r="U103" i="62"/>
  <c r="P103" i="62"/>
  <c r="R150" i="62"/>
  <c r="R151" i="62" s="1"/>
  <c r="R152" i="62" s="1"/>
  <c r="R144" i="62"/>
  <c r="S150" i="62"/>
  <c r="S151" i="62" s="1"/>
  <c r="S152" i="62" s="1"/>
  <c r="S144" i="62"/>
  <c r="AC112" i="60"/>
  <c r="AC111" i="60"/>
  <c r="T111" i="60"/>
  <c r="T112" i="60"/>
  <c r="AA112" i="60"/>
  <c r="AA111" i="60"/>
  <c r="V112" i="60"/>
  <c r="V111" i="60"/>
  <c r="AC150" i="60"/>
  <c r="AC151" i="60" s="1"/>
  <c r="AC152" i="60" s="1"/>
  <c r="AC144" i="60"/>
  <c r="R111" i="60"/>
  <c r="R112" i="60"/>
  <c r="X111" i="60"/>
  <c r="X112" i="60"/>
  <c r="E112" i="57"/>
  <c r="N111" i="60"/>
  <c r="N112" i="60"/>
  <c r="D111" i="60"/>
  <c r="D112" i="60"/>
  <c r="U112" i="60"/>
  <c r="U111" i="60"/>
  <c r="K112" i="60"/>
  <c r="K111" i="60"/>
  <c r="D154" i="60"/>
  <c r="D152" i="60"/>
  <c r="D161" i="60"/>
  <c r="D160" i="60"/>
  <c r="C157" i="60"/>
  <c r="D159" i="60"/>
  <c r="O111" i="60"/>
  <c r="O112" i="60"/>
  <c r="Q112" i="60"/>
  <c r="Q111" i="60"/>
  <c r="AB111" i="60"/>
  <c r="AB112" i="60"/>
  <c r="S111" i="60"/>
  <c r="S112" i="60"/>
  <c r="H111" i="60"/>
  <c r="H112" i="60"/>
  <c r="Q112" i="57"/>
  <c r="Q111" i="57"/>
  <c r="C52" i="57"/>
  <c r="C54" i="57" s="1"/>
  <c r="C46" i="57"/>
  <c r="N112" i="57"/>
  <c r="N111" i="57"/>
  <c r="D112" i="57"/>
  <c r="D111" i="57"/>
  <c r="W112" i="57"/>
  <c r="D152" i="57"/>
  <c r="L112" i="57"/>
  <c r="H112" i="57"/>
  <c r="H111" i="57"/>
  <c r="AC112" i="57"/>
  <c r="AC111" i="57"/>
  <c r="AC150" i="57"/>
  <c r="AC151" i="57" s="1"/>
  <c r="AC152" i="57" s="1"/>
  <c r="AC144" i="57"/>
  <c r="F112" i="57"/>
  <c r="E104" i="52"/>
  <c r="E112" i="52" s="1"/>
  <c r="AC151" i="52"/>
  <c r="AC152" i="52" s="1"/>
  <c r="AC153" i="52" s="1"/>
  <c r="S104" i="52"/>
  <c r="S112" i="52" s="1"/>
  <c r="M104" i="52"/>
  <c r="M113" i="52" s="1"/>
  <c r="N104" i="52"/>
  <c r="N112" i="52" s="1"/>
  <c r="Q104" i="52"/>
  <c r="Q113" i="52" s="1"/>
  <c r="H104" i="52"/>
  <c r="H113" i="52" s="1"/>
  <c r="F104" i="52"/>
  <c r="F112" i="52" s="1"/>
  <c r="Y104" i="52"/>
  <c r="Y113" i="52" s="1"/>
  <c r="X104" i="52"/>
  <c r="X113" i="52" s="1"/>
  <c r="R104" i="52"/>
  <c r="R112" i="52" s="1"/>
  <c r="U151" i="52"/>
  <c r="U152" i="52" s="1"/>
  <c r="U153" i="52" s="1"/>
  <c r="L104" i="52"/>
  <c r="L112" i="52" s="1"/>
  <c r="K104" i="52"/>
  <c r="K112" i="52" s="1"/>
  <c r="T104" i="52"/>
  <c r="T112" i="52" s="1"/>
  <c r="I104" i="52"/>
  <c r="I113" i="52" s="1"/>
  <c r="W104" i="52"/>
  <c r="W113" i="52" s="1"/>
  <c r="U104" i="52"/>
  <c r="U113" i="52" s="1"/>
  <c r="F151" i="52"/>
  <c r="F152" i="52" s="1"/>
  <c r="F153" i="52" s="1"/>
  <c r="O145" i="52"/>
  <c r="AC19" i="41"/>
  <c r="AC12" i="41" s="1"/>
  <c r="AA113" i="52"/>
  <c r="C53" i="52"/>
  <c r="C55" i="52" s="1"/>
  <c r="D113" i="52"/>
  <c r="D112" i="52"/>
  <c r="D153" i="52"/>
  <c r="G32" i="41"/>
  <c r="G25" i="41"/>
  <c r="H32" i="40"/>
  <c r="H24" i="40"/>
  <c r="G25" i="39"/>
  <c r="H32" i="38"/>
  <c r="H33" i="39"/>
  <c r="H24" i="38"/>
  <c r="I32" i="36"/>
  <c r="G24" i="36"/>
  <c r="E5" i="21"/>
  <c r="C9" i="21"/>
  <c r="D84" i="21" s="1"/>
  <c r="E56" i="21"/>
  <c r="C60" i="21"/>
  <c r="D87" i="21" s="1"/>
  <c r="F87" i="21" s="1"/>
  <c r="C41" i="21"/>
  <c r="C26" i="21"/>
  <c r="N32" i="39" l="1"/>
  <c r="F111" i="60"/>
  <c r="F85" i="21"/>
  <c r="E87" i="21"/>
  <c r="D2" i="65"/>
  <c r="AA111" i="57"/>
  <c r="C158" i="52"/>
  <c r="D23" i="69" s="1"/>
  <c r="B111" i="11"/>
  <c r="C8" i="69" s="1"/>
  <c r="B110" i="11"/>
  <c r="C7" i="69" s="1"/>
  <c r="J111" i="57"/>
  <c r="D159" i="57"/>
  <c r="V112" i="57"/>
  <c r="Y111" i="57"/>
  <c r="R111" i="57"/>
  <c r="D160" i="57"/>
  <c r="U111" i="57"/>
  <c r="C157" i="57"/>
  <c r="D161" i="57"/>
  <c r="D154" i="57"/>
  <c r="S111" i="57"/>
  <c r="M111" i="57"/>
  <c r="K111" i="57"/>
  <c r="AB112" i="57"/>
  <c r="X111" i="57"/>
  <c r="P111" i="57"/>
  <c r="G112" i="57"/>
  <c r="P113" i="52"/>
  <c r="E111" i="60"/>
  <c r="O112" i="52"/>
  <c r="Y112" i="60"/>
  <c r="J112" i="60"/>
  <c r="D61" i="60" s="1"/>
  <c r="D63" i="60" s="1"/>
  <c r="I112" i="57"/>
  <c r="G112" i="52"/>
  <c r="O111" i="57"/>
  <c r="J113" i="52"/>
  <c r="V113" i="52"/>
  <c r="Z113" i="52"/>
  <c r="AC113" i="52"/>
  <c r="AB112" i="52"/>
  <c r="C46" i="62"/>
  <c r="E113" i="52"/>
  <c r="O111" i="62"/>
  <c r="W112" i="62"/>
  <c r="L112" i="62"/>
  <c r="Q111" i="62"/>
  <c r="D60" i="64"/>
  <c r="T112" i="62"/>
  <c r="N111" i="62"/>
  <c r="D61" i="64"/>
  <c r="D63" i="64" s="1"/>
  <c r="D164" i="64"/>
  <c r="C158" i="64"/>
  <c r="D163" i="64"/>
  <c r="D155" i="64"/>
  <c r="D162" i="64"/>
  <c r="C54" i="62"/>
  <c r="T112" i="57"/>
  <c r="T111" i="57"/>
  <c r="R111" i="62"/>
  <c r="P111" i="62"/>
  <c r="P112" i="62"/>
  <c r="U112" i="62"/>
  <c r="U111" i="62"/>
  <c r="I111" i="62"/>
  <c r="I112" i="62"/>
  <c r="M111" i="62"/>
  <c r="M112" i="62"/>
  <c r="E111" i="62"/>
  <c r="E112" i="62"/>
  <c r="K112" i="62"/>
  <c r="K111" i="62"/>
  <c r="V112" i="62"/>
  <c r="V111" i="62"/>
  <c r="J112" i="62"/>
  <c r="J111" i="62"/>
  <c r="G112" i="62"/>
  <c r="G111" i="62"/>
  <c r="AB111" i="62"/>
  <c r="AB112" i="62"/>
  <c r="AC150" i="62"/>
  <c r="AC151" i="62" s="1"/>
  <c r="AC152" i="62" s="1"/>
  <c r="AC144" i="62"/>
  <c r="H111" i="62"/>
  <c r="H112" i="62"/>
  <c r="X112" i="62"/>
  <c r="X111" i="62"/>
  <c r="D154" i="62"/>
  <c r="D152" i="62"/>
  <c r="D161" i="62"/>
  <c r="C157" i="62"/>
  <c r="D160" i="62"/>
  <c r="D159" i="62"/>
  <c r="AA112" i="62"/>
  <c r="AA111" i="62"/>
  <c r="Y112" i="62"/>
  <c r="Y111" i="62"/>
  <c r="AC112" i="62"/>
  <c r="AC111" i="62"/>
  <c r="D111" i="62"/>
  <c r="D112" i="62"/>
  <c r="F112" i="62"/>
  <c r="F111" i="62"/>
  <c r="N113" i="52"/>
  <c r="D60" i="60"/>
  <c r="D164" i="60"/>
  <c r="C158" i="60"/>
  <c r="D163" i="60"/>
  <c r="D155" i="60"/>
  <c r="D162" i="60"/>
  <c r="D164" i="57"/>
  <c r="C158" i="57"/>
  <c r="D163" i="57"/>
  <c r="D155" i="57"/>
  <c r="D162" i="57"/>
  <c r="H112" i="52"/>
  <c r="D161" i="52"/>
  <c r="D26" i="69" s="1"/>
  <c r="Q112" i="52"/>
  <c r="D160" i="52"/>
  <c r="D25" i="69" s="1"/>
  <c r="D155" i="52"/>
  <c r="D165" i="52"/>
  <c r="D30" i="69" s="1"/>
  <c r="D164" i="52"/>
  <c r="D29" i="69" s="1"/>
  <c r="C159" i="52"/>
  <c r="D24" i="69" s="1"/>
  <c r="D162" i="52"/>
  <c r="D27" i="69" s="1"/>
  <c r="D156" i="52"/>
  <c r="D163" i="52"/>
  <c r="D28" i="69" s="1"/>
  <c r="S113" i="52"/>
  <c r="M112" i="52"/>
  <c r="F113" i="52"/>
  <c r="Y112" i="52"/>
  <c r="L113" i="52"/>
  <c r="X112" i="52"/>
  <c r="R113" i="52"/>
  <c r="K113" i="52"/>
  <c r="W112" i="52"/>
  <c r="U112" i="52"/>
  <c r="I112" i="52"/>
  <c r="T113" i="52"/>
  <c r="C47" i="52"/>
  <c r="F84" i="21"/>
  <c r="D2" i="59" s="1"/>
  <c r="H84" i="21"/>
  <c r="K84" i="21" s="1"/>
  <c r="D86" i="21"/>
  <c r="F86" i="21" s="1"/>
  <c r="H32" i="41"/>
  <c r="H25" i="41"/>
  <c r="I24" i="40"/>
  <c r="I32" i="40"/>
  <c r="I33" i="39"/>
  <c r="I32" i="38"/>
  <c r="H25" i="39"/>
  <c r="I24" i="38"/>
  <c r="H24" i="36"/>
  <c r="J32" i="36"/>
  <c r="F43" i="21"/>
  <c r="G22" i="21"/>
  <c r="I22" i="21" s="1"/>
  <c r="G56" i="21"/>
  <c r="I56" i="21" s="1"/>
  <c r="E60" i="21"/>
  <c r="I38" i="21"/>
  <c r="G5" i="21"/>
  <c r="I5" i="21" s="1"/>
  <c r="E9" i="21"/>
  <c r="J4" i="38" l="1"/>
  <c r="O32" i="39"/>
  <c r="D7" i="65"/>
  <c r="D19" i="65"/>
  <c r="E86" i="21"/>
  <c r="J4" i="39"/>
  <c r="D2" i="63"/>
  <c r="D88" i="21"/>
  <c r="E92" i="21" s="1"/>
  <c r="E99" i="21" s="1"/>
  <c r="E88" i="21"/>
  <c r="F88" i="21"/>
  <c r="D2" i="47" s="1"/>
  <c r="D2" i="61"/>
  <c r="D19" i="59"/>
  <c r="D7" i="59"/>
  <c r="D60" i="57"/>
  <c r="D62" i="57" s="1"/>
  <c r="D61" i="57"/>
  <c r="D63" i="57" s="1"/>
  <c r="D62" i="64"/>
  <c r="D67" i="64"/>
  <c r="D66" i="64"/>
  <c r="AE124" i="64"/>
  <c r="AF124" i="64"/>
  <c r="AJ124" i="64"/>
  <c r="AL124" i="64"/>
  <c r="AD124" i="64"/>
  <c r="AG124" i="64"/>
  <c r="AM124" i="64"/>
  <c r="AK124" i="64"/>
  <c r="AH124" i="64"/>
  <c r="AI124" i="64"/>
  <c r="D124" i="64"/>
  <c r="AA124" i="64"/>
  <c r="Q124" i="64"/>
  <c r="J124" i="64"/>
  <c r="H124" i="64"/>
  <c r="S124" i="64"/>
  <c r="F124" i="64"/>
  <c r="Z124" i="64"/>
  <c r="X124" i="64"/>
  <c r="N124" i="64"/>
  <c r="I124" i="64"/>
  <c r="R124" i="64"/>
  <c r="P124" i="64"/>
  <c r="V124" i="64"/>
  <c r="T124" i="64"/>
  <c r="E124" i="64"/>
  <c r="L124" i="64"/>
  <c r="Y124" i="64"/>
  <c r="G124" i="64"/>
  <c r="W124" i="64"/>
  <c r="K124" i="64"/>
  <c r="O124" i="64"/>
  <c r="U124" i="64"/>
  <c r="AB124" i="64"/>
  <c r="M124" i="64"/>
  <c r="AC124" i="64"/>
  <c r="D61" i="62"/>
  <c r="D63" i="62" s="1"/>
  <c r="D164" i="62"/>
  <c r="C158" i="62"/>
  <c r="D163" i="62"/>
  <c r="D155" i="62"/>
  <c r="D162" i="62"/>
  <c r="D60" i="62"/>
  <c r="D66" i="60"/>
  <c r="D62" i="60"/>
  <c r="D67" i="60"/>
  <c r="AD124" i="60"/>
  <c r="AH124" i="60"/>
  <c r="AL124" i="60"/>
  <c r="AE124" i="60"/>
  <c r="AI124" i="60"/>
  <c r="AM124" i="60"/>
  <c r="AF124" i="60"/>
  <c r="AJ124" i="60"/>
  <c r="AK124" i="60"/>
  <c r="AG124" i="60"/>
  <c r="D124" i="60"/>
  <c r="R124" i="60"/>
  <c r="X124" i="60"/>
  <c r="AB124" i="60"/>
  <c r="Q124" i="60"/>
  <c r="E124" i="60"/>
  <c r="S124" i="60"/>
  <c r="I124" i="60"/>
  <c r="G124" i="60"/>
  <c r="T124" i="60"/>
  <c r="H124" i="60"/>
  <c r="Y124" i="60"/>
  <c r="AA124" i="60"/>
  <c r="K124" i="60"/>
  <c r="O124" i="60"/>
  <c r="F124" i="60"/>
  <c r="L124" i="60"/>
  <c r="J124" i="60"/>
  <c r="M124" i="60"/>
  <c r="N124" i="60"/>
  <c r="U124" i="60"/>
  <c r="V124" i="60"/>
  <c r="Z124" i="60"/>
  <c r="W124" i="60"/>
  <c r="P124" i="60"/>
  <c r="AC124" i="60"/>
  <c r="D66" i="57"/>
  <c r="D67" i="57"/>
  <c r="AH124" i="57"/>
  <c r="AG124" i="57"/>
  <c r="AJ124" i="57"/>
  <c r="AE124" i="57"/>
  <c r="AI124" i="57"/>
  <c r="AM124" i="57"/>
  <c r="AF124" i="57"/>
  <c r="AL124" i="57"/>
  <c r="AK124" i="57"/>
  <c r="AD124" i="57"/>
  <c r="D124" i="57"/>
  <c r="AB124" i="57"/>
  <c r="I124" i="57"/>
  <c r="AA124" i="57"/>
  <c r="M124" i="57"/>
  <c r="O124" i="57"/>
  <c r="X124" i="57"/>
  <c r="F124" i="57"/>
  <c r="N124" i="57"/>
  <c r="L124" i="57"/>
  <c r="Y124" i="57"/>
  <c r="P124" i="57"/>
  <c r="T124" i="57"/>
  <c r="Q124" i="57"/>
  <c r="S124" i="57"/>
  <c r="E124" i="57"/>
  <c r="J124" i="57"/>
  <c r="V124" i="57"/>
  <c r="Z124" i="57"/>
  <c r="H124" i="57"/>
  <c r="U124" i="57"/>
  <c r="G124" i="57"/>
  <c r="W124" i="57"/>
  <c r="K124" i="57"/>
  <c r="R124" i="57"/>
  <c r="AC124" i="57"/>
  <c r="D61" i="52"/>
  <c r="D67" i="52" s="1"/>
  <c r="D62" i="52"/>
  <c r="D64" i="52" s="1"/>
  <c r="E84" i="21"/>
  <c r="I84" i="21"/>
  <c r="W45" i="36"/>
  <c r="W26" i="36" s="1"/>
  <c r="J4" i="36"/>
  <c r="W45" i="40"/>
  <c r="W26" i="40" s="1"/>
  <c r="AB45" i="38"/>
  <c r="Z45" i="38"/>
  <c r="X45" i="38"/>
  <c r="V45" i="38"/>
  <c r="T45" i="38"/>
  <c r="R45" i="38"/>
  <c r="P45" i="38"/>
  <c r="N45" i="38"/>
  <c r="L45" i="38"/>
  <c r="J45" i="38"/>
  <c r="H45" i="38"/>
  <c r="H26" i="38" s="1"/>
  <c r="F45" i="38"/>
  <c r="F26" i="38" s="1"/>
  <c r="D45" i="38"/>
  <c r="D26" i="38" s="1"/>
  <c r="AA45" i="38"/>
  <c r="Y45" i="38"/>
  <c r="W45" i="38"/>
  <c r="U45" i="38"/>
  <c r="S45" i="38"/>
  <c r="Q45" i="38"/>
  <c r="O45" i="38"/>
  <c r="M45" i="38"/>
  <c r="K45" i="38"/>
  <c r="I45" i="38"/>
  <c r="G45" i="38"/>
  <c r="G26" i="38" s="1"/>
  <c r="E45" i="38"/>
  <c r="E26" i="38" s="1"/>
  <c r="AA45" i="36"/>
  <c r="AA26" i="36" s="1"/>
  <c r="Y45" i="36"/>
  <c r="Y26" i="36" s="1"/>
  <c r="I32" i="41"/>
  <c r="I25" i="41"/>
  <c r="J32" i="40"/>
  <c r="J24" i="40"/>
  <c r="I25" i="39"/>
  <c r="J32" i="38"/>
  <c r="J33" i="39"/>
  <c r="J24" i="38"/>
  <c r="K32" i="36"/>
  <c r="I24" i="36"/>
  <c r="J4" i="40"/>
  <c r="G9" i="21"/>
  <c r="G60" i="21"/>
  <c r="G26" i="21"/>
  <c r="P32" i="39" l="1"/>
  <c r="J4" i="41"/>
  <c r="N26" i="38"/>
  <c r="U26" i="38"/>
  <c r="L26" i="38"/>
  <c r="AB26" i="38"/>
  <c r="K26" i="38"/>
  <c r="AA26" i="38"/>
  <c r="R26" i="38"/>
  <c r="P26" i="38"/>
  <c r="M26" i="38"/>
  <c r="T26" i="38"/>
  <c r="W26" i="38"/>
  <c r="I26" i="38"/>
  <c r="O26" i="38"/>
  <c r="V26" i="38"/>
  <c r="Q26" i="38"/>
  <c r="X26" i="38"/>
  <c r="Y26" i="38"/>
  <c r="S26" i="38"/>
  <c r="J26" i="38"/>
  <c r="Z26" i="38"/>
  <c r="C35" i="69"/>
  <c r="D29" i="41"/>
  <c r="D19" i="63"/>
  <c r="D7" i="63"/>
  <c r="D17" i="40"/>
  <c r="D7" i="61"/>
  <c r="D19" i="61"/>
  <c r="D17" i="36"/>
  <c r="D29" i="36"/>
  <c r="U136" i="64"/>
  <c r="U138" i="64" s="1"/>
  <c r="U145" i="64" s="1"/>
  <c r="U114" i="64"/>
  <c r="G136" i="64"/>
  <c r="G138" i="64" s="1"/>
  <c r="G145" i="64" s="1"/>
  <c r="G114" i="64"/>
  <c r="T136" i="64"/>
  <c r="T138" i="64" s="1"/>
  <c r="T145" i="64" s="1"/>
  <c r="T114" i="64"/>
  <c r="I136" i="64"/>
  <c r="I138" i="64" s="1"/>
  <c r="I145" i="64" s="1"/>
  <c r="I114" i="64"/>
  <c r="F136" i="64"/>
  <c r="F138" i="64" s="1"/>
  <c r="F145" i="64" s="1"/>
  <c r="F114" i="64"/>
  <c r="Q136" i="64"/>
  <c r="Q138" i="64" s="1"/>
  <c r="Q145" i="64" s="1"/>
  <c r="Q114" i="64"/>
  <c r="AH136" i="64"/>
  <c r="AH138" i="64" s="1"/>
  <c r="AH145" i="64" s="1"/>
  <c r="AH114" i="64"/>
  <c r="AD136" i="64"/>
  <c r="AD138" i="64" s="1"/>
  <c r="AD145" i="64" s="1"/>
  <c r="AD114" i="64"/>
  <c r="AE114" i="64"/>
  <c r="AE136" i="64"/>
  <c r="AE138" i="64" s="1"/>
  <c r="AE145" i="64" s="1"/>
  <c r="AC136" i="64"/>
  <c r="AC138" i="64" s="1"/>
  <c r="AC145" i="64" s="1"/>
  <c r="AC114" i="64"/>
  <c r="O136" i="64"/>
  <c r="O138" i="64" s="1"/>
  <c r="O145" i="64" s="1"/>
  <c r="O114" i="64"/>
  <c r="Y136" i="64"/>
  <c r="Y138" i="64" s="1"/>
  <c r="Y145" i="64" s="1"/>
  <c r="Y114" i="64"/>
  <c r="V136" i="64"/>
  <c r="V138" i="64" s="1"/>
  <c r="V145" i="64" s="1"/>
  <c r="V114" i="64"/>
  <c r="N136" i="64"/>
  <c r="N138" i="64" s="1"/>
  <c r="N145" i="64" s="1"/>
  <c r="N114" i="64"/>
  <c r="S136" i="64"/>
  <c r="S138" i="64" s="1"/>
  <c r="S145" i="64" s="1"/>
  <c r="S114" i="64"/>
  <c r="AA136" i="64"/>
  <c r="AA138" i="64" s="1"/>
  <c r="AA145" i="64" s="1"/>
  <c r="AA114" i="64"/>
  <c r="AK136" i="64"/>
  <c r="AK138" i="64" s="1"/>
  <c r="AK145" i="64" s="1"/>
  <c r="AK114" i="64"/>
  <c r="AL136" i="64"/>
  <c r="AL138" i="64" s="1"/>
  <c r="AL145" i="64" s="1"/>
  <c r="AL114" i="64"/>
  <c r="M136" i="64"/>
  <c r="M138" i="64" s="1"/>
  <c r="M145" i="64" s="1"/>
  <c r="M114" i="64"/>
  <c r="K136" i="64"/>
  <c r="K138" i="64" s="1"/>
  <c r="K145" i="64" s="1"/>
  <c r="K114" i="64"/>
  <c r="L136" i="64"/>
  <c r="L138" i="64" s="1"/>
  <c r="L145" i="64" s="1"/>
  <c r="L114" i="64"/>
  <c r="P114" i="64"/>
  <c r="P136" i="64"/>
  <c r="P138" i="64" s="1"/>
  <c r="P145" i="64" s="1"/>
  <c r="X114" i="64"/>
  <c r="X136" i="64"/>
  <c r="X138" i="64" s="1"/>
  <c r="X145" i="64" s="1"/>
  <c r="H114" i="64"/>
  <c r="H136" i="64"/>
  <c r="H138" i="64" s="1"/>
  <c r="H145" i="64" s="1"/>
  <c r="D136" i="64"/>
  <c r="D138" i="64" s="1"/>
  <c r="D145" i="64" s="1"/>
  <c r="D114" i="64"/>
  <c r="D125" i="64"/>
  <c r="C47" i="64" s="1"/>
  <c r="AM114" i="64"/>
  <c r="AM136" i="64"/>
  <c r="AM138" i="64" s="1"/>
  <c r="AM145" i="64" s="1"/>
  <c r="AJ136" i="64"/>
  <c r="AJ138" i="64" s="1"/>
  <c r="AJ145" i="64" s="1"/>
  <c r="AJ114" i="64"/>
  <c r="AB136" i="64"/>
  <c r="AB138" i="64" s="1"/>
  <c r="AB145" i="64" s="1"/>
  <c r="AB114" i="64"/>
  <c r="W114" i="64"/>
  <c r="W136" i="64"/>
  <c r="W138" i="64" s="1"/>
  <c r="W145" i="64" s="1"/>
  <c r="E136" i="64"/>
  <c r="E138" i="64" s="1"/>
  <c r="E145" i="64" s="1"/>
  <c r="E114" i="64"/>
  <c r="R136" i="64"/>
  <c r="R138" i="64" s="1"/>
  <c r="R145" i="64" s="1"/>
  <c r="R114" i="64"/>
  <c r="Z136" i="64"/>
  <c r="Z138" i="64" s="1"/>
  <c r="Z145" i="64" s="1"/>
  <c r="Z114" i="64"/>
  <c r="J136" i="64"/>
  <c r="J138" i="64" s="1"/>
  <c r="J145" i="64" s="1"/>
  <c r="J114" i="64"/>
  <c r="AI136" i="64"/>
  <c r="AI138" i="64" s="1"/>
  <c r="AI145" i="64" s="1"/>
  <c r="AI114" i="64"/>
  <c r="AG136" i="64"/>
  <c r="AG138" i="64" s="1"/>
  <c r="AG145" i="64" s="1"/>
  <c r="AG114" i="64"/>
  <c r="AF114" i="64"/>
  <c r="AF136" i="64"/>
  <c r="AF138" i="64" s="1"/>
  <c r="AF145" i="64" s="1"/>
  <c r="D62" i="62"/>
  <c r="D67" i="62"/>
  <c r="AM124" i="62"/>
  <c r="D66" i="62"/>
  <c r="AL124" i="62"/>
  <c r="AK124" i="62"/>
  <c r="AF124" i="62"/>
  <c r="AI124" i="62"/>
  <c r="AH124" i="62"/>
  <c r="AD124" i="62"/>
  <c r="AG124" i="62"/>
  <c r="AE124" i="62"/>
  <c r="AJ124" i="62"/>
  <c r="D124" i="62"/>
  <c r="AA124" i="62"/>
  <c r="X124" i="62"/>
  <c r="Q124" i="62"/>
  <c r="Y124" i="62"/>
  <c r="R124" i="62"/>
  <c r="V124" i="62"/>
  <c r="AB124" i="62"/>
  <c r="Z124" i="62"/>
  <c r="P124" i="62"/>
  <c r="N124" i="62"/>
  <c r="I124" i="62"/>
  <c r="S124" i="62"/>
  <c r="H124" i="62"/>
  <c r="T124" i="62"/>
  <c r="F124" i="62"/>
  <c r="O124" i="62"/>
  <c r="E124" i="62"/>
  <c r="J124" i="62"/>
  <c r="M124" i="62"/>
  <c r="G124" i="62"/>
  <c r="W124" i="62"/>
  <c r="U124" i="62"/>
  <c r="K124" i="62"/>
  <c r="L124" i="62"/>
  <c r="AC124" i="62"/>
  <c r="Z136" i="60"/>
  <c r="Z138" i="60" s="1"/>
  <c r="Z145" i="60" s="1"/>
  <c r="Z114" i="60"/>
  <c r="M114" i="60"/>
  <c r="M136" i="60"/>
  <c r="M138" i="60" s="1"/>
  <c r="M145" i="60" s="1"/>
  <c r="O136" i="60"/>
  <c r="O138" i="60" s="1"/>
  <c r="O145" i="60" s="1"/>
  <c r="O114" i="60"/>
  <c r="H136" i="60"/>
  <c r="H138" i="60" s="1"/>
  <c r="H145" i="60" s="1"/>
  <c r="H114" i="60"/>
  <c r="S136" i="60"/>
  <c r="S138" i="60" s="1"/>
  <c r="S145" i="60" s="1"/>
  <c r="S114" i="60"/>
  <c r="X136" i="60"/>
  <c r="X138" i="60" s="1"/>
  <c r="X145" i="60" s="1"/>
  <c r="X114" i="60"/>
  <c r="AK114" i="60"/>
  <c r="AK136" i="60"/>
  <c r="AK138" i="60" s="1"/>
  <c r="AK145" i="60" s="1"/>
  <c r="AI136" i="60"/>
  <c r="AI138" i="60" s="1"/>
  <c r="AI145" i="60" s="1"/>
  <c r="AI114" i="60"/>
  <c r="AD136" i="60"/>
  <c r="AD138" i="60" s="1"/>
  <c r="AD145" i="60" s="1"/>
  <c r="AD114" i="60"/>
  <c r="AC114" i="60"/>
  <c r="AC136" i="60"/>
  <c r="AC138" i="60" s="1"/>
  <c r="AC145" i="60" s="1"/>
  <c r="V136" i="60"/>
  <c r="V138" i="60" s="1"/>
  <c r="V145" i="60" s="1"/>
  <c r="V114" i="60"/>
  <c r="J136" i="60"/>
  <c r="J138" i="60" s="1"/>
  <c r="J145" i="60" s="1"/>
  <c r="J114" i="60"/>
  <c r="K136" i="60"/>
  <c r="K138" i="60" s="1"/>
  <c r="K145" i="60" s="1"/>
  <c r="K114" i="60"/>
  <c r="T136" i="60"/>
  <c r="T138" i="60" s="1"/>
  <c r="T145" i="60" s="1"/>
  <c r="T114" i="60"/>
  <c r="E114" i="60"/>
  <c r="E136" i="60"/>
  <c r="E138" i="60" s="1"/>
  <c r="E145" i="60" s="1"/>
  <c r="R136" i="60"/>
  <c r="R138" i="60" s="1"/>
  <c r="R145" i="60" s="1"/>
  <c r="R114" i="60"/>
  <c r="AJ136" i="60"/>
  <c r="AJ138" i="60" s="1"/>
  <c r="AJ145" i="60" s="1"/>
  <c r="AJ114" i="60"/>
  <c r="AE136" i="60"/>
  <c r="AE138" i="60" s="1"/>
  <c r="AE145" i="60" s="1"/>
  <c r="AE114" i="60"/>
  <c r="P136" i="60"/>
  <c r="P138" i="60" s="1"/>
  <c r="P145" i="60" s="1"/>
  <c r="P114" i="60"/>
  <c r="U114" i="60"/>
  <c r="U136" i="60"/>
  <c r="U138" i="60" s="1"/>
  <c r="U145" i="60" s="1"/>
  <c r="L114" i="60"/>
  <c r="L136" i="60"/>
  <c r="L138" i="60" s="1"/>
  <c r="L145" i="60" s="1"/>
  <c r="AA136" i="60"/>
  <c r="AA138" i="60" s="1"/>
  <c r="AA145" i="60" s="1"/>
  <c r="AA114" i="60"/>
  <c r="G136" i="60"/>
  <c r="G138" i="60" s="1"/>
  <c r="G145" i="60" s="1"/>
  <c r="G114" i="60"/>
  <c r="Q114" i="60"/>
  <c r="Q136" i="60"/>
  <c r="Q138" i="60" s="1"/>
  <c r="Q145" i="60" s="1"/>
  <c r="D136" i="60"/>
  <c r="D138" i="60" s="1"/>
  <c r="D145" i="60" s="1"/>
  <c r="D125" i="60"/>
  <c r="C47" i="60" s="1"/>
  <c r="D114" i="60"/>
  <c r="AF136" i="60"/>
  <c r="AF138" i="60" s="1"/>
  <c r="AF145" i="60" s="1"/>
  <c r="AF114" i="60"/>
  <c r="AL136" i="60"/>
  <c r="AL138" i="60" s="1"/>
  <c r="AL145" i="60" s="1"/>
  <c r="AL114" i="60"/>
  <c r="W136" i="60"/>
  <c r="W138" i="60" s="1"/>
  <c r="W145" i="60" s="1"/>
  <c r="W114" i="60"/>
  <c r="N136" i="60"/>
  <c r="N138" i="60" s="1"/>
  <c r="N145" i="60" s="1"/>
  <c r="N114" i="60"/>
  <c r="F136" i="60"/>
  <c r="F138" i="60" s="1"/>
  <c r="F145" i="60" s="1"/>
  <c r="F114" i="60"/>
  <c r="Y114" i="60"/>
  <c r="Y136" i="60"/>
  <c r="Y138" i="60" s="1"/>
  <c r="Y145" i="60" s="1"/>
  <c r="I114" i="60"/>
  <c r="I136" i="60"/>
  <c r="I138" i="60" s="1"/>
  <c r="I145" i="60" s="1"/>
  <c r="AB136" i="60"/>
  <c r="AB138" i="60" s="1"/>
  <c r="AB145" i="60" s="1"/>
  <c r="AB114" i="60"/>
  <c r="AG114" i="60"/>
  <c r="AG136" i="60"/>
  <c r="AG138" i="60" s="1"/>
  <c r="AG145" i="60" s="1"/>
  <c r="AM136" i="60"/>
  <c r="AM138" i="60" s="1"/>
  <c r="AM145" i="60" s="1"/>
  <c r="AM114" i="60"/>
  <c r="AH136" i="60"/>
  <c r="AH138" i="60" s="1"/>
  <c r="AH145" i="60" s="1"/>
  <c r="AH114" i="60"/>
  <c r="W136" i="57"/>
  <c r="W138" i="57" s="1"/>
  <c r="W145" i="57" s="1"/>
  <c r="W114" i="57"/>
  <c r="Z136" i="57"/>
  <c r="Z138" i="57" s="1"/>
  <c r="Z145" i="57" s="1"/>
  <c r="Z114" i="57"/>
  <c r="S136" i="57"/>
  <c r="S138" i="57" s="1"/>
  <c r="S145" i="57" s="1"/>
  <c r="S114" i="57"/>
  <c r="Y136" i="57"/>
  <c r="Y138" i="57" s="1"/>
  <c r="Y145" i="57" s="1"/>
  <c r="Y114" i="57"/>
  <c r="X136" i="57"/>
  <c r="X138" i="57" s="1"/>
  <c r="X145" i="57" s="1"/>
  <c r="X114" i="57"/>
  <c r="I136" i="57"/>
  <c r="I138" i="57" s="1"/>
  <c r="I145" i="57" s="1"/>
  <c r="I114" i="57"/>
  <c r="AK136" i="57"/>
  <c r="AK138" i="57" s="1"/>
  <c r="AK145" i="57" s="1"/>
  <c r="AK114" i="57"/>
  <c r="AI136" i="57"/>
  <c r="AI138" i="57" s="1"/>
  <c r="AI145" i="57" s="1"/>
  <c r="AI114" i="57"/>
  <c r="AH136" i="57"/>
  <c r="AH138" i="57" s="1"/>
  <c r="AH145" i="57" s="1"/>
  <c r="AH114" i="57"/>
  <c r="AC136" i="57"/>
  <c r="AC138" i="57" s="1"/>
  <c r="AC145" i="57" s="1"/>
  <c r="AC114" i="57"/>
  <c r="G136" i="57"/>
  <c r="G138" i="57" s="1"/>
  <c r="G145" i="57" s="1"/>
  <c r="G114" i="57"/>
  <c r="V136" i="57"/>
  <c r="V138" i="57" s="1"/>
  <c r="V145" i="57" s="1"/>
  <c r="V114" i="57"/>
  <c r="Q136" i="57"/>
  <c r="Q138" i="57" s="1"/>
  <c r="Q145" i="57" s="1"/>
  <c r="Q114" i="57"/>
  <c r="L136" i="57"/>
  <c r="L138" i="57" s="1"/>
  <c r="L145" i="57" s="1"/>
  <c r="L114" i="57"/>
  <c r="O136" i="57"/>
  <c r="O138" i="57" s="1"/>
  <c r="O145" i="57" s="1"/>
  <c r="O114" i="57"/>
  <c r="AB136" i="57"/>
  <c r="AB138" i="57" s="1"/>
  <c r="AB145" i="57" s="1"/>
  <c r="AB114" i="57"/>
  <c r="AL136" i="57"/>
  <c r="AL138" i="57" s="1"/>
  <c r="AL145" i="57" s="1"/>
  <c r="AL114" i="57"/>
  <c r="AE136" i="57"/>
  <c r="AE138" i="57" s="1"/>
  <c r="AE145" i="57" s="1"/>
  <c r="AE114" i="57"/>
  <c r="R136" i="57"/>
  <c r="R138" i="57" s="1"/>
  <c r="R145" i="57" s="1"/>
  <c r="R114" i="57"/>
  <c r="U136" i="57"/>
  <c r="U138" i="57" s="1"/>
  <c r="U145" i="57" s="1"/>
  <c r="U114" i="57"/>
  <c r="J136" i="57"/>
  <c r="J138" i="57" s="1"/>
  <c r="J145" i="57" s="1"/>
  <c r="J114" i="57"/>
  <c r="T136" i="57"/>
  <c r="T138" i="57" s="1"/>
  <c r="T145" i="57" s="1"/>
  <c r="T114" i="57"/>
  <c r="N136" i="57"/>
  <c r="N138" i="57" s="1"/>
  <c r="N145" i="57" s="1"/>
  <c r="N114" i="57"/>
  <c r="M136" i="57"/>
  <c r="M138" i="57" s="1"/>
  <c r="M145" i="57" s="1"/>
  <c r="M114" i="57"/>
  <c r="D136" i="57"/>
  <c r="D138" i="57" s="1"/>
  <c r="D145" i="57" s="1"/>
  <c r="D114" i="57"/>
  <c r="D125" i="57"/>
  <c r="C47" i="57" s="1"/>
  <c r="AF136" i="57"/>
  <c r="AF138" i="57" s="1"/>
  <c r="AF145" i="57" s="1"/>
  <c r="AF114" i="57"/>
  <c r="AJ136" i="57"/>
  <c r="AJ138" i="57" s="1"/>
  <c r="AJ145" i="57" s="1"/>
  <c r="AJ114" i="57"/>
  <c r="K136" i="57"/>
  <c r="K138" i="57" s="1"/>
  <c r="K145" i="57" s="1"/>
  <c r="K114" i="57"/>
  <c r="H136" i="57"/>
  <c r="H138" i="57" s="1"/>
  <c r="H145" i="57" s="1"/>
  <c r="H114" i="57"/>
  <c r="E136" i="57"/>
  <c r="E138" i="57" s="1"/>
  <c r="E145" i="57" s="1"/>
  <c r="E114" i="57"/>
  <c r="P136" i="57"/>
  <c r="P138" i="57" s="1"/>
  <c r="P145" i="57" s="1"/>
  <c r="P114" i="57"/>
  <c r="F136" i="57"/>
  <c r="F138" i="57" s="1"/>
  <c r="F145" i="57" s="1"/>
  <c r="F114" i="57"/>
  <c r="AA136" i="57"/>
  <c r="AA138" i="57" s="1"/>
  <c r="AA145" i="57" s="1"/>
  <c r="AA114" i="57"/>
  <c r="AD136" i="57"/>
  <c r="AD138" i="57" s="1"/>
  <c r="AD145" i="57" s="1"/>
  <c r="AD114" i="57"/>
  <c r="AM136" i="57"/>
  <c r="AM138" i="57" s="1"/>
  <c r="AM145" i="57" s="1"/>
  <c r="AM114" i="57"/>
  <c r="AG136" i="57"/>
  <c r="AG138" i="57" s="1"/>
  <c r="AG145" i="57" s="1"/>
  <c r="AG114" i="57"/>
  <c r="S125" i="52"/>
  <c r="D68" i="52"/>
  <c r="R45" i="36"/>
  <c r="R26" i="36" s="1"/>
  <c r="T45" i="36"/>
  <c r="T26" i="36" s="1"/>
  <c r="I45" i="36"/>
  <c r="I26" i="36" s="1"/>
  <c r="D45" i="36"/>
  <c r="D26" i="36" s="1"/>
  <c r="K45" i="36"/>
  <c r="K26" i="36" s="1"/>
  <c r="J45" i="36"/>
  <c r="J26" i="36" s="1"/>
  <c r="Z45" i="36"/>
  <c r="Z26" i="36" s="1"/>
  <c r="Q45" i="36"/>
  <c r="Q26" i="36" s="1"/>
  <c r="L45" i="36"/>
  <c r="L26" i="36" s="1"/>
  <c r="AB45" i="36"/>
  <c r="AB26" i="36" s="1"/>
  <c r="S45" i="36"/>
  <c r="S26" i="36" s="1"/>
  <c r="F45" i="36"/>
  <c r="F26" i="36" s="1"/>
  <c r="N45" i="36"/>
  <c r="N26" i="36" s="1"/>
  <c r="V45" i="36"/>
  <c r="V26" i="36" s="1"/>
  <c r="E45" i="36"/>
  <c r="E26" i="36" s="1"/>
  <c r="M45" i="36"/>
  <c r="M26" i="36" s="1"/>
  <c r="U45" i="36"/>
  <c r="U26" i="36" s="1"/>
  <c r="H45" i="36"/>
  <c r="H26" i="36" s="1"/>
  <c r="P45" i="36"/>
  <c r="P26" i="36" s="1"/>
  <c r="X45" i="36"/>
  <c r="X26" i="36" s="1"/>
  <c r="G45" i="36"/>
  <c r="G26" i="36" s="1"/>
  <c r="O45" i="36"/>
  <c r="O26" i="36" s="1"/>
  <c r="AH125" i="52"/>
  <c r="AH115" i="52" s="1"/>
  <c r="Q125" i="52"/>
  <c r="Q137" i="52" s="1"/>
  <c r="Q139" i="52" s="1"/>
  <c r="Q146" i="52" s="1"/>
  <c r="M125" i="52"/>
  <c r="M137" i="52" s="1"/>
  <c r="M139" i="52" s="1"/>
  <c r="M146" i="52" s="1"/>
  <c r="AM125" i="52"/>
  <c r="AM137" i="52" s="1"/>
  <c r="AM139" i="52" s="1"/>
  <c r="AM146" i="52" s="1"/>
  <c r="P125" i="52"/>
  <c r="P137" i="52" s="1"/>
  <c r="P139" i="52" s="1"/>
  <c r="P146" i="52" s="1"/>
  <c r="L125" i="52"/>
  <c r="L115" i="52" s="1"/>
  <c r="AE125" i="52"/>
  <c r="AE115" i="52" s="1"/>
  <c r="Z125" i="52"/>
  <c r="Z137" i="52" s="1"/>
  <c r="Z139" i="52" s="1"/>
  <c r="Z146" i="52" s="1"/>
  <c r="D63" i="52"/>
  <c r="X125" i="52"/>
  <c r="X137" i="52" s="1"/>
  <c r="X139" i="52" s="1"/>
  <c r="X146" i="52" s="1"/>
  <c r="AF125" i="52"/>
  <c r="AF115" i="52" s="1"/>
  <c r="AB125" i="52"/>
  <c r="AB137" i="52" s="1"/>
  <c r="AB139" i="52" s="1"/>
  <c r="AB146" i="52" s="1"/>
  <c r="T125" i="52"/>
  <c r="T115" i="52" s="1"/>
  <c r="N125" i="52"/>
  <c r="N115" i="52" s="1"/>
  <c r="AA125" i="52"/>
  <c r="AA115" i="52" s="1"/>
  <c r="AK125" i="52"/>
  <c r="AK137" i="52" s="1"/>
  <c r="AK139" i="52" s="1"/>
  <c r="AK146" i="52" s="1"/>
  <c r="U125" i="52"/>
  <c r="U115" i="52" s="1"/>
  <c r="R125" i="52"/>
  <c r="R137" i="52" s="1"/>
  <c r="R139" i="52" s="1"/>
  <c r="R146" i="52" s="1"/>
  <c r="G125" i="52"/>
  <c r="G115" i="52" s="1"/>
  <c r="O125" i="52"/>
  <c r="O115" i="52" s="1"/>
  <c r="AJ125" i="52"/>
  <c r="AJ115" i="52" s="1"/>
  <c r="D125" i="52"/>
  <c r="D137" i="52" s="1"/>
  <c r="D139" i="52" s="1"/>
  <c r="D146" i="52" s="1"/>
  <c r="E125" i="52"/>
  <c r="E115" i="52" s="1"/>
  <c r="J125" i="52"/>
  <c r="J115" i="52" s="1"/>
  <c r="V125" i="52"/>
  <c r="V115" i="52" s="1"/>
  <c r="I125" i="52"/>
  <c r="I115" i="52" s="1"/>
  <c r="K125" i="52"/>
  <c r="K137" i="52" s="1"/>
  <c r="K139" i="52" s="1"/>
  <c r="K146" i="52" s="1"/>
  <c r="W125" i="52"/>
  <c r="W115" i="52" s="1"/>
  <c r="AG125" i="52"/>
  <c r="AG115" i="52" s="1"/>
  <c r="AD125" i="52"/>
  <c r="AD115" i="52" s="1"/>
  <c r="AI125" i="52"/>
  <c r="AI137" i="52" s="1"/>
  <c r="AI139" i="52" s="1"/>
  <c r="AI146" i="52" s="1"/>
  <c r="AL125" i="52"/>
  <c r="AL137" i="52" s="1"/>
  <c r="AL139" i="52" s="1"/>
  <c r="AL146" i="52" s="1"/>
  <c r="F125" i="52"/>
  <c r="F137" i="52" s="1"/>
  <c r="F139" i="52" s="1"/>
  <c r="F146" i="52" s="1"/>
  <c r="H125" i="52"/>
  <c r="H137" i="52" s="1"/>
  <c r="H139" i="52" s="1"/>
  <c r="H146" i="52" s="1"/>
  <c r="AC125" i="52"/>
  <c r="Y125" i="52"/>
  <c r="Y115" i="52" s="1"/>
  <c r="Z46" i="39"/>
  <c r="Z27" i="39" s="1"/>
  <c r="R46" i="39"/>
  <c r="R27" i="39" s="1"/>
  <c r="J46" i="39"/>
  <c r="J27" i="39" s="1"/>
  <c r="AA46" i="39"/>
  <c r="AA27" i="39" s="1"/>
  <c r="S46" i="39"/>
  <c r="S27" i="39" s="1"/>
  <c r="K46" i="39"/>
  <c r="K27" i="39" s="1"/>
  <c r="V46" i="39"/>
  <c r="V27" i="39" s="1"/>
  <c r="N46" i="39"/>
  <c r="N27" i="39" s="1"/>
  <c r="W46" i="39"/>
  <c r="W27" i="39" s="1"/>
  <c r="O46" i="39"/>
  <c r="O27" i="39" s="1"/>
  <c r="AB46" i="39"/>
  <c r="AB27" i="39" s="1"/>
  <c r="T46" i="39"/>
  <c r="T27" i="39" s="1"/>
  <c r="L46" i="39"/>
  <c r="L27" i="39" s="1"/>
  <c r="U46" i="39"/>
  <c r="U27" i="39" s="1"/>
  <c r="M46" i="39"/>
  <c r="M27" i="39" s="1"/>
  <c r="X46" i="39"/>
  <c r="X27" i="39" s="1"/>
  <c r="P46" i="39"/>
  <c r="P27" i="39" s="1"/>
  <c r="H46" i="39"/>
  <c r="H27" i="39" s="1"/>
  <c r="Y46" i="39"/>
  <c r="Y27" i="39" s="1"/>
  <c r="Q46" i="39"/>
  <c r="Q27" i="39" s="1"/>
  <c r="I46" i="39"/>
  <c r="I27" i="39" s="1"/>
  <c r="F46" i="39"/>
  <c r="F27" i="39" s="1"/>
  <c r="G46" i="39"/>
  <c r="G27" i="39" s="1"/>
  <c r="D46" i="39"/>
  <c r="D27" i="39" s="1"/>
  <c r="E46" i="39"/>
  <c r="E27" i="39" s="1"/>
  <c r="J45" i="40"/>
  <c r="J26" i="40" s="1"/>
  <c r="Q45" i="40"/>
  <c r="Q26" i="40" s="1"/>
  <c r="R45" i="40"/>
  <c r="R26" i="40" s="1"/>
  <c r="Y45" i="40"/>
  <c r="Y26" i="40" s="1"/>
  <c r="Z45" i="40"/>
  <c r="Z26" i="40" s="1"/>
  <c r="I45" i="40"/>
  <c r="I26" i="40" s="1"/>
  <c r="D45" i="40"/>
  <c r="D26" i="40" s="1"/>
  <c r="L45" i="40"/>
  <c r="L26" i="40" s="1"/>
  <c r="T45" i="40"/>
  <c r="T26" i="40" s="1"/>
  <c r="AB45" i="40"/>
  <c r="AB26" i="40" s="1"/>
  <c r="K45" i="40"/>
  <c r="K26" i="40" s="1"/>
  <c r="S45" i="40"/>
  <c r="S26" i="40" s="1"/>
  <c r="AA45" i="40"/>
  <c r="AA26" i="40" s="1"/>
  <c r="F45" i="40"/>
  <c r="F26" i="40" s="1"/>
  <c r="N45" i="40"/>
  <c r="N26" i="40" s="1"/>
  <c r="V45" i="40"/>
  <c r="V26" i="40" s="1"/>
  <c r="E45" i="40"/>
  <c r="E26" i="40" s="1"/>
  <c r="M45" i="40"/>
  <c r="M26" i="40" s="1"/>
  <c r="U45" i="40"/>
  <c r="U26" i="40" s="1"/>
  <c r="H45" i="40"/>
  <c r="H26" i="40" s="1"/>
  <c r="P45" i="40"/>
  <c r="P26" i="40" s="1"/>
  <c r="X45" i="40"/>
  <c r="X26" i="40" s="1"/>
  <c r="G45" i="40"/>
  <c r="G26" i="40" s="1"/>
  <c r="O45" i="40"/>
  <c r="O26" i="40" s="1"/>
  <c r="S137" i="52"/>
  <c r="S139" i="52" s="1"/>
  <c r="S146" i="52" s="1"/>
  <c r="S115" i="52"/>
  <c r="J32" i="41"/>
  <c r="J25" i="41"/>
  <c r="K24" i="40"/>
  <c r="K32" i="40"/>
  <c r="K33" i="39"/>
  <c r="K32" i="38"/>
  <c r="J25" i="39"/>
  <c r="K24" i="38"/>
  <c r="J24" i="36"/>
  <c r="L32" i="36"/>
  <c r="I26" i="21"/>
  <c r="D27" i="21" s="1"/>
  <c r="D29" i="21" s="1"/>
  <c r="D31" i="21" s="1"/>
  <c r="D32" i="21" s="1"/>
  <c r="I41" i="21"/>
  <c r="D43" i="21" s="1"/>
  <c r="D45" i="21" s="1"/>
  <c r="D47" i="21" s="1"/>
  <c r="D48" i="21" s="1"/>
  <c r="I9" i="21"/>
  <c r="D11" i="21" s="1"/>
  <c r="I60" i="21"/>
  <c r="D61" i="21" s="1"/>
  <c r="D29" i="38" l="1"/>
  <c r="Q32" i="39"/>
  <c r="D17" i="39"/>
  <c r="E17" i="39" s="1"/>
  <c r="F17" i="39" s="1"/>
  <c r="G17" i="39" s="1"/>
  <c r="H17" i="39" s="1"/>
  <c r="I17" i="39" s="1"/>
  <c r="J17" i="39" s="1"/>
  <c r="K17" i="39" s="1"/>
  <c r="L17" i="39" s="1"/>
  <c r="M17" i="39" s="1"/>
  <c r="N17" i="39" s="1"/>
  <c r="O17" i="39" s="1"/>
  <c r="P17" i="39" s="1"/>
  <c r="Q17" i="39" s="1"/>
  <c r="R17" i="39" s="1"/>
  <c r="S17" i="39" s="1"/>
  <c r="T17" i="39" s="1"/>
  <c r="U17" i="39" s="1"/>
  <c r="V17" i="39" s="1"/>
  <c r="W17" i="39" s="1"/>
  <c r="X17" i="39" s="1"/>
  <c r="Y17" i="39" s="1"/>
  <c r="Z17" i="39" s="1"/>
  <c r="AA17" i="39" s="1"/>
  <c r="AB17" i="39" s="1"/>
  <c r="E30" i="39"/>
  <c r="F30" i="39" s="1"/>
  <c r="G30" i="39" s="1"/>
  <c r="H30" i="39" s="1"/>
  <c r="I30" i="39" s="1"/>
  <c r="J30" i="39" s="1"/>
  <c r="K30" i="39" s="1"/>
  <c r="L30" i="39" s="1"/>
  <c r="M30" i="39" s="1"/>
  <c r="N30" i="39" s="1"/>
  <c r="O30" i="39" s="1"/>
  <c r="P30" i="39" s="1"/>
  <c r="Q30" i="39" s="1"/>
  <c r="R30" i="39" s="1"/>
  <c r="S30" i="39" s="1"/>
  <c r="T30" i="39" s="1"/>
  <c r="U30" i="39" s="1"/>
  <c r="V30" i="39" s="1"/>
  <c r="W30" i="39" s="1"/>
  <c r="X30" i="39" s="1"/>
  <c r="Y30" i="39" s="1"/>
  <c r="Z30" i="39" s="1"/>
  <c r="AA30" i="39" s="1"/>
  <c r="AB30" i="39" s="1"/>
  <c r="D17" i="41"/>
  <c r="D29" i="45"/>
  <c r="D17" i="38"/>
  <c r="E17" i="38" s="1"/>
  <c r="F17" i="38" s="1"/>
  <c r="G17" i="38" s="1"/>
  <c r="H17" i="38" s="1"/>
  <c r="E29" i="38"/>
  <c r="F29" i="38" s="1"/>
  <c r="G29" i="38" s="1"/>
  <c r="H29" i="38" s="1"/>
  <c r="I29" i="38" s="1"/>
  <c r="J29" i="38" s="1"/>
  <c r="K29" i="38" s="1"/>
  <c r="L29" i="38" s="1"/>
  <c r="M29" i="38" s="1"/>
  <c r="N29" i="38" s="1"/>
  <c r="O29" i="38" s="1"/>
  <c r="P29" i="38" s="1"/>
  <c r="Q29" i="38" s="1"/>
  <c r="R29" i="38" s="1"/>
  <c r="S29" i="38" s="1"/>
  <c r="T29" i="38" s="1"/>
  <c r="U29" i="38" s="1"/>
  <c r="V29" i="38" s="1"/>
  <c r="W29" i="38" s="1"/>
  <c r="X29" i="38" s="1"/>
  <c r="Y29" i="38" s="1"/>
  <c r="Z29" i="38" s="1"/>
  <c r="AA29" i="38" s="1"/>
  <c r="AB29" i="38" s="1"/>
  <c r="E93" i="21"/>
  <c r="C55" i="64"/>
  <c r="C57" i="64" s="1"/>
  <c r="C49" i="64"/>
  <c r="T136" i="62"/>
  <c r="T138" i="62" s="1"/>
  <c r="T145" i="62" s="1"/>
  <c r="T114" i="62"/>
  <c r="X114" i="62"/>
  <c r="X136" i="62"/>
  <c r="X138" i="62" s="1"/>
  <c r="X145" i="62" s="1"/>
  <c r="AC136" i="62"/>
  <c r="AC138" i="62" s="1"/>
  <c r="AC145" i="62" s="1"/>
  <c r="AC114" i="62"/>
  <c r="W136" i="62"/>
  <c r="W138" i="62" s="1"/>
  <c r="W145" i="62" s="1"/>
  <c r="W114" i="62"/>
  <c r="E136" i="62"/>
  <c r="E138" i="62" s="1"/>
  <c r="E145" i="62" s="1"/>
  <c r="E114" i="62"/>
  <c r="H114" i="62"/>
  <c r="H136" i="62"/>
  <c r="H138" i="62" s="1"/>
  <c r="H145" i="62" s="1"/>
  <c r="P136" i="62"/>
  <c r="P138" i="62" s="1"/>
  <c r="P145" i="62" s="1"/>
  <c r="P114" i="62"/>
  <c r="R136" i="62"/>
  <c r="R138" i="62" s="1"/>
  <c r="R145" i="62" s="1"/>
  <c r="R114" i="62"/>
  <c r="AA136" i="62"/>
  <c r="AA138" i="62" s="1"/>
  <c r="AA145" i="62" s="1"/>
  <c r="AA114" i="62"/>
  <c r="AG136" i="62"/>
  <c r="AG138" i="62" s="1"/>
  <c r="AG145" i="62" s="1"/>
  <c r="AG114" i="62"/>
  <c r="AF136" i="62"/>
  <c r="AF138" i="62" s="1"/>
  <c r="AF145" i="62" s="1"/>
  <c r="AF114" i="62"/>
  <c r="AM136" i="62"/>
  <c r="AM138" i="62" s="1"/>
  <c r="AM145" i="62" s="1"/>
  <c r="AM114" i="62"/>
  <c r="J136" i="62"/>
  <c r="J138" i="62" s="1"/>
  <c r="J145" i="62" s="1"/>
  <c r="J114" i="62"/>
  <c r="N136" i="62"/>
  <c r="N138" i="62" s="1"/>
  <c r="N145" i="62" s="1"/>
  <c r="N114" i="62"/>
  <c r="AI136" i="62"/>
  <c r="AI138" i="62" s="1"/>
  <c r="AI145" i="62" s="1"/>
  <c r="AI114" i="62"/>
  <c r="L114" i="62"/>
  <c r="L136" i="62"/>
  <c r="L138" i="62" s="1"/>
  <c r="L145" i="62" s="1"/>
  <c r="G136" i="62"/>
  <c r="G138" i="62" s="1"/>
  <c r="G145" i="62" s="1"/>
  <c r="G114" i="62"/>
  <c r="O136" i="62"/>
  <c r="O138" i="62" s="1"/>
  <c r="O145" i="62" s="1"/>
  <c r="O114" i="62"/>
  <c r="S136" i="62"/>
  <c r="S138" i="62" s="1"/>
  <c r="S145" i="62" s="1"/>
  <c r="S114" i="62"/>
  <c r="Z136" i="62"/>
  <c r="Z138" i="62" s="1"/>
  <c r="Z145" i="62" s="1"/>
  <c r="Z114" i="62"/>
  <c r="Y136" i="62"/>
  <c r="Y138" i="62" s="1"/>
  <c r="Y145" i="62" s="1"/>
  <c r="Y114" i="62"/>
  <c r="D136" i="62"/>
  <c r="D138" i="62" s="1"/>
  <c r="D145" i="62" s="1"/>
  <c r="D114" i="62"/>
  <c r="D125" i="62"/>
  <c r="C47" i="62" s="1"/>
  <c r="AD136" i="62"/>
  <c r="AD138" i="62" s="1"/>
  <c r="AD145" i="62" s="1"/>
  <c r="AD114" i="62"/>
  <c r="AK136" i="62"/>
  <c r="AK138" i="62" s="1"/>
  <c r="AK145" i="62" s="1"/>
  <c r="AK114" i="62"/>
  <c r="U136" i="62"/>
  <c r="U138" i="62" s="1"/>
  <c r="U145" i="62" s="1"/>
  <c r="U114" i="62"/>
  <c r="V136" i="62"/>
  <c r="V138" i="62" s="1"/>
  <c r="V145" i="62" s="1"/>
  <c r="V114" i="62"/>
  <c r="AE136" i="62"/>
  <c r="AE138" i="62" s="1"/>
  <c r="AE145" i="62" s="1"/>
  <c r="AE114" i="62"/>
  <c r="K136" i="62"/>
  <c r="K138" i="62" s="1"/>
  <c r="K145" i="62" s="1"/>
  <c r="K114" i="62"/>
  <c r="M136" i="62"/>
  <c r="M138" i="62" s="1"/>
  <c r="M145" i="62" s="1"/>
  <c r="M114" i="62"/>
  <c r="F136" i="62"/>
  <c r="F138" i="62" s="1"/>
  <c r="F145" i="62" s="1"/>
  <c r="F114" i="62"/>
  <c r="I136" i="62"/>
  <c r="I138" i="62" s="1"/>
  <c r="I145" i="62" s="1"/>
  <c r="I114" i="62"/>
  <c r="AB114" i="62"/>
  <c r="AB136" i="62"/>
  <c r="AB138" i="62" s="1"/>
  <c r="AB145" i="62" s="1"/>
  <c r="Q136" i="62"/>
  <c r="Q138" i="62" s="1"/>
  <c r="Q145" i="62" s="1"/>
  <c r="Q114" i="62"/>
  <c r="AJ136" i="62"/>
  <c r="AJ138" i="62" s="1"/>
  <c r="AJ145" i="62" s="1"/>
  <c r="AJ114" i="62"/>
  <c r="AH136" i="62"/>
  <c r="AH138" i="62" s="1"/>
  <c r="AH145" i="62" s="1"/>
  <c r="AH114" i="62"/>
  <c r="AL136" i="62"/>
  <c r="AL138" i="62" s="1"/>
  <c r="AL145" i="62" s="1"/>
  <c r="AL114" i="62"/>
  <c r="C55" i="60"/>
  <c r="C57" i="60" s="1"/>
  <c r="C49" i="60"/>
  <c r="C55" i="57"/>
  <c r="C57" i="57" s="1"/>
  <c r="C49" i="57"/>
  <c r="X115" i="52"/>
  <c r="Q115" i="52"/>
  <c r="L137" i="52"/>
  <c r="L139" i="52" s="1"/>
  <c r="L146" i="52" s="1"/>
  <c r="T137" i="52"/>
  <c r="T139" i="52" s="1"/>
  <c r="T146" i="52" s="1"/>
  <c r="AB115" i="52"/>
  <c r="P115" i="52"/>
  <c r="AH137" i="52"/>
  <c r="AH139" i="52" s="1"/>
  <c r="AH146" i="52" s="1"/>
  <c r="D63" i="21"/>
  <c r="D65" i="21" s="1"/>
  <c r="D66" i="21" s="1"/>
  <c r="D13" i="21"/>
  <c r="AE137" i="52"/>
  <c r="AE139" i="52" s="1"/>
  <c r="AE146" i="52" s="1"/>
  <c r="D115" i="52"/>
  <c r="N137" i="52"/>
  <c r="N139" i="52" s="1"/>
  <c r="N146" i="52" s="1"/>
  <c r="M115" i="52"/>
  <c r="Z115" i="52"/>
  <c r="AF137" i="52"/>
  <c r="AF139" i="52" s="1"/>
  <c r="AF146" i="52" s="1"/>
  <c r="AM115" i="52"/>
  <c r="AA137" i="52"/>
  <c r="AA139" i="52" s="1"/>
  <c r="AA146" i="52" s="1"/>
  <c r="U137" i="52"/>
  <c r="U139" i="52" s="1"/>
  <c r="U146" i="52" s="1"/>
  <c r="E137" i="52"/>
  <c r="E139" i="52" s="1"/>
  <c r="E146" i="52" s="1"/>
  <c r="AJ137" i="52"/>
  <c r="AJ139" i="52" s="1"/>
  <c r="AJ146" i="52" s="1"/>
  <c r="AL115" i="52"/>
  <c r="AG137" i="52"/>
  <c r="AG139" i="52" s="1"/>
  <c r="AG146" i="52" s="1"/>
  <c r="R115" i="52"/>
  <c r="V137" i="52"/>
  <c r="V139" i="52" s="1"/>
  <c r="V146" i="52" s="1"/>
  <c r="Y137" i="52"/>
  <c r="Y139" i="52" s="1"/>
  <c r="Y146" i="52" s="1"/>
  <c r="AK115" i="52"/>
  <c r="O137" i="52"/>
  <c r="O139" i="52" s="1"/>
  <c r="O146" i="52" s="1"/>
  <c r="G137" i="52"/>
  <c r="G139" i="52" s="1"/>
  <c r="G146" i="52" s="1"/>
  <c r="W137" i="52"/>
  <c r="W139" i="52" s="1"/>
  <c r="W146" i="52" s="1"/>
  <c r="I137" i="52"/>
  <c r="I139" i="52" s="1"/>
  <c r="I146" i="52" s="1"/>
  <c r="K115" i="52"/>
  <c r="J137" i="52"/>
  <c r="J139" i="52" s="1"/>
  <c r="J146" i="52" s="1"/>
  <c r="F115" i="52"/>
  <c r="AD137" i="52"/>
  <c r="AD139" i="52" s="1"/>
  <c r="AD146" i="52" s="1"/>
  <c r="H115" i="52"/>
  <c r="AI115" i="52"/>
  <c r="D126" i="52"/>
  <c r="C48" i="52" s="1"/>
  <c r="C56" i="52" s="1"/>
  <c r="C58" i="52" s="1"/>
  <c r="AC115" i="52"/>
  <c r="AC137" i="52"/>
  <c r="AC139" i="52" s="1"/>
  <c r="AC146" i="52" s="1"/>
  <c r="E91" i="21"/>
  <c r="E97" i="21" s="1"/>
  <c r="H88" i="21"/>
  <c r="D4" i="45"/>
  <c r="E17" i="36"/>
  <c r="F17" i="36" s="1"/>
  <c r="G17" i="36" s="1"/>
  <c r="H17" i="36" s="1"/>
  <c r="I17" i="36" s="1"/>
  <c r="J17" i="36" s="1"/>
  <c r="K17" i="36" s="1"/>
  <c r="L17" i="36" s="1"/>
  <c r="M17" i="36" s="1"/>
  <c r="N17" i="36" s="1"/>
  <c r="O17" i="36" s="1"/>
  <c r="P17" i="36" s="1"/>
  <c r="Q17" i="36" s="1"/>
  <c r="R17" i="36" s="1"/>
  <c r="S17" i="36" s="1"/>
  <c r="T17" i="36" s="1"/>
  <c r="U17" i="36" s="1"/>
  <c r="V17" i="36" s="1"/>
  <c r="W17" i="36" s="1"/>
  <c r="X17" i="36" s="1"/>
  <c r="Y17" i="36" s="1"/>
  <c r="Z17" i="36" s="1"/>
  <c r="AA17" i="36" s="1"/>
  <c r="AB17" i="36" s="1"/>
  <c r="E29" i="36"/>
  <c r="F29" i="36" s="1"/>
  <c r="G29" i="36" s="1"/>
  <c r="H29" i="36" s="1"/>
  <c r="I29" i="36" s="1"/>
  <c r="J29" i="36" s="1"/>
  <c r="K29" i="36" s="1"/>
  <c r="L29" i="36" s="1"/>
  <c r="M29" i="36" s="1"/>
  <c r="N29" i="36" s="1"/>
  <c r="O29" i="36" s="1"/>
  <c r="P29" i="36" s="1"/>
  <c r="Q29" i="36" s="1"/>
  <c r="R29" i="36" s="1"/>
  <c r="S29" i="36" s="1"/>
  <c r="T29" i="36" s="1"/>
  <c r="U29" i="36" s="1"/>
  <c r="V29" i="36" s="1"/>
  <c r="W29" i="36" s="1"/>
  <c r="X29" i="36" s="1"/>
  <c r="Y29" i="36" s="1"/>
  <c r="Z29" i="36" s="1"/>
  <c r="AA29" i="36" s="1"/>
  <c r="AB29" i="36" s="1"/>
  <c r="E17" i="40"/>
  <c r="F17" i="40" s="1"/>
  <c r="G17" i="40" s="1"/>
  <c r="H17" i="40" s="1"/>
  <c r="I17" i="40" s="1"/>
  <c r="J17" i="40" s="1"/>
  <c r="K17" i="40" s="1"/>
  <c r="L17" i="40" s="1"/>
  <c r="M17" i="40" s="1"/>
  <c r="N17" i="40" s="1"/>
  <c r="O17" i="40" s="1"/>
  <c r="P17" i="40" s="1"/>
  <c r="Q17" i="40" s="1"/>
  <c r="R17" i="40" s="1"/>
  <c r="S17" i="40" s="1"/>
  <c r="T17" i="40" s="1"/>
  <c r="U17" i="40" s="1"/>
  <c r="V17" i="40" s="1"/>
  <c r="W17" i="40" s="1"/>
  <c r="X17" i="40" s="1"/>
  <c r="Y17" i="40" s="1"/>
  <c r="Z17" i="40" s="1"/>
  <c r="AA17" i="40" s="1"/>
  <c r="AB17" i="40" s="1"/>
  <c r="E29" i="40"/>
  <c r="F29" i="40" s="1"/>
  <c r="G29" i="40" s="1"/>
  <c r="H29" i="40" s="1"/>
  <c r="I29" i="40" s="1"/>
  <c r="J29" i="40" s="1"/>
  <c r="K29" i="40" s="1"/>
  <c r="L29" i="40" s="1"/>
  <c r="M29" i="40" s="1"/>
  <c r="N29" i="40" s="1"/>
  <c r="O29" i="40" s="1"/>
  <c r="P29" i="40" s="1"/>
  <c r="Q29" i="40" s="1"/>
  <c r="R29" i="40" s="1"/>
  <c r="S29" i="40" s="1"/>
  <c r="T29" i="40" s="1"/>
  <c r="U29" i="40" s="1"/>
  <c r="V29" i="40" s="1"/>
  <c r="W29" i="40" s="1"/>
  <c r="X29" i="40" s="1"/>
  <c r="Y29" i="40" s="1"/>
  <c r="Z29" i="40" s="1"/>
  <c r="AA29" i="40" s="1"/>
  <c r="AB29" i="40" s="1"/>
  <c r="K32" i="41"/>
  <c r="K25" i="41"/>
  <c r="L32" i="40"/>
  <c r="L24" i="40"/>
  <c r="L32" i="38"/>
  <c r="K25" i="39"/>
  <c r="L33" i="39"/>
  <c r="L24" i="38"/>
  <c r="M32" i="36"/>
  <c r="K24" i="36"/>
  <c r="E29" i="45" l="1"/>
  <c r="R32" i="39"/>
  <c r="E17" i="41"/>
  <c r="F17" i="41"/>
  <c r="G17" i="41"/>
  <c r="H17" i="41"/>
  <c r="D15" i="21"/>
  <c r="D16" i="21" s="1"/>
  <c r="D3" i="59"/>
  <c r="D4" i="59" s="1"/>
  <c r="J5" i="39"/>
  <c r="D3" i="63"/>
  <c r="D4" i="63" s="1"/>
  <c r="C55" i="62"/>
  <c r="C57" i="62" s="1"/>
  <c r="C49" i="62"/>
  <c r="D3" i="65"/>
  <c r="D4" i="65" s="1"/>
  <c r="C50" i="52"/>
  <c r="C20" i="69" s="1"/>
  <c r="D7" i="47"/>
  <c r="D17" i="45"/>
  <c r="L32" i="41"/>
  <c r="L25" i="41"/>
  <c r="M24" i="40"/>
  <c r="M32" i="40"/>
  <c r="M33" i="39"/>
  <c r="L25" i="39"/>
  <c r="M32" i="38"/>
  <c r="M24" i="38"/>
  <c r="L24" i="36"/>
  <c r="N32" i="36"/>
  <c r="F29" i="45" l="1"/>
  <c r="S32" i="39"/>
  <c r="G12" i="21"/>
  <c r="E96" i="21"/>
  <c r="E98" i="21" s="1"/>
  <c r="J5" i="38"/>
  <c r="D3" i="61"/>
  <c r="D4" i="61" s="1"/>
  <c r="J5" i="40"/>
  <c r="E29" i="41"/>
  <c r="F29" i="41" s="1"/>
  <c r="G29" i="41" s="1"/>
  <c r="H29" i="41" s="1"/>
  <c r="AC17" i="41"/>
  <c r="M32" i="41"/>
  <c r="E24" i="39"/>
  <c r="M25" i="41"/>
  <c r="N32" i="40"/>
  <c r="N24" i="40"/>
  <c r="N32" i="38"/>
  <c r="M25" i="39"/>
  <c r="N33" i="39"/>
  <c r="N24" i="38"/>
  <c r="O32" i="36"/>
  <c r="M24" i="36"/>
  <c r="T32" i="39" l="1"/>
  <c r="J5" i="41"/>
  <c r="K5" i="41" s="1"/>
  <c r="J5" i="36"/>
  <c r="D5" i="45" s="1"/>
  <c r="AC29" i="41"/>
  <c r="F24" i="39"/>
  <c r="N32" i="41"/>
  <c r="N25" i="41"/>
  <c r="O24" i="40"/>
  <c r="O32" i="40"/>
  <c r="O33" i="39"/>
  <c r="N25" i="39"/>
  <c r="O32" i="38"/>
  <c r="O24" i="38"/>
  <c r="N24" i="36"/>
  <c r="P32" i="36"/>
  <c r="U32" i="39" l="1"/>
  <c r="D20" i="63"/>
  <c r="D20" i="65"/>
  <c r="D20" i="59"/>
  <c r="D20" i="61"/>
  <c r="D3" i="47"/>
  <c r="D6" i="65"/>
  <c r="G24" i="39"/>
  <c r="O32" i="41"/>
  <c r="O25" i="41"/>
  <c r="P32" i="40"/>
  <c r="P24" i="40"/>
  <c r="P32" i="38"/>
  <c r="O25" i="39"/>
  <c r="P33" i="39"/>
  <c r="P24" i="38"/>
  <c r="Q32" i="36"/>
  <c r="O24" i="36"/>
  <c r="D30" i="38" l="1"/>
  <c r="I78" i="61"/>
  <c r="D78" i="61"/>
  <c r="V32" i="39"/>
  <c r="D20" i="47"/>
  <c r="D30" i="41" s="1"/>
  <c r="C36" i="69"/>
  <c r="D18" i="38"/>
  <c r="E18" i="38" s="1"/>
  <c r="F18" i="38" s="1"/>
  <c r="G18" i="38" s="1"/>
  <c r="H18" i="38" s="1"/>
  <c r="I18" i="38" s="1"/>
  <c r="J18" i="38" s="1"/>
  <c r="K18" i="38" s="1"/>
  <c r="L18" i="38" s="1"/>
  <c r="M18" i="38" s="1"/>
  <c r="N18" i="38" s="1"/>
  <c r="O18" i="38" s="1"/>
  <c r="P18" i="38" s="1"/>
  <c r="Q18" i="38" s="1"/>
  <c r="R18" i="38" s="1"/>
  <c r="S18" i="38" s="1"/>
  <c r="T18" i="38" s="1"/>
  <c r="U18" i="38" s="1"/>
  <c r="V18" i="38" s="1"/>
  <c r="W18" i="38" s="1"/>
  <c r="X18" i="38" s="1"/>
  <c r="Y18" i="38" s="1"/>
  <c r="Z18" i="38" s="1"/>
  <c r="AA18" i="38" s="1"/>
  <c r="AB18" i="38" s="1"/>
  <c r="D18" i="40"/>
  <c r="E18" i="40" s="1"/>
  <c r="F18" i="40" s="1"/>
  <c r="G18" i="40" s="1"/>
  <c r="H18" i="40" s="1"/>
  <c r="I18" i="40" s="1"/>
  <c r="J18" i="40" s="1"/>
  <c r="K18" i="40" s="1"/>
  <c r="L18" i="40" s="1"/>
  <c r="M18" i="40" s="1"/>
  <c r="N18" i="40" s="1"/>
  <c r="O18" i="40" s="1"/>
  <c r="P18" i="40" s="1"/>
  <c r="Q18" i="40" s="1"/>
  <c r="R18" i="40" s="1"/>
  <c r="S18" i="40" s="1"/>
  <c r="T18" i="40" s="1"/>
  <c r="U18" i="40" s="1"/>
  <c r="V18" i="40" s="1"/>
  <c r="W18" i="40" s="1"/>
  <c r="X18" i="40" s="1"/>
  <c r="Y18" i="40" s="1"/>
  <c r="Z18" i="40" s="1"/>
  <c r="AA18" i="40" s="1"/>
  <c r="AB18" i="40" s="1"/>
  <c r="D78" i="65"/>
  <c r="D117" i="65" s="1"/>
  <c r="E30" i="40"/>
  <c r="D18" i="36"/>
  <c r="E18" i="36" s="1"/>
  <c r="F18" i="36" s="1"/>
  <c r="G18" i="36" s="1"/>
  <c r="H18" i="36" s="1"/>
  <c r="I18" i="36" s="1"/>
  <c r="J18" i="36" s="1"/>
  <c r="K18" i="36" s="1"/>
  <c r="L18" i="36" s="1"/>
  <c r="M18" i="36" s="1"/>
  <c r="N18" i="36" s="1"/>
  <c r="O18" i="36" s="1"/>
  <c r="P18" i="36" s="1"/>
  <c r="Q18" i="36" s="1"/>
  <c r="R18" i="36" s="1"/>
  <c r="S18" i="36" s="1"/>
  <c r="T18" i="36" s="1"/>
  <c r="U18" i="36" s="1"/>
  <c r="V18" i="36" s="1"/>
  <c r="W18" i="36" s="1"/>
  <c r="X18" i="36" s="1"/>
  <c r="Y18" i="36" s="1"/>
  <c r="Z18" i="36" s="1"/>
  <c r="AA18" i="36" s="1"/>
  <c r="AB18" i="36" s="1"/>
  <c r="D30" i="36"/>
  <c r="D60" i="36" s="1"/>
  <c r="D18" i="39"/>
  <c r="E18" i="39" s="1"/>
  <c r="F18" i="39" s="1"/>
  <c r="G18" i="39" s="1"/>
  <c r="H18" i="39" s="1"/>
  <c r="I18" i="39" s="1"/>
  <c r="J18" i="39" s="1"/>
  <c r="K18" i="39" s="1"/>
  <c r="L18" i="39" s="1"/>
  <c r="M18" i="39" s="1"/>
  <c r="N18" i="39" s="1"/>
  <c r="O18" i="39" s="1"/>
  <c r="P18" i="39" s="1"/>
  <c r="Q18" i="39" s="1"/>
  <c r="R18" i="39" s="1"/>
  <c r="S18" i="39" s="1"/>
  <c r="T18" i="39" s="1"/>
  <c r="U18" i="39" s="1"/>
  <c r="V18" i="39" s="1"/>
  <c r="W18" i="39" s="1"/>
  <c r="X18" i="39" s="1"/>
  <c r="Y18" i="39" s="1"/>
  <c r="Z18" i="39" s="1"/>
  <c r="AA18" i="39" s="1"/>
  <c r="AB18" i="39" s="1"/>
  <c r="D27" i="65"/>
  <c r="D9" i="65"/>
  <c r="D27" i="61"/>
  <c r="D78" i="59"/>
  <c r="D117" i="61"/>
  <c r="D4" i="47"/>
  <c r="D6" i="47" s="1"/>
  <c r="D27" i="47" s="1"/>
  <c r="D6" i="59"/>
  <c r="D18" i="41"/>
  <c r="D20" i="41" s="1"/>
  <c r="D21" i="41" s="1"/>
  <c r="D59" i="41"/>
  <c r="D18" i="45"/>
  <c r="P32" i="41"/>
  <c r="H24" i="39"/>
  <c r="P25" i="41"/>
  <c r="Q24" i="40"/>
  <c r="Q32" i="40"/>
  <c r="Q33" i="39"/>
  <c r="P25" i="39"/>
  <c r="Q32" i="38"/>
  <c r="Q24" i="38"/>
  <c r="P24" i="36"/>
  <c r="R32" i="36"/>
  <c r="L117" i="63" l="1"/>
  <c r="D117" i="63"/>
  <c r="W32" i="39"/>
  <c r="E25" i="47"/>
  <c r="E26" i="47" s="1"/>
  <c r="D78" i="47"/>
  <c r="D55" i="40"/>
  <c r="D94" i="47"/>
  <c r="C37" i="69"/>
  <c r="E20" i="47"/>
  <c r="D130" i="63"/>
  <c r="Q117" i="63"/>
  <c r="F78" i="63"/>
  <c r="F117" i="63" s="1"/>
  <c r="Z117" i="63"/>
  <c r="D147" i="63"/>
  <c r="E78" i="63"/>
  <c r="D22" i="39"/>
  <c r="E22" i="39" s="1"/>
  <c r="D117" i="59"/>
  <c r="D22" i="36" s="1"/>
  <c r="E22" i="36" s="1"/>
  <c r="F22" i="36" s="1"/>
  <c r="G22" i="36" s="1"/>
  <c r="H22" i="36" s="1"/>
  <c r="I22" i="36" s="1"/>
  <c r="J22" i="36" s="1"/>
  <c r="K22" i="36" s="1"/>
  <c r="L22" i="36" s="1"/>
  <c r="M22" i="36" s="1"/>
  <c r="N22" i="36" s="1"/>
  <c r="O22" i="36" s="1"/>
  <c r="P22" i="36" s="1"/>
  <c r="Q22" i="36" s="1"/>
  <c r="R22" i="36" s="1"/>
  <c r="S22" i="36" s="1"/>
  <c r="T22" i="36" s="1"/>
  <c r="U22" i="36" s="1"/>
  <c r="V22" i="36" s="1"/>
  <c r="W22" i="36" s="1"/>
  <c r="X22" i="36" s="1"/>
  <c r="Y22" i="36" s="1"/>
  <c r="Z22" i="36" s="1"/>
  <c r="AA22" i="36" s="1"/>
  <c r="AB22" i="36" s="1"/>
  <c r="M117" i="63"/>
  <c r="J117" i="63"/>
  <c r="P117" i="63"/>
  <c r="N117" i="63"/>
  <c r="AB117" i="63"/>
  <c r="E30" i="36"/>
  <c r="D9" i="61"/>
  <c r="E30" i="38"/>
  <c r="D56" i="38"/>
  <c r="W78" i="59"/>
  <c r="W108" i="59" s="1"/>
  <c r="R78" i="59"/>
  <c r="R147" i="59" s="1"/>
  <c r="AA78" i="59"/>
  <c r="AA147" i="59" s="1"/>
  <c r="P78" i="59"/>
  <c r="P147" i="59" s="1"/>
  <c r="M78" i="59"/>
  <c r="D108" i="59"/>
  <c r="D130" i="59"/>
  <c r="F78" i="59"/>
  <c r="F147" i="59" s="1"/>
  <c r="U78" i="59"/>
  <c r="U147" i="59" s="1"/>
  <c r="N78" i="59"/>
  <c r="N147" i="59" s="1"/>
  <c r="H78" i="59"/>
  <c r="H147" i="59" s="1"/>
  <c r="Y78" i="59"/>
  <c r="Y130" i="59" s="1"/>
  <c r="V78" i="59"/>
  <c r="T78" i="59"/>
  <c r="D147" i="59"/>
  <c r="D111" i="59" s="1"/>
  <c r="G78" i="59"/>
  <c r="G147" i="59" s="1"/>
  <c r="X78" i="59"/>
  <c r="X108" i="59" s="1"/>
  <c r="K78" i="59"/>
  <c r="K147" i="59" s="1"/>
  <c r="E78" i="59"/>
  <c r="E147" i="59" s="1"/>
  <c r="O78" i="59"/>
  <c r="O130" i="59" s="1"/>
  <c r="I78" i="59"/>
  <c r="G78" i="63"/>
  <c r="G117" i="63" s="1"/>
  <c r="G128" i="63" s="1"/>
  <c r="K117" i="63"/>
  <c r="U117" i="63"/>
  <c r="D108" i="63"/>
  <c r="H78" i="63"/>
  <c r="H117" i="63" s="1"/>
  <c r="D9" i="47"/>
  <c r="D57" i="39"/>
  <c r="E31" i="39"/>
  <c r="D30" i="45"/>
  <c r="G32" i="45" s="1"/>
  <c r="D147" i="65"/>
  <c r="D22" i="40"/>
  <c r="D108" i="65"/>
  <c r="AA78" i="65"/>
  <c r="AA117" i="65" s="1"/>
  <c r="W78" i="65"/>
  <c r="W117" i="65" s="1"/>
  <c r="S78" i="65"/>
  <c r="S117" i="65" s="1"/>
  <c r="O78" i="65"/>
  <c r="O117" i="65" s="1"/>
  <c r="K78" i="65"/>
  <c r="K117" i="65" s="1"/>
  <c r="G78" i="65"/>
  <c r="G117" i="65" s="1"/>
  <c r="L78" i="65"/>
  <c r="L117" i="65" s="1"/>
  <c r="Z78" i="65"/>
  <c r="Z117" i="65" s="1"/>
  <c r="V78" i="65"/>
  <c r="V117" i="65" s="1"/>
  <c r="R78" i="65"/>
  <c r="R117" i="65" s="1"/>
  <c r="N78" i="65"/>
  <c r="N117" i="65" s="1"/>
  <c r="J78" i="65"/>
  <c r="J117" i="65" s="1"/>
  <c r="F78" i="65"/>
  <c r="F117" i="65" s="1"/>
  <c r="P78" i="65"/>
  <c r="P117" i="65" s="1"/>
  <c r="Y78" i="65"/>
  <c r="Y117" i="65" s="1"/>
  <c r="U78" i="65"/>
  <c r="U117" i="65" s="1"/>
  <c r="Q78" i="65"/>
  <c r="Q117" i="65" s="1"/>
  <c r="M78" i="65"/>
  <c r="M117" i="65" s="1"/>
  <c r="I78" i="65"/>
  <c r="I117" i="65" s="1"/>
  <c r="E78" i="65"/>
  <c r="E117" i="65" s="1"/>
  <c r="AB78" i="65"/>
  <c r="AB117" i="65" s="1"/>
  <c r="X78" i="65"/>
  <c r="X117" i="65" s="1"/>
  <c r="T78" i="65"/>
  <c r="T117" i="65" s="1"/>
  <c r="H78" i="65"/>
  <c r="H117" i="65" s="1"/>
  <c r="D130" i="65"/>
  <c r="D138" i="65"/>
  <c r="D82" i="65"/>
  <c r="J78" i="59"/>
  <c r="J147" i="59" s="1"/>
  <c r="Z78" i="59"/>
  <c r="Z147" i="59" s="1"/>
  <c r="S78" i="59"/>
  <c r="S117" i="59" s="1"/>
  <c r="S128" i="59" s="1"/>
  <c r="L78" i="59"/>
  <c r="L117" i="59" s="1"/>
  <c r="L128" i="59" s="1"/>
  <c r="AB78" i="59"/>
  <c r="AB147" i="59" s="1"/>
  <c r="Q78" i="59"/>
  <c r="Q108" i="59" s="1"/>
  <c r="AB98" i="65"/>
  <c r="AB141" i="65" s="1"/>
  <c r="X98" i="65"/>
  <c r="X141" i="65" s="1"/>
  <c r="T98" i="65"/>
  <c r="T141" i="65" s="1"/>
  <c r="P98" i="65"/>
  <c r="P141" i="65" s="1"/>
  <c r="L98" i="65"/>
  <c r="L141" i="65" s="1"/>
  <c r="H98" i="65"/>
  <c r="H141" i="65" s="1"/>
  <c r="AA97" i="65"/>
  <c r="W97" i="65"/>
  <c r="S97" i="65"/>
  <c r="O97" i="65"/>
  <c r="K97" i="65"/>
  <c r="G97" i="65"/>
  <c r="D94" i="65"/>
  <c r="D137" i="65" s="1"/>
  <c r="Q98" i="65"/>
  <c r="Q141" i="65" s="1"/>
  <c r="I98" i="65"/>
  <c r="I141" i="65" s="1"/>
  <c r="X97" i="65"/>
  <c r="L97" i="65"/>
  <c r="D106" i="65"/>
  <c r="AA98" i="65"/>
  <c r="AA141" i="65" s="1"/>
  <c r="W98" i="65"/>
  <c r="W141" i="65" s="1"/>
  <c r="S98" i="65"/>
  <c r="S141" i="65" s="1"/>
  <c r="O98" i="65"/>
  <c r="O141" i="65" s="1"/>
  <c r="K98" i="65"/>
  <c r="K141" i="65" s="1"/>
  <c r="G98" i="65"/>
  <c r="G141" i="65" s="1"/>
  <c r="Z97" i="65"/>
  <c r="V97" i="65"/>
  <c r="R97" i="65"/>
  <c r="N97" i="65"/>
  <c r="J97" i="65"/>
  <c r="F97" i="65"/>
  <c r="AC98" i="65"/>
  <c r="AC141" i="65" s="1"/>
  <c r="U98" i="65"/>
  <c r="U141" i="65" s="1"/>
  <c r="M98" i="65"/>
  <c r="M141" i="65" s="1"/>
  <c r="T97" i="65"/>
  <c r="H97" i="65"/>
  <c r="Z98" i="65"/>
  <c r="Z141" i="65" s="1"/>
  <c r="V98" i="65"/>
  <c r="V141" i="65" s="1"/>
  <c r="R98" i="65"/>
  <c r="R141" i="65" s="1"/>
  <c r="N98" i="65"/>
  <c r="N141" i="65" s="1"/>
  <c r="J98" i="65"/>
  <c r="J141" i="65" s="1"/>
  <c r="F98" i="65"/>
  <c r="F141" i="65" s="1"/>
  <c r="AC97" i="65"/>
  <c r="Y97" i="65"/>
  <c r="U97" i="65"/>
  <c r="Q97" i="65"/>
  <c r="M97" i="65"/>
  <c r="I97" i="65"/>
  <c r="E97" i="65"/>
  <c r="Y98" i="65"/>
  <c r="Y141" i="65" s="1"/>
  <c r="E98" i="65"/>
  <c r="E141" i="65" s="1"/>
  <c r="AB97" i="65"/>
  <c r="P97" i="65"/>
  <c r="H130" i="63"/>
  <c r="F147" i="63"/>
  <c r="F128" i="63"/>
  <c r="F108" i="63"/>
  <c r="F130" i="63"/>
  <c r="G108" i="63"/>
  <c r="G130" i="63"/>
  <c r="W147" i="63"/>
  <c r="L147" i="63"/>
  <c r="L128" i="63"/>
  <c r="L108" i="63"/>
  <c r="L130" i="63"/>
  <c r="AB147" i="63"/>
  <c r="AB128" i="63"/>
  <c r="AB108" i="63"/>
  <c r="AB130" i="63"/>
  <c r="E147" i="63"/>
  <c r="J147" i="63"/>
  <c r="J128" i="63"/>
  <c r="J108" i="63"/>
  <c r="J130" i="63"/>
  <c r="Z147" i="63"/>
  <c r="Z108" i="63"/>
  <c r="Z128" i="63"/>
  <c r="Z130" i="63"/>
  <c r="M128" i="63"/>
  <c r="M147" i="63"/>
  <c r="M108" i="63"/>
  <c r="M130" i="63"/>
  <c r="K147" i="63"/>
  <c r="K128" i="63"/>
  <c r="K108" i="63"/>
  <c r="K130" i="63"/>
  <c r="P147" i="63"/>
  <c r="P128" i="63"/>
  <c r="P108" i="63"/>
  <c r="P130" i="63"/>
  <c r="D27" i="63"/>
  <c r="D9" i="63"/>
  <c r="D111" i="63"/>
  <c r="Q147" i="63"/>
  <c r="Q128" i="63"/>
  <c r="Q108" i="63"/>
  <c r="Q130" i="63"/>
  <c r="N147" i="63"/>
  <c r="N128" i="63"/>
  <c r="N108" i="63"/>
  <c r="N130" i="63"/>
  <c r="U147" i="63"/>
  <c r="U128" i="63"/>
  <c r="U108" i="63"/>
  <c r="U130" i="63"/>
  <c r="D147" i="61"/>
  <c r="AB117" i="61"/>
  <c r="X117" i="61"/>
  <c r="T117" i="61"/>
  <c r="P117" i="61"/>
  <c r="L117" i="61"/>
  <c r="H78" i="61"/>
  <c r="H117" i="61" s="1"/>
  <c r="D22" i="38"/>
  <c r="D108" i="61"/>
  <c r="AA117" i="61"/>
  <c r="W117" i="61"/>
  <c r="S117" i="61"/>
  <c r="O117" i="61"/>
  <c r="K117" i="61"/>
  <c r="G78" i="61"/>
  <c r="G117" i="61" s="1"/>
  <c r="D130" i="61"/>
  <c r="Z117" i="61"/>
  <c r="V117" i="61"/>
  <c r="R117" i="61"/>
  <c r="N117" i="61"/>
  <c r="J117" i="61"/>
  <c r="F78" i="61"/>
  <c r="F117" i="61" s="1"/>
  <c r="U117" i="61"/>
  <c r="E78" i="61"/>
  <c r="E117" i="61" s="1"/>
  <c r="Q117" i="61"/>
  <c r="M117" i="61"/>
  <c r="Y117" i="61"/>
  <c r="I117" i="61"/>
  <c r="D138" i="61"/>
  <c r="D82" i="61"/>
  <c r="AC98" i="61"/>
  <c r="AC141" i="61" s="1"/>
  <c r="Y98" i="61"/>
  <c r="Y141" i="61" s="1"/>
  <c r="U98" i="61"/>
  <c r="U141" i="61" s="1"/>
  <c r="Q98" i="61"/>
  <c r="Q141" i="61" s="1"/>
  <c r="M98" i="61"/>
  <c r="M141" i="61" s="1"/>
  <c r="I98" i="61"/>
  <c r="I141" i="61" s="1"/>
  <c r="E98" i="61"/>
  <c r="E141" i="61" s="1"/>
  <c r="AB97" i="61"/>
  <c r="X97" i="61"/>
  <c r="T97" i="61"/>
  <c r="P97" i="61"/>
  <c r="L97" i="61"/>
  <c r="H97" i="61"/>
  <c r="AB98" i="61"/>
  <c r="AB141" i="61" s="1"/>
  <c r="X98" i="61"/>
  <c r="X141" i="61" s="1"/>
  <c r="T98" i="61"/>
  <c r="T141" i="61" s="1"/>
  <c r="P98" i="61"/>
  <c r="P141" i="61" s="1"/>
  <c r="L98" i="61"/>
  <c r="L141" i="61" s="1"/>
  <c r="H98" i="61"/>
  <c r="H141" i="61" s="1"/>
  <c r="AA97" i="61"/>
  <c r="W97" i="61"/>
  <c r="S97" i="61"/>
  <c r="O97" i="61"/>
  <c r="K97" i="61"/>
  <c r="G97" i="61"/>
  <c r="D94" i="61"/>
  <c r="D137" i="61" s="1"/>
  <c r="D106" i="61"/>
  <c r="AA98" i="61"/>
  <c r="AA141" i="61" s="1"/>
  <c r="W98" i="61"/>
  <c r="W141" i="61" s="1"/>
  <c r="S98" i="61"/>
  <c r="S141" i="61" s="1"/>
  <c r="O98" i="61"/>
  <c r="O141" i="61" s="1"/>
  <c r="K98" i="61"/>
  <c r="K141" i="61" s="1"/>
  <c r="G98" i="61"/>
  <c r="G141" i="61" s="1"/>
  <c r="Z97" i="61"/>
  <c r="V97" i="61"/>
  <c r="R97" i="61"/>
  <c r="N97" i="61"/>
  <c r="J97" i="61"/>
  <c r="F97" i="61"/>
  <c r="Z98" i="61"/>
  <c r="Z141" i="61" s="1"/>
  <c r="J98" i="61"/>
  <c r="J141" i="61" s="1"/>
  <c r="AC97" i="61"/>
  <c r="M97" i="61"/>
  <c r="V98" i="61"/>
  <c r="V141" i="61" s="1"/>
  <c r="F98" i="61"/>
  <c r="F141" i="61" s="1"/>
  <c r="Y97" i="61"/>
  <c r="I97" i="61"/>
  <c r="N98" i="61"/>
  <c r="N141" i="61" s="1"/>
  <c r="R98" i="61"/>
  <c r="R141" i="61" s="1"/>
  <c r="U97" i="61"/>
  <c r="E97" i="61"/>
  <c r="Q97" i="61"/>
  <c r="O108" i="59"/>
  <c r="I147" i="59"/>
  <c r="I117" i="59"/>
  <c r="I128" i="59" s="1"/>
  <c r="I108" i="59"/>
  <c r="I130" i="59"/>
  <c r="Y108" i="59"/>
  <c r="G78" i="47"/>
  <c r="T147" i="59"/>
  <c r="T117" i="59"/>
  <c r="T128" i="59" s="1"/>
  <c r="T108" i="59"/>
  <c r="T130" i="59"/>
  <c r="D108" i="47"/>
  <c r="AB108" i="59"/>
  <c r="AB130" i="59"/>
  <c r="M147" i="59"/>
  <c r="M117" i="59"/>
  <c r="M128" i="59" s="1"/>
  <c r="M108" i="59"/>
  <c r="M130" i="59"/>
  <c r="D27" i="59"/>
  <c r="D9" i="59"/>
  <c r="V147" i="59"/>
  <c r="V117" i="59"/>
  <c r="V128" i="59" s="1"/>
  <c r="V108" i="59"/>
  <c r="V130" i="59"/>
  <c r="D147" i="47"/>
  <c r="D111" i="47" s="1"/>
  <c r="E78" i="47"/>
  <c r="W147" i="59"/>
  <c r="W117" i="59"/>
  <c r="W128" i="59" s="1"/>
  <c r="V108" i="47"/>
  <c r="F78" i="47"/>
  <c r="H78" i="47"/>
  <c r="E18" i="41"/>
  <c r="E55" i="40"/>
  <c r="F30" i="40"/>
  <c r="W98" i="47"/>
  <c r="W141" i="47" s="1"/>
  <c r="O98" i="47"/>
  <c r="O141" i="47" s="1"/>
  <c r="G98" i="47"/>
  <c r="G141" i="47" s="1"/>
  <c r="V97" i="47"/>
  <c r="N97" i="47"/>
  <c r="F97" i="47"/>
  <c r="M98" i="47"/>
  <c r="M141" i="47" s="1"/>
  <c r="L97" i="47"/>
  <c r="T98" i="47"/>
  <c r="T141" i="47" s="1"/>
  <c r="W97" i="47"/>
  <c r="D137" i="47"/>
  <c r="V98" i="47"/>
  <c r="V141" i="47" s="1"/>
  <c r="N98" i="47"/>
  <c r="N141" i="47" s="1"/>
  <c r="F98" i="47"/>
  <c r="F141" i="47" s="1"/>
  <c r="Y97" i="47"/>
  <c r="Q97" i="47"/>
  <c r="I97" i="47"/>
  <c r="Y98" i="47"/>
  <c r="Y141" i="47" s="1"/>
  <c r="T97" i="47"/>
  <c r="H98" i="47"/>
  <c r="H141" i="47" s="1"/>
  <c r="G97" i="47"/>
  <c r="Q98" i="47"/>
  <c r="Q141" i="47" s="1"/>
  <c r="AB97" i="47"/>
  <c r="H97" i="47"/>
  <c r="P98" i="47"/>
  <c r="P141" i="47" s="1"/>
  <c r="O97" i="47"/>
  <c r="AA98" i="47"/>
  <c r="AA141" i="47" s="1"/>
  <c r="S98" i="47"/>
  <c r="S141" i="47" s="1"/>
  <c r="K98" i="47"/>
  <c r="K141" i="47" s="1"/>
  <c r="Z97" i="47"/>
  <c r="R97" i="47"/>
  <c r="J97" i="47"/>
  <c r="U98" i="47"/>
  <c r="U141" i="47" s="1"/>
  <c r="X97" i="47"/>
  <c r="D106" i="47"/>
  <c r="L98" i="47"/>
  <c r="L141" i="47" s="1"/>
  <c r="K97" i="47"/>
  <c r="Z98" i="47"/>
  <c r="Z141" i="47" s="1"/>
  <c r="R98" i="47"/>
  <c r="R141" i="47" s="1"/>
  <c r="J98" i="47"/>
  <c r="J141" i="47" s="1"/>
  <c r="AC97" i="47"/>
  <c r="U97" i="47"/>
  <c r="M97" i="47"/>
  <c r="E97" i="47"/>
  <c r="I98" i="47"/>
  <c r="I141" i="47" s="1"/>
  <c r="X98" i="47"/>
  <c r="X141" i="47" s="1"/>
  <c r="S97" i="47"/>
  <c r="AC98" i="47"/>
  <c r="AC141" i="47" s="1"/>
  <c r="E98" i="47"/>
  <c r="E141" i="47" s="1"/>
  <c r="P97" i="47"/>
  <c r="AB98" i="47"/>
  <c r="AB141" i="47" s="1"/>
  <c r="AA97" i="47"/>
  <c r="I24" i="39"/>
  <c r="Q32" i="41"/>
  <c r="E30" i="41"/>
  <c r="E59" i="41" s="1"/>
  <c r="F30" i="36"/>
  <c r="E60" i="36"/>
  <c r="Q25" i="41"/>
  <c r="R32" i="40"/>
  <c r="R24" i="40"/>
  <c r="R32" i="38"/>
  <c r="Q25" i="39"/>
  <c r="R33" i="39"/>
  <c r="R24" i="38"/>
  <c r="S32" i="36"/>
  <c r="Q24" i="36"/>
  <c r="D49" i="45" l="1"/>
  <c r="E30" i="45"/>
  <c r="H32" i="45" s="1"/>
  <c r="O147" i="63"/>
  <c r="O117" i="63"/>
  <c r="T147" i="63"/>
  <c r="T117" i="63"/>
  <c r="E130" i="63"/>
  <c r="E117" i="63"/>
  <c r="E128" i="63" s="1"/>
  <c r="I108" i="63"/>
  <c r="I117" i="63"/>
  <c r="I128" i="63" s="1"/>
  <c r="R147" i="63"/>
  <c r="R117" i="63"/>
  <c r="R128" i="63" s="1"/>
  <c r="Y147" i="63"/>
  <c r="Y117" i="63"/>
  <c r="S147" i="63"/>
  <c r="S117" i="63"/>
  <c r="S128" i="63" s="1"/>
  <c r="G147" i="63"/>
  <c r="AA130" i="63"/>
  <c r="AA117" i="63"/>
  <c r="V147" i="63"/>
  <c r="V117" i="63"/>
  <c r="I130" i="63"/>
  <c r="W108" i="63"/>
  <c r="W117" i="63"/>
  <c r="W128" i="63" s="1"/>
  <c r="W135" i="63" s="1"/>
  <c r="X117" i="63"/>
  <c r="X128" i="63" s="1"/>
  <c r="E108" i="63"/>
  <c r="S108" i="63"/>
  <c r="R108" i="63"/>
  <c r="R130" i="63"/>
  <c r="T130" i="63"/>
  <c r="S130" i="63"/>
  <c r="I147" i="63"/>
  <c r="I111" i="63" s="1"/>
  <c r="T108" i="63"/>
  <c r="T128" i="63"/>
  <c r="T113" i="63" s="1"/>
  <c r="X32" i="39"/>
  <c r="F20" i="47"/>
  <c r="D130" i="47"/>
  <c r="W130" i="47"/>
  <c r="W117" i="47"/>
  <c r="K117" i="47"/>
  <c r="K128" i="47" s="1"/>
  <c r="V117" i="47"/>
  <c r="V128" i="47" s="1"/>
  <c r="U130" i="47"/>
  <c r="U117" i="47"/>
  <c r="O117" i="47"/>
  <c r="O128" i="47" s="1"/>
  <c r="AB108" i="47"/>
  <c r="AB117" i="47"/>
  <c r="N108" i="47"/>
  <c r="N117" i="47"/>
  <c r="N128" i="47" s="1"/>
  <c r="N113" i="47" s="1"/>
  <c r="R117" i="47"/>
  <c r="R128" i="47" s="1"/>
  <c r="AA117" i="47"/>
  <c r="AA128" i="47" s="1"/>
  <c r="I117" i="47"/>
  <c r="I128" i="47" s="1"/>
  <c r="H108" i="47"/>
  <c r="H117" i="47"/>
  <c r="H128" i="47" s="1"/>
  <c r="H113" i="47" s="1"/>
  <c r="Q108" i="47"/>
  <c r="Q117" i="47"/>
  <c r="T130" i="47"/>
  <c r="T117" i="47"/>
  <c r="X147" i="47"/>
  <c r="X111" i="47" s="1"/>
  <c r="X117" i="47"/>
  <c r="J117" i="47"/>
  <c r="J128" i="47" s="1"/>
  <c r="G147" i="47"/>
  <c r="G111" i="47" s="1"/>
  <c r="G117" i="47"/>
  <c r="L147" i="47"/>
  <c r="L111" i="47" s="1"/>
  <c r="L117" i="47"/>
  <c r="L128" i="47" s="1"/>
  <c r="L135" i="47" s="1"/>
  <c r="M108" i="47"/>
  <c r="M117" i="47"/>
  <c r="M128" i="47" s="1"/>
  <c r="M135" i="47" s="1"/>
  <c r="Z117" i="47"/>
  <c r="Z128" i="47" s="1"/>
  <c r="S147" i="47"/>
  <c r="S111" i="47" s="1"/>
  <c r="S117" i="47"/>
  <c r="S128" i="47" s="1"/>
  <c r="S135" i="47" s="1"/>
  <c r="P117" i="47"/>
  <c r="P128" i="47" s="1"/>
  <c r="E130" i="47"/>
  <c r="E128" i="47"/>
  <c r="Y130" i="47"/>
  <c r="Y117" i="47"/>
  <c r="Y128" i="47" s="1"/>
  <c r="Y135" i="47" s="1"/>
  <c r="F147" i="47"/>
  <c r="F111" i="47" s="1"/>
  <c r="F117" i="47"/>
  <c r="J130" i="59"/>
  <c r="AA108" i="63"/>
  <c r="V130" i="63"/>
  <c r="J108" i="59"/>
  <c r="AA128" i="63"/>
  <c r="AA135" i="63" s="1"/>
  <c r="V108" i="63"/>
  <c r="J117" i="59"/>
  <c r="J128" i="59" s="1"/>
  <c r="J135" i="59" s="1"/>
  <c r="AA147" i="63"/>
  <c r="V128" i="63"/>
  <c r="V135" i="63" s="1"/>
  <c r="X147" i="63"/>
  <c r="X111" i="63" s="1"/>
  <c r="V147" i="47"/>
  <c r="V111" i="47" s="1"/>
  <c r="W130" i="63"/>
  <c r="F27" i="36"/>
  <c r="D128" i="59"/>
  <c r="D135" i="59" s="1"/>
  <c r="Y117" i="59"/>
  <c r="Y128" i="59" s="1"/>
  <c r="Y135" i="59" s="1"/>
  <c r="O117" i="59"/>
  <c r="O128" i="59" s="1"/>
  <c r="O113" i="59" s="1"/>
  <c r="Y147" i="59"/>
  <c r="O147" i="59"/>
  <c r="D27" i="36"/>
  <c r="E27" i="36"/>
  <c r="D128" i="47"/>
  <c r="D135" i="47" s="1"/>
  <c r="C38" i="69"/>
  <c r="D23" i="41"/>
  <c r="F18" i="41"/>
  <c r="E20" i="41"/>
  <c r="E21" i="41" s="1"/>
  <c r="E49" i="45"/>
  <c r="O130" i="63"/>
  <c r="O108" i="63"/>
  <c r="D28" i="39"/>
  <c r="O128" i="63"/>
  <c r="D128" i="63"/>
  <c r="D113" i="63" s="1"/>
  <c r="X130" i="63"/>
  <c r="X108" i="63"/>
  <c r="D68" i="59"/>
  <c r="D69" i="59"/>
  <c r="D71" i="63"/>
  <c r="W130" i="59"/>
  <c r="F130" i="59"/>
  <c r="F108" i="59"/>
  <c r="F117" i="59"/>
  <c r="F128" i="59" s="1"/>
  <c r="F135" i="59" s="1"/>
  <c r="K130" i="59"/>
  <c r="K117" i="59"/>
  <c r="K128" i="59" s="1"/>
  <c r="K135" i="59" s="1"/>
  <c r="R130" i="59"/>
  <c r="Q117" i="59"/>
  <c r="Q128" i="59" s="1"/>
  <c r="Q113" i="59" s="1"/>
  <c r="AA130" i="59"/>
  <c r="AB117" i="59"/>
  <c r="AB128" i="59" s="1"/>
  <c r="AB113" i="59" s="1"/>
  <c r="K108" i="59"/>
  <c r="AA117" i="59"/>
  <c r="AA128" i="59" s="1"/>
  <c r="AA135" i="59" s="1"/>
  <c r="AA108" i="59"/>
  <c r="N130" i="59"/>
  <c r="N108" i="59"/>
  <c r="N117" i="59"/>
  <c r="N128" i="59" s="1"/>
  <c r="N135" i="59" s="1"/>
  <c r="X117" i="59"/>
  <c r="X128" i="59" s="1"/>
  <c r="X135" i="59" s="1"/>
  <c r="X147" i="59"/>
  <c r="X111" i="59" s="1"/>
  <c r="R108" i="59"/>
  <c r="R117" i="59"/>
  <c r="R128" i="59" s="1"/>
  <c r="R135" i="59" s="1"/>
  <c r="U130" i="59"/>
  <c r="U108" i="59"/>
  <c r="U117" i="59"/>
  <c r="U128" i="59" s="1"/>
  <c r="X130" i="59"/>
  <c r="Q147" i="59"/>
  <c r="Q111" i="59" s="1"/>
  <c r="E130" i="59"/>
  <c r="P130" i="59"/>
  <c r="H130" i="59"/>
  <c r="E108" i="59"/>
  <c r="P108" i="59"/>
  <c r="H108" i="59"/>
  <c r="E117" i="59"/>
  <c r="E128" i="59" s="1"/>
  <c r="E135" i="59" s="1"/>
  <c r="P117" i="59"/>
  <c r="P128" i="59" s="1"/>
  <c r="P135" i="59" s="1"/>
  <c r="H117" i="59"/>
  <c r="H128" i="59" s="1"/>
  <c r="H135" i="59" s="1"/>
  <c r="Q130" i="59"/>
  <c r="F30" i="38"/>
  <c r="E56" i="38"/>
  <c r="Z130" i="59"/>
  <c r="Z108" i="59"/>
  <c r="Z117" i="59"/>
  <c r="Z128" i="59" s="1"/>
  <c r="Z113" i="59" s="1"/>
  <c r="AA108" i="47"/>
  <c r="AA130" i="47"/>
  <c r="AA147" i="47"/>
  <c r="AA111" i="47" s="1"/>
  <c r="S130" i="59"/>
  <c r="S147" i="59"/>
  <c r="S111" i="59" s="1"/>
  <c r="G130" i="59"/>
  <c r="G108" i="59"/>
  <c r="G117" i="59"/>
  <c r="G128" i="59" s="1"/>
  <c r="G135" i="59" s="1"/>
  <c r="U128" i="47"/>
  <c r="U113" i="47" s="1"/>
  <c r="Y147" i="47"/>
  <c r="Y111" i="47" s="1"/>
  <c r="F30" i="45"/>
  <c r="Y130" i="63"/>
  <c r="Y108" i="63"/>
  <c r="Y128" i="63"/>
  <c r="Y135" i="63" s="1"/>
  <c r="D68" i="63"/>
  <c r="H108" i="63"/>
  <c r="H128" i="63"/>
  <c r="H135" i="63" s="1"/>
  <c r="H147" i="63"/>
  <c r="D79" i="63"/>
  <c r="Y108" i="47"/>
  <c r="K108" i="47"/>
  <c r="D138" i="47"/>
  <c r="M138" i="47" s="1"/>
  <c r="K147" i="47"/>
  <c r="K111" i="47" s="1"/>
  <c r="S130" i="47"/>
  <c r="G128" i="47"/>
  <c r="G135" i="47" s="1"/>
  <c r="W147" i="47"/>
  <c r="W111" i="47" s="1"/>
  <c r="M147" i="47"/>
  <c r="M111" i="47" s="1"/>
  <c r="V130" i="47"/>
  <c r="G108" i="47"/>
  <c r="U108" i="47"/>
  <c r="G130" i="47"/>
  <c r="U147" i="47"/>
  <c r="U111" i="47" s="1"/>
  <c r="M130" i="47"/>
  <c r="T128" i="47"/>
  <c r="T135" i="47" s="1"/>
  <c r="E147" i="47"/>
  <c r="E111" i="47" s="1"/>
  <c r="H147" i="47"/>
  <c r="H111" i="47" s="1"/>
  <c r="H130" i="47"/>
  <c r="P108" i="47"/>
  <c r="AB147" i="47"/>
  <c r="AB111" i="47" s="1"/>
  <c r="AB130" i="47"/>
  <c r="AB128" i="47"/>
  <c r="AB113" i="47" s="1"/>
  <c r="R108" i="47"/>
  <c r="R130" i="47"/>
  <c r="O147" i="47"/>
  <c r="O111" i="47" s="1"/>
  <c r="R147" i="47"/>
  <c r="R111" i="47" s="1"/>
  <c r="L108" i="47"/>
  <c r="N147" i="47"/>
  <c r="N111" i="47" s="1"/>
  <c r="N130" i="47"/>
  <c r="F130" i="47"/>
  <c r="Z130" i="47"/>
  <c r="S108" i="47"/>
  <c r="K130" i="47"/>
  <c r="E57" i="39"/>
  <c r="F31" i="39"/>
  <c r="E22" i="38"/>
  <c r="D27" i="38"/>
  <c r="E22" i="40"/>
  <c r="D27" i="40"/>
  <c r="F22" i="39"/>
  <c r="E28" i="39"/>
  <c r="L147" i="59"/>
  <c r="L130" i="59"/>
  <c r="D71" i="59"/>
  <c r="L108" i="59"/>
  <c r="S108" i="59"/>
  <c r="D79" i="59"/>
  <c r="D68" i="65"/>
  <c r="M140" i="65"/>
  <c r="M99" i="65"/>
  <c r="AC140" i="65"/>
  <c r="AC99" i="65"/>
  <c r="T140" i="65"/>
  <c r="T99" i="65"/>
  <c r="F140" i="65"/>
  <c r="F99" i="65"/>
  <c r="V140" i="65"/>
  <c r="V99" i="65"/>
  <c r="AC105" i="65"/>
  <c r="Y105" i="65"/>
  <c r="U105" i="65"/>
  <c r="Q105" i="65"/>
  <c r="M105" i="65"/>
  <c r="I105" i="65"/>
  <c r="E105" i="65"/>
  <c r="Z105" i="65"/>
  <c r="N105" i="65"/>
  <c r="J105" i="65"/>
  <c r="AB105" i="65"/>
  <c r="X105" i="65"/>
  <c r="T105" i="65"/>
  <c r="P105" i="65"/>
  <c r="L105" i="65"/>
  <c r="H105" i="65"/>
  <c r="V105" i="65"/>
  <c r="R105" i="65"/>
  <c r="F105" i="65"/>
  <c r="AA105" i="65"/>
  <c r="W105" i="65"/>
  <c r="S105" i="65"/>
  <c r="O105" i="65"/>
  <c r="K105" i="65"/>
  <c r="G105" i="65"/>
  <c r="O140" i="65"/>
  <c r="O99" i="65"/>
  <c r="AB82" i="65"/>
  <c r="AB84" i="65" s="1"/>
  <c r="X82" i="65"/>
  <c r="X84" i="65" s="1"/>
  <c r="T82" i="65"/>
  <c r="T84" i="65" s="1"/>
  <c r="P82" i="65"/>
  <c r="P84" i="65" s="1"/>
  <c r="L82" i="65"/>
  <c r="L84" i="65" s="1"/>
  <c r="H82" i="65"/>
  <c r="H84" i="65" s="1"/>
  <c r="Y82" i="65"/>
  <c r="Y84" i="65" s="1"/>
  <c r="I82" i="65"/>
  <c r="I84" i="65" s="1"/>
  <c r="AA82" i="65"/>
  <c r="AA84" i="65" s="1"/>
  <c r="W82" i="65"/>
  <c r="W84" i="65" s="1"/>
  <c r="S82" i="65"/>
  <c r="S84" i="65" s="1"/>
  <c r="O82" i="65"/>
  <c r="O84" i="65" s="1"/>
  <c r="K82" i="65"/>
  <c r="K84" i="65" s="1"/>
  <c r="G82" i="65"/>
  <c r="G84" i="65" s="1"/>
  <c r="U82" i="65"/>
  <c r="U84" i="65" s="1"/>
  <c r="M82" i="65"/>
  <c r="M84" i="65" s="1"/>
  <c r="D84" i="65"/>
  <c r="Z82" i="65"/>
  <c r="Z84" i="65" s="1"/>
  <c r="V82" i="65"/>
  <c r="V84" i="65" s="1"/>
  <c r="R82" i="65"/>
  <c r="R84" i="65" s="1"/>
  <c r="N82" i="65"/>
  <c r="N84" i="65" s="1"/>
  <c r="J82" i="65"/>
  <c r="J84" i="65" s="1"/>
  <c r="F82" i="65"/>
  <c r="F84" i="65" s="1"/>
  <c r="Q82" i="65"/>
  <c r="Q84" i="65" s="1"/>
  <c r="E82" i="65"/>
  <c r="E84" i="65" s="1"/>
  <c r="AB147" i="65"/>
  <c r="AB128" i="65"/>
  <c r="AB108" i="65"/>
  <c r="AB130" i="65"/>
  <c r="Q147" i="65"/>
  <c r="Q128" i="65"/>
  <c r="Q108" i="65"/>
  <c r="Q130" i="65"/>
  <c r="J147" i="65"/>
  <c r="J128" i="65"/>
  <c r="J108" i="65"/>
  <c r="J130" i="65"/>
  <c r="Z147" i="65"/>
  <c r="Z128" i="65"/>
  <c r="Z108" i="65"/>
  <c r="Z130" i="65"/>
  <c r="K147" i="65"/>
  <c r="K128" i="65"/>
  <c r="K108" i="65"/>
  <c r="K130" i="65"/>
  <c r="AA147" i="65"/>
  <c r="AA128" i="65"/>
  <c r="AA108" i="65"/>
  <c r="AA130" i="65"/>
  <c r="Q99" i="65"/>
  <c r="Q140" i="65"/>
  <c r="J140" i="65"/>
  <c r="J99" i="65"/>
  <c r="Z140" i="65"/>
  <c r="Z99" i="65"/>
  <c r="L140" i="65"/>
  <c r="L99" i="65"/>
  <c r="D148" i="65"/>
  <c r="D149" i="65" s="1"/>
  <c r="D142" i="65"/>
  <c r="S140" i="65"/>
  <c r="S99" i="65"/>
  <c r="AB138" i="65"/>
  <c r="X138" i="65"/>
  <c r="T138" i="65"/>
  <c r="P138" i="65"/>
  <c r="L138" i="65"/>
  <c r="H138" i="65"/>
  <c r="AA138" i="65"/>
  <c r="W138" i="65"/>
  <c r="S138" i="65"/>
  <c r="O138" i="65"/>
  <c r="K138" i="65"/>
  <c r="G138" i="65"/>
  <c r="Z138" i="65"/>
  <c r="V138" i="65"/>
  <c r="R138" i="65"/>
  <c r="N138" i="65"/>
  <c r="J138" i="65"/>
  <c r="F138" i="65"/>
  <c r="Q138" i="65"/>
  <c r="M138" i="65"/>
  <c r="Y138" i="65"/>
  <c r="I138" i="65"/>
  <c r="U138" i="65"/>
  <c r="E138" i="65"/>
  <c r="H147" i="65"/>
  <c r="H128" i="65"/>
  <c r="H108" i="65"/>
  <c r="H130" i="65"/>
  <c r="E147" i="65"/>
  <c r="E128" i="65"/>
  <c r="E108" i="65"/>
  <c r="E130" i="65"/>
  <c r="U147" i="65"/>
  <c r="U128" i="65"/>
  <c r="U108" i="65"/>
  <c r="U130" i="65"/>
  <c r="P147" i="65"/>
  <c r="P128" i="65"/>
  <c r="P108" i="65"/>
  <c r="P130" i="65"/>
  <c r="N147" i="65"/>
  <c r="N128" i="65"/>
  <c r="N108" i="65"/>
  <c r="N130" i="65"/>
  <c r="D79" i="65"/>
  <c r="O147" i="65"/>
  <c r="O128" i="65"/>
  <c r="O108" i="65"/>
  <c r="O130" i="65"/>
  <c r="P140" i="65"/>
  <c r="P99" i="65"/>
  <c r="E140" i="65"/>
  <c r="E99" i="65"/>
  <c r="U140" i="65"/>
  <c r="U99" i="65"/>
  <c r="N140" i="65"/>
  <c r="N99" i="65"/>
  <c r="N101" i="65" s="1"/>
  <c r="X140" i="65"/>
  <c r="X99" i="65"/>
  <c r="G140" i="65"/>
  <c r="G99" i="65"/>
  <c r="W140" i="65"/>
  <c r="W99" i="65"/>
  <c r="T147" i="65"/>
  <c r="T128" i="65"/>
  <c r="T108" i="65"/>
  <c r="T130" i="65"/>
  <c r="I147" i="65"/>
  <c r="I108" i="65"/>
  <c r="I128" i="65"/>
  <c r="I130" i="65"/>
  <c r="Y147" i="65"/>
  <c r="Y108" i="65"/>
  <c r="Y128" i="65"/>
  <c r="Y130" i="65"/>
  <c r="D71" i="65"/>
  <c r="R147" i="65"/>
  <c r="R128" i="65"/>
  <c r="R108" i="65"/>
  <c r="R130" i="65"/>
  <c r="L147" i="65"/>
  <c r="L128" i="65"/>
  <c r="L108" i="65"/>
  <c r="L130" i="65"/>
  <c r="S147" i="65"/>
  <c r="S128" i="65"/>
  <c r="S108" i="65"/>
  <c r="S130" i="65"/>
  <c r="D128" i="65"/>
  <c r="AB140" i="65"/>
  <c r="AB99" i="65"/>
  <c r="I140" i="65"/>
  <c r="I99" i="65"/>
  <c r="Y140" i="65"/>
  <c r="Y99" i="65"/>
  <c r="H140" i="65"/>
  <c r="H99" i="65"/>
  <c r="H101" i="65" s="1"/>
  <c r="R140" i="65"/>
  <c r="R99" i="65"/>
  <c r="K140" i="65"/>
  <c r="K99" i="65"/>
  <c r="AA140" i="65"/>
  <c r="AA99" i="65"/>
  <c r="X147" i="65"/>
  <c r="X128" i="65"/>
  <c r="X108" i="65"/>
  <c r="X130" i="65"/>
  <c r="M147" i="65"/>
  <c r="M128" i="65"/>
  <c r="M108" i="65"/>
  <c r="M130" i="65"/>
  <c r="F147" i="65"/>
  <c r="F128" i="65"/>
  <c r="F108" i="65"/>
  <c r="F130" i="65"/>
  <c r="V147" i="65"/>
  <c r="V128" i="65"/>
  <c r="V108" i="65"/>
  <c r="V130" i="65"/>
  <c r="G147" i="65"/>
  <c r="G128" i="65"/>
  <c r="G108" i="65"/>
  <c r="G130" i="65"/>
  <c r="W147" i="65"/>
  <c r="W128" i="65"/>
  <c r="W108" i="65"/>
  <c r="W130" i="65"/>
  <c r="D111" i="65"/>
  <c r="L130" i="47"/>
  <c r="F128" i="47"/>
  <c r="F135" i="47" s="1"/>
  <c r="O108" i="47"/>
  <c r="F108" i="47"/>
  <c r="O130" i="47"/>
  <c r="E108" i="47"/>
  <c r="Z108" i="47"/>
  <c r="Z147" i="47"/>
  <c r="Z111" i="47" s="1"/>
  <c r="D71" i="61"/>
  <c r="U111" i="63"/>
  <c r="N135" i="63"/>
  <c r="N113" i="63"/>
  <c r="D138" i="63"/>
  <c r="P111" i="63"/>
  <c r="K135" i="63"/>
  <c r="K113" i="63"/>
  <c r="Z111" i="63"/>
  <c r="S111" i="63"/>
  <c r="AB113" i="63"/>
  <c r="AB135" i="63"/>
  <c r="W111" i="63"/>
  <c r="F111" i="63"/>
  <c r="O135" i="63"/>
  <c r="O113" i="63"/>
  <c r="AC98" i="63"/>
  <c r="AC141" i="63" s="1"/>
  <c r="Y98" i="63"/>
  <c r="Y141" i="63" s="1"/>
  <c r="U98" i="63"/>
  <c r="U141" i="63" s="1"/>
  <c r="Q98" i="63"/>
  <c r="Q141" i="63" s="1"/>
  <c r="M98" i="63"/>
  <c r="M141" i="63" s="1"/>
  <c r="I98" i="63"/>
  <c r="I141" i="63" s="1"/>
  <c r="E98" i="63"/>
  <c r="E141" i="63" s="1"/>
  <c r="AB97" i="63"/>
  <c r="X97" i="63"/>
  <c r="T97" i="63"/>
  <c r="P97" i="63"/>
  <c r="L97" i="63"/>
  <c r="H97" i="63"/>
  <c r="AB98" i="63"/>
  <c r="AB141" i="63" s="1"/>
  <c r="X98" i="63"/>
  <c r="X141" i="63" s="1"/>
  <c r="T98" i="63"/>
  <c r="T141" i="63" s="1"/>
  <c r="P98" i="63"/>
  <c r="P141" i="63" s="1"/>
  <c r="L98" i="63"/>
  <c r="L141" i="63" s="1"/>
  <c r="H98" i="63"/>
  <c r="H141" i="63" s="1"/>
  <c r="AA97" i="63"/>
  <c r="W97" i="63"/>
  <c r="S97" i="63"/>
  <c r="O97" i="63"/>
  <c r="K97" i="63"/>
  <c r="G97" i="63"/>
  <c r="D94" i="63"/>
  <c r="D137" i="63" s="1"/>
  <c r="Z98" i="63"/>
  <c r="Z141" i="63" s="1"/>
  <c r="N98" i="63"/>
  <c r="N141" i="63" s="1"/>
  <c r="AC97" i="63"/>
  <c r="Q97" i="63"/>
  <c r="I97" i="63"/>
  <c r="D106" i="63"/>
  <c r="AA98" i="63"/>
  <c r="AA141" i="63" s="1"/>
  <c r="W98" i="63"/>
  <c r="W141" i="63" s="1"/>
  <c r="S98" i="63"/>
  <c r="S141" i="63" s="1"/>
  <c r="O98" i="63"/>
  <c r="O141" i="63" s="1"/>
  <c r="K98" i="63"/>
  <c r="K141" i="63" s="1"/>
  <c r="G98" i="63"/>
  <c r="G141" i="63" s="1"/>
  <c r="Z97" i="63"/>
  <c r="V97" i="63"/>
  <c r="R97" i="63"/>
  <c r="N97" i="63"/>
  <c r="J97" i="63"/>
  <c r="F97" i="63"/>
  <c r="V98" i="63"/>
  <c r="V141" i="63" s="1"/>
  <c r="R98" i="63"/>
  <c r="R141" i="63" s="1"/>
  <c r="J98" i="63"/>
  <c r="J141" i="63" s="1"/>
  <c r="F98" i="63"/>
  <c r="F141" i="63" s="1"/>
  <c r="Y97" i="63"/>
  <c r="U97" i="63"/>
  <c r="M97" i="63"/>
  <c r="E97" i="63"/>
  <c r="Z135" i="63"/>
  <c r="Z113" i="63"/>
  <c r="J111" i="63"/>
  <c r="E111" i="63"/>
  <c r="L113" i="63"/>
  <c r="L135" i="63"/>
  <c r="G111" i="63"/>
  <c r="T111" i="63"/>
  <c r="N111" i="63"/>
  <c r="Q135" i="63"/>
  <c r="Q113" i="63"/>
  <c r="P135" i="63"/>
  <c r="P113" i="63"/>
  <c r="K111" i="63"/>
  <c r="M111" i="63"/>
  <c r="AB111" i="63"/>
  <c r="H111" i="63"/>
  <c r="O111" i="63"/>
  <c r="U113" i="63"/>
  <c r="U135" i="63"/>
  <c r="Q111" i="63"/>
  <c r="Y111" i="63"/>
  <c r="M113" i="63"/>
  <c r="M135" i="63"/>
  <c r="J135" i="63"/>
  <c r="J113" i="63"/>
  <c r="E113" i="63"/>
  <c r="E135" i="63"/>
  <c r="L111" i="63"/>
  <c r="G135" i="63"/>
  <c r="G113" i="63"/>
  <c r="V111" i="63"/>
  <c r="F135" i="63"/>
  <c r="F113" i="63"/>
  <c r="R111" i="63"/>
  <c r="D113" i="47"/>
  <c r="D79" i="47"/>
  <c r="X130" i="47"/>
  <c r="Q147" i="47"/>
  <c r="Q111" i="47" s="1"/>
  <c r="J130" i="47"/>
  <c r="N140" i="61"/>
  <c r="N99" i="61"/>
  <c r="G140" i="61"/>
  <c r="G99" i="61"/>
  <c r="W140" i="61"/>
  <c r="W99" i="61"/>
  <c r="H140" i="61"/>
  <c r="H99" i="61"/>
  <c r="X140" i="61"/>
  <c r="X99" i="61"/>
  <c r="Y128" i="61"/>
  <c r="Y147" i="61"/>
  <c r="Y108" i="61"/>
  <c r="Y130" i="61"/>
  <c r="E147" i="61"/>
  <c r="E128" i="61"/>
  <c r="E108" i="61"/>
  <c r="E130" i="61"/>
  <c r="J147" i="61"/>
  <c r="J128" i="61"/>
  <c r="J108" i="61"/>
  <c r="J130" i="61"/>
  <c r="Z147" i="61"/>
  <c r="Z128" i="61"/>
  <c r="Z108" i="61"/>
  <c r="Z130" i="61"/>
  <c r="K147" i="61"/>
  <c r="K128" i="61"/>
  <c r="K108" i="61"/>
  <c r="K130" i="61"/>
  <c r="AA147" i="61"/>
  <c r="AA128" i="61"/>
  <c r="AA108" i="61"/>
  <c r="AA130" i="61"/>
  <c r="H147" i="61"/>
  <c r="H128" i="61"/>
  <c r="H108" i="61"/>
  <c r="H130" i="61"/>
  <c r="X147" i="61"/>
  <c r="X128" i="61"/>
  <c r="X108" i="61"/>
  <c r="X130" i="61"/>
  <c r="Q140" i="61"/>
  <c r="Q99" i="61"/>
  <c r="R140" i="61"/>
  <c r="R99" i="61"/>
  <c r="K140" i="61"/>
  <c r="K99" i="61"/>
  <c r="AA140" i="61"/>
  <c r="AA99" i="61"/>
  <c r="L140" i="61"/>
  <c r="L99" i="61"/>
  <c r="AB140" i="61"/>
  <c r="AB99" i="61"/>
  <c r="Y84" i="61"/>
  <c r="U84" i="61"/>
  <c r="Q84" i="61"/>
  <c r="M84" i="61"/>
  <c r="I84" i="61"/>
  <c r="E82" i="61"/>
  <c r="E84" i="61" s="1"/>
  <c r="AB84" i="61"/>
  <c r="X84" i="61"/>
  <c r="T84" i="61"/>
  <c r="P84" i="61"/>
  <c r="L84" i="61"/>
  <c r="H82" i="61"/>
  <c r="H84" i="61" s="1"/>
  <c r="AA84" i="61"/>
  <c r="W84" i="61"/>
  <c r="S84" i="61"/>
  <c r="O84" i="61"/>
  <c r="K84" i="61"/>
  <c r="G82" i="61"/>
  <c r="G84" i="61" s="1"/>
  <c r="Z84" i="61"/>
  <c r="J84" i="61"/>
  <c r="V84" i="61"/>
  <c r="F82" i="61"/>
  <c r="F84" i="61" s="1"/>
  <c r="N84" i="61"/>
  <c r="D84" i="61"/>
  <c r="R84" i="61"/>
  <c r="M147" i="61"/>
  <c r="M108" i="61"/>
  <c r="M128" i="61"/>
  <c r="M130" i="61"/>
  <c r="U147" i="61"/>
  <c r="U108" i="61"/>
  <c r="U128" i="61"/>
  <c r="U130" i="61"/>
  <c r="N147" i="61"/>
  <c r="N128" i="61"/>
  <c r="N108" i="61"/>
  <c r="N130" i="61"/>
  <c r="D79" i="61"/>
  <c r="O147" i="61"/>
  <c r="O128" i="61"/>
  <c r="O108" i="61"/>
  <c r="O130" i="61"/>
  <c r="L147" i="61"/>
  <c r="L128" i="61"/>
  <c r="L108" i="61"/>
  <c r="L130" i="61"/>
  <c r="AB147" i="61"/>
  <c r="AB128" i="61"/>
  <c r="AB108" i="61"/>
  <c r="AB130" i="61"/>
  <c r="E140" i="61"/>
  <c r="E99" i="61"/>
  <c r="I140" i="61"/>
  <c r="I99" i="61"/>
  <c r="M140" i="61"/>
  <c r="M99" i="61"/>
  <c r="F140" i="61"/>
  <c r="F99" i="61"/>
  <c r="V140" i="61"/>
  <c r="V99" i="61"/>
  <c r="Z105" i="61"/>
  <c r="V105" i="61"/>
  <c r="R105" i="61"/>
  <c r="N105" i="61"/>
  <c r="J105" i="61"/>
  <c r="F105" i="61"/>
  <c r="AC105" i="61"/>
  <c r="Y105" i="61"/>
  <c r="U105" i="61"/>
  <c r="Q105" i="61"/>
  <c r="M105" i="61"/>
  <c r="I105" i="61"/>
  <c r="E105" i="61"/>
  <c r="AB105" i="61"/>
  <c r="X105" i="61"/>
  <c r="T105" i="61"/>
  <c r="P105" i="61"/>
  <c r="L105" i="61"/>
  <c r="H105" i="61"/>
  <c r="S105" i="61"/>
  <c r="O105" i="61"/>
  <c r="AA105" i="61"/>
  <c r="K105" i="61"/>
  <c r="W105" i="61"/>
  <c r="G105" i="61"/>
  <c r="O140" i="61"/>
  <c r="O99" i="61"/>
  <c r="P140" i="61"/>
  <c r="P99" i="61"/>
  <c r="Z138" i="61"/>
  <c r="V138" i="61"/>
  <c r="R138" i="61"/>
  <c r="N138" i="61"/>
  <c r="J138" i="61"/>
  <c r="F138" i="61"/>
  <c r="AA138" i="61"/>
  <c r="U138" i="61"/>
  <c r="P138" i="61"/>
  <c r="K138" i="61"/>
  <c r="E138" i="61"/>
  <c r="Y138" i="61"/>
  <c r="T138" i="61"/>
  <c r="O138" i="61"/>
  <c r="I138" i="61"/>
  <c r="X138" i="61"/>
  <c r="S138" i="61"/>
  <c r="M138" i="61"/>
  <c r="H138" i="61"/>
  <c r="AB138" i="61"/>
  <c r="G138" i="61"/>
  <c r="W138" i="61"/>
  <c r="L138" i="61"/>
  <c r="Q138" i="61"/>
  <c r="R147" i="61"/>
  <c r="R128" i="61"/>
  <c r="R108" i="61"/>
  <c r="R130" i="61"/>
  <c r="S147" i="61"/>
  <c r="S128" i="61"/>
  <c r="S108" i="61"/>
  <c r="S130" i="61"/>
  <c r="D128" i="61"/>
  <c r="P147" i="61"/>
  <c r="P128" i="61"/>
  <c r="P108" i="61"/>
  <c r="P130" i="61"/>
  <c r="J108" i="47"/>
  <c r="U140" i="61"/>
  <c r="U99" i="61"/>
  <c r="Y140" i="61"/>
  <c r="Y99" i="61"/>
  <c r="AC140" i="61"/>
  <c r="AC99" i="61"/>
  <c r="J140" i="61"/>
  <c r="J99" i="61"/>
  <c r="Z140" i="61"/>
  <c r="Z99" i="61"/>
  <c r="D148" i="61"/>
  <c r="D149" i="61" s="1"/>
  <c r="D142" i="61"/>
  <c r="S140" i="61"/>
  <c r="S99" i="61"/>
  <c r="T140" i="61"/>
  <c r="T99" i="61"/>
  <c r="I147" i="61"/>
  <c r="I128" i="61"/>
  <c r="I108" i="61"/>
  <c r="I130" i="61"/>
  <c r="Q147" i="61"/>
  <c r="Q108" i="61"/>
  <c r="Q128" i="61"/>
  <c r="Q130" i="61"/>
  <c r="F147" i="61"/>
  <c r="F128" i="61"/>
  <c r="F108" i="61"/>
  <c r="F130" i="61"/>
  <c r="V147" i="61"/>
  <c r="V128" i="61"/>
  <c r="V108" i="61"/>
  <c r="V130" i="61"/>
  <c r="G147" i="61"/>
  <c r="G128" i="61"/>
  <c r="G108" i="61"/>
  <c r="G130" i="61"/>
  <c r="W128" i="61"/>
  <c r="W108" i="61"/>
  <c r="W147" i="61"/>
  <c r="W130" i="61"/>
  <c r="D68" i="61"/>
  <c r="T147" i="61"/>
  <c r="T128" i="61"/>
  <c r="T108" i="61"/>
  <c r="T130" i="61"/>
  <c r="D111" i="61"/>
  <c r="D68" i="47"/>
  <c r="T108" i="47"/>
  <c r="I108" i="47"/>
  <c r="W128" i="47"/>
  <c r="W135" i="47" s="1"/>
  <c r="X128" i="47"/>
  <c r="X135" i="47" s="1"/>
  <c r="Q130" i="47"/>
  <c r="P147" i="47"/>
  <c r="P111" i="47" s="1"/>
  <c r="G111" i="59"/>
  <c r="V111" i="59"/>
  <c r="AB111" i="59"/>
  <c r="S135" i="59"/>
  <c r="S113" i="59"/>
  <c r="N111" i="59"/>
  <c r="U135" i="59"/>
  <c r="U113" i="59"/>
  <c r="K111" i="59"/>
  <c r="I111" i="59"/>
  <c r="Z111" i="59"/>
  <c r="L113" i="59"/>
  <c r="L135" i="59"/>
  <c r="T111" i="59"/>
  <c r="Y111" i="59"/>
  <c r="O111" i="59"/>
  <c r="T147" i="47"/>
  <c r="T111" i="47" s="1"/>
  <c r="I147" i="47"/>
  <c r="I111" i="47" s="1"/>
  <c r="W108" i="47"/>
  <c r="X108" i="47"/>
  <c r="D71" i="47"/>
  <c r="Q128" i="47"/>
  <c r="Q135" i="47" s="1"/>
  <c r="P130" i="47"/>
  <c r="J147" i="47"/>
  <c r="J111" i="47" s="1"/>
  <c r="R111" i="59"/>
  <c r="D138" i="59"/>
  <c r="D82" i="59"/>
  <c r="M135" i="59"/>
  <c r="M113" i="59"/>
  <c r="T135" i="59"/>
  <c r="T113" i="59"/>
  <c r="F111" i="59"/>
  <c r="J111" i="59"/>
  <c r="W111" i="59"/>
  <c r="AA111" i="59"/>
  <c r="I130" i="47"/>
  <c r="Q135" i="59"/>
  <c r="P111" i="59"/>
  <c r="W135" i="59"/>
  <c r="W113" i="59"/>
  <c r="V135" i="59"/>
  <c r="V113" i="59"/>
  <c r="Z98" i="59"/>
  <c r="Z141" i="59" s="1"/>
  <c r="V98" i="59"/>
  <c r="V141" i="59" s="1"/>
  <c r="R98" i="59"/>
  <c r="R141" i="59" s="1"/>
  <c r="N98" i="59"/>
  <c r="N141" i="59" s="1"/>
  <c r="J98" i="59"/>
  <c r="J141" i="59" s="1"/>
  <c r="F98" i="59"/>
  <c r="F141" i="59" s="1"/>
  <c r="AC97" i="59"/>
  <c r="Y97" i="59"/>
  <c r="U97" i="59"/>
  <c r="Q97" i="59"/>
  <c r="M97" i="59"/>
  <c r="I97" i="59"/>
  <c r="E97" i="59"/>
  <c r="S98" i="59"/>
  <c r="S141" i="59" s="1"/>
  <c r="O98" i="59"/>
  <c r="O141" i="59" s="1"/>
  <c r="G98" i="59"/>
  <c r="G141" i="59" s="1"/>
  <c r="Z97" i="59"/>
  <c r="R97" i="59"/>
  <c r="J97" i="59"/>
  <c r="AC98" i="59"/>
  <c r="AC141" i="59" s="1"/>
  <c r="Y98" i="59"/>
  <c r="Y141" i="59" s="1"/>
  <c r="U98" i="59"/>
  <c r="U141" i="59" s="1"/>
  <c r="Q98" i="59"/>
  <c r="Q141" i="59" s="1"/>
  <c r="M98" i="59"/>
  <c r="M141" i="59" s="1"/>
  <c r="I98" i="59"/>
  <c r="I141" i="59" s="1"/>
  <c r="E98" i="59"/>
  <c r="E141" i="59" s="1"/>
  <c r="AB97" i="59"/>
  <c r="X97" i="59"/>
  <c r="T97" i="59"/>
  <c r="P97" i="59"/>
  <c r="L97" i="59"/>
  <c r="H97" i="59"/>
  <c r="AB98" i="59"/>
  <c r="AB141" i="59" s="1"/>
  <c r="X98" i="59"/>
  <c r="X141" i="59" s="1"/>
  <c r="T98" i="59"/>
  <c r="T141" i="59" s="1"/>
  <c r="P98" i="59"/>
  <c r="P141" i="59" s="1"/>
  <c r="L98" i="59"/>
  <c r="L141" i="59" s="1"/>
  <c r="H98" i="59"/>
  <c r="H141" i="59" s="1"/>
  <c r="AA97" i="59"/>
  <c r="W97" i="59"/>
  <c r="S97" i="59"/>
  <c r="O97" i="59"/>
  <c r="K97" i="59"/>
  <c r="G97" i="59"/>
  <c r="D94" i="59"/>
  <c r="D137" i="59" s="1"/>
  <c r="D106" i="59"/>
  <c r="AA98" i="59"/>
  <c r="AA141" i="59" s="1"/>
  <c r="W98" i="59"/>
  <c r="W141" i="59" s="1"/>
  <c r="K98" i="59"/>
  <c r="K141" i="59" s="1"/>
  <c r="V97" i="59"/>
  <c r="N97" i="59"/>
  <c r="F97" i="59"/>
  <c r="M111" i="59"/>
  <c r="U111" i="59"/>
  <c r="I135" i="59"/>
  <c r="I113" i="59"/>
  <c r="H111" i="59"/>
  <c r="E111" i="59"/>
  <c r="H82" i="47"/>
  <c r="H84" i="47" s="1"/>
  <c r="L84" i="47"/>
  <c r="P84" i="47"/>
  <c r="T84" i="47"/>
  <c r="X84" i="47"/>
  <c r="AB84" i="47"/>
  <c r="E82" i="47"/>
  <c r="E84" i="47" s="1"/>
  <c r="I84" i="47"/>
  <c r="M84" i="47"/>
  <c r="Q84" i="47"/>
  <c r="U84" i="47"/>
  <c r="Y84" i="47"/>
  <c r="F82" i="47"/>
  <c r="F84" i="47" s="1"/>
  <c r="J84" i="47"/>
  <c r="N84" i="47"/>
  <c r="R84" i="47"/>
  <c r="V84" i="47"/>
  <c r="Z84" i="47"/>
  <c r="G82" i="47"/>
  <c r="G84" i="47" s="1"/>
  <c r="K84" i="47"/>
  <c r="O84" i="47"/>
  <c r="S84" i="47"/>
  <c r="W84" i="47"/>
  <c r="AA84" i="47"/>
  <c r="F55" i="40"/>
  <c r="G30" i="40"/>
  <c r="E99" i="47"/>
  <c r="D84" i="47"/>
  <c r="AA99" i="47"/>
  <c r="AA140" i="47"/>
  <c r="P99" i="47"/>
  <c r="P140" i="47"/>
  <c r="E140" i="47"/>
  <c r="U99" i="47"/>
  <c r="U140" i="47"/>
  <c r="X99" i="47"/>
  <c r="X140" i="47"/>
  <c r="J99" i="47"/>
  <c r="J140" i="47"/>
  <c r="Z99" i="47"/>
  <c r="Z140" i="47"/>
  <c r="O99" i="47"/>
  <c r="O140" i="47"/>
  <c r="H99" i="47"/>
  <c r="H140" i="47"/>
  <c r="Q99" i="47"/>
  <c r="Q140" i="47"/>
  <c r="W99" i="47"/>
  <c r="W140" i="47"/>
  <c r="L99" i="47"/>
  <c r="L140" i="47"/>
  <c r="F99" i="47"/>
  <c r="F140" i="47"/>
  <c r="V99" i="47"/>
  <c r="V140" i="47"/>
  <c r="S99" i="47"/>
  <c r="S140" i="47"/>
  <c r="M99" i="47"/>
  <c r="M140" i="47"/>
  <c r="AC99" i="47"/>
  <c r="AC140" i="47"/>
  <c r="K99" i="47"/>
  <c r="K140" i="47"/>
  <c r="V105" i="47"/>
  <c r="N105" i="47"/>
  <c r="F105" i="47"/>
  <c r="U105" i="47"/>
  <c r="K105" i="47"/>
  <c r="Q105" i="47"/>
  <c r="T105" i="47"/>
  <c r="I105" i="47"/>
  <c r="G105" i="47"/>
  <c r="X105" i="47"/>
  <c r="M105" i="47"/>
  <c r="AB105" i="47"/>
  <c r="Z105" i="47"/>
  <c r="R105" i="47"/>
  <c r="J105" i="47"/>
  <c r="AA105" i="47"/>
  <c r="P105" i="47"/>
  <c r="E105" i="47"/>
  <c r="Y105" i="47"/>
  <c r="O105" i="47"/>
  <c r="W105" i="47"/>
  <c r="AC105" i="47"/>
  <c r="S105" i="47"/>
  <c r="H105" i="47"/>
  <c r="L105" i="47"/>
  <c r="R140" i="47"/>
  <c r="R99" i="47"/>
  <c r="AB99" i="47"/>
  <c r="AB140" i="47"/>
  <c r="G99" i="47"/>
  <c r="G140" i="47"/>
  <c r="T99" i="47"/>
  <c r="T140" i="47"/>
  <c r="I99" i="47"/>
  <c r="I140" i="47"/>
  <c r="Y99" i="47"/>
  <c r="Y140" i="47"/>
  <c r="N99" i="47"/>
  <c r="N140" i="47"/>
  <c r="F30" i="41"/>
  <c r="F59" i="41" s="1"/>
  <c r="J24" i="39"/>
  <c r="R32" i="41"/>
  <c r="G30" i="36"/>
  <c r="F60" i="36"/>
  <c r="G27" i="36"/>
  <c r="R25" i="41"/>
  <c r="S24" i="40"/>
  <c r="S32" i="40"/>
  <c r="S33" i="39"/>
  <c r="R25" i="39"/>
  <c r="S32" i="38"/>
  <c r="S24" i="38"/>
  <c r="R24" i="36"/>
  <c r="T32" i="36"/>
  <c r="F49" i="45" l="1"/>
  <c r="I32" i="45"/>
  <c r="T135" i="63"/>
  <c r="AA113" i="63"/>
  <c r="W113" i="63"/>
  <c r="D113" i="59"/>
  <c r="I135" i="63"/>
  <c r="I113" i="63"/>
  <c r="X135" i="63"/>
  <c r="X113" i="63"/>
  <c r="S113" i="63"/>
  <c r="S135" i="63"/>
  <c r="R135" i="63"/>
  <c r="R113" i="63"/>
  <c r="D131" i="63"/>
  <c r="D151" i="63"/>
  <c r="Y113" i="63"/>
  <c r="V113" i="63"/>
  <c r="Y32" i="39"/>
  <c r="R113" i="47"/>
  <c r="R135" i="47"/>
  <c r="I113" i="47"/>
  <c r="I135" i="47"/>
  <c r="J135" i="47"/>
  <c r="J113" i="47"/>
  <c r="O135" i="47"/>
  <c r="O113" i="47"/>
  <c r="V135" i="47"/>
  <c r="V113" i="47"/>
  <c r="K113" i="47"/>
  <c r="K135" i="47"/>
  <c r="AA135" i="47"/>
  <c r="AA113" i="47"/>
  <c r="P135" i="47"/>
  <c r="P113" i="47"/>
  <c r="Z113" i="47"/>
  <c r="Z135" i="47"/>
  <c r="J113" i="59"/>
  <c r="O135" i="59"/>
  <c r="Y113" i="59"/>
  <c r="F113" i="59"/>
  <c r="K101" i="65"/>
  <c r="AA111" i="63"/>
  <c r="D131" i="47"/>
  <c r="K113" i="59"/>
  <c r="D27" i="41"/>
  <c r="D22" i="45"/>
  <c r="D27" i="45" s="1"/>
  <c r="D135" i="63"/>
  <c r="N113" i="59"/>
  <c r="E135" i="47"/>
  <c r="D129" i="47"/>
  <c r="C48" i="47" s="1"/>
  <c r="C56" i="47" s="1"/>
  <c r="X113" i="59"/>
  <c r="D129" i="63"/>
  <c r="C48" i="63" s="1"/>
  <c r="C56" i="63" s="1"/>
  <c r="P113" i="59"/>
  <c r="H113" i="63"/>
  <c r="D118" i="63"/>
  <c r="G18" i="41"/>
  <c r="F20" i="41"/>
  <c r="F21" i="41" s="1"/>
  <c r="C54" i="45"/>
  <c r="H113" i="59"/>
  <c r="G113" i="47"/>
  <c r="AB135" i="59"/>
  <c r="D151" i="59"/>
  <c r="AA113" i="59"/>
  <c r="R113" i="59"/>
  <c r="D131" i="59"/>
  <c r="Z135" i="59"/>
  <c r="D118" i="59"/>
  <c r="D72" i="59" s="1"/>
  <c r="G113" i="59"/>
  <c r="D129" i="59"/>
  <c r="C48" i="59" s="1"/>
  <c r="C56" i="59" s="1"/>
  <c r="E113" i="59"/>
  <c r="Z101" i="61"/>
  <c r="U135" i="47"/>
  <c r="I138" i="47"/>
  <c r="I142" i="47" s="1"/>
  <c r="F56" i="38"/>
  <c r="G30" i="38"/>
  <c r="L111" i="59"/>
  <c r="S113" i="47"/>
  <c r="AB135" i="47"/>
  <c r="L101" i="65"/>
  <c r="M113" i="47"/>
  <c r="S101" i="65"/>
  <c r="D142" i="47"/>
  <c r="AB138" i="47"/>
  <c r="AB142" i="47" s="1"/>
  <c r="S138" i="47"/>
  <c r="S142" i="47" s="1"/>
  <c r="I101" i="65"/>
  <c r="I109" i="65" s="1"/>
  <c r="G101" i="65"/>
  <c r="G110" i="65" s="1"/>
  <c r="R138" i="47"/>
  <c r="R142" i="47" s="1"/>
  <c r="AA138" i="47"/>
  <c r="AA148" i="47" s="1"/>
  <c r="AA149" i="47" s="1"/>
  <c r="AA150" i="47" s="1"/>
  <c r="J138" i="47"/>
  <c r="J142" i="47" s="1"/>
  <c r="P101" i="65"/>
  <c r="P110" i="65" s="1"/>
  <c r="W138" i="47"/>
  <c r="W148" i="47" s="1"/>
  <c r="W149" i="47" s="1"/>
  <c r="W150" i="47" s="1"/>
  <c r="N138" i="47"/>
  <c r="N142" i="47" s="1"/>
  <c r="E138" i="47"/>
  <c r="E148" i="47" s="1"/>
  <c r="E149" i="47" s="1"/>
  <c r="R101" i="65"/>
  <c r="R109" i="65" s="1"/>
  <c r="AB101" i="65"/>
  <c r="AB110" i="65" s="1"/>
  <c r="X138" i="47"/>
  <c r="X148" i="47" s="1"/>
  <c r="X149" i="47" s="1"/>
  <c r="X150" i="47" s="1"/>
  <c r="O138" i="47"/>
  <c r="O142" i="47" s="1"/>
  <c r="F138" i="47"/>
  <c r="F142" i="47" s="1"/>
  <c r="T138" i="47"/>
  <c r="T142" i="47" s="1"/>
  <c r="K138" i="47"/>
  <c r="K148" i="47" s="1"/>
  <c r="K149" i="47" s="1"/>
  <c r="K150" i="47" s="1"/>
  <c r="Y138" i="47"/>
  <c r="Y142" i="47" s="1"/>
  <c r="D148" i="47"/>
  <c r="D149" i="47" s="1"/>
  <c r="D150" i="47" s="1"/>
  <c r="P138" i="47"/>
  <c r="P142" i="47" s="1"/>
  <c r="G138" i="47"/>
  <c r="G148" i="47" s="1"/>
  <c r="G149" i="47" s="1"/>
  <c r="G150" i="47" s="1"/>
  <c r="U138" i="47"/>
  <c r="U148" i="47" s="1"/>
  <c r="U149" i="47" s="1"/>
  <c r="U150" i="47" s="1"/>
  <c r="AA101" i="65"/>
  <c r="AA109" i="65" s="1"/>
  <c r="Y101" i="65"/>
  <c r="Y110" i="65" s="1"/>
  <c r="U101" i="65"/>
  <c r="U109" i="65" s="1"/>
  <c r="L138" i="47"/>
  <c r="L142" i="47" s="1"/>
  <c r="Z138" i="47"/>
  <c r="Z142" i="47" s="1"/>
  <c r="Q138" i="47"/>
  <c r="Q148" i="47" s="1"/>
  <c r="Q149" i="47" s="1"/>
  <c r="Q150" i="47" s="1"/>
  <c r="H138" i="47"/>
  <c r="H142" i="47" s="1"/>
  <c r="V138" i="47"/>
  <c r="V142" i="47" s="1"/>
  <c r="Q101" i="65"/>
  <c r="Q110" i="65" s="1"/>
  <c r="Y113" i="47"/>
  <c r="H135" i="47"/>
  <c r="T113" i="47"/>
  <c r="L113" i="47"/>
  <c r="N135" i="47"/>
  <c r="G31" i="39"/>
  <c r="F57" i="39"/>
  <c r="X113" i="47"/>
  <c r="Q113" i="47"/>
  <c r="F113" i="47"/>
  <c r="G22" i="39"/>
  <c r="F28" i="39"/>
  <c r="F22" i="38"/>
  <c r="E27" i="38"/>
  <c r="F22" i="40"/>
  <c r="E27" i="40"/>
  <c r="AC101" i="61"/>
  <c r="AC110" i="61" s="1"/>
  <c r="J101" i="65"/>
  <c r="X101" i="65"/>
  <c r="X109" i="65" s="1"/>
  <c r="Z101" i="65"/>
  <c r="Z110" i="65" s="1"/>
  <c r="D151" i="65"/>
  <c r="D131" i="65"/>
  <c r="W101" i="65"/>
  <c r="W110" i="65" s="1"/>
  <c r="D150" i="65"/>
  <c r="W113" i="65"/>
  <c r="W135" i="65"/>
  <c r="V111" i="65"/>
  <c r="M135" i="65"/>
  <c r="M113" i="65"/>
  <c r="D135" i="65"/>
  <c r="D129" i="65"/>
  <c r="C48" i="65" s="1"/>
  <c r="C56" i="65" s="1"/>
  <c r="D113" i="65"/>
  <c r="S135" i="65"/>
  <c r="S113" i="65"/>
  <c r="O135" i="65"/>
  <c r="O113" i="65"/>
  <c r="N111" i="65"/>
  <c r="P135" i="65"/>
  <c r="P113" i="65"/>
  <c r="U135" i="65"/>
  <c r="U113" i="65"/>
  <c r="H111" i="65"/>
  <c r="Y148" i="65"/>
  <c r="Y149" i="65" s="1"/>
  <c r="Y150" i="65" s="1"/>
  <c r="Y142" i="65"/>
  <c r="J148" i="65"/>
  <c r="J149" i="65" s="1"/>
  <c r="J150" i="65" s="1"/>
  <c r="J142" i="65"/>
  <c r="Z148" i="65"/>
  <c r="Z149" i="65" s="1"/>
  <c r="Z150" i="65" s="1"/>
  <c r="Z142" i="65"/>
  <c r="S148" i="65"/>
  <c r="S149" i="65" s="1"/>
  <c r="S150" i="65" s="1"/>
  <c r="S142" i="65"/>
  <c r="L148" i="65"/>
  <c r="L149" i="65" s="1"/>
  <c r="L150" i="65" s="1"/>
  <c r="L142" i="65"/>
  <c r="AB148" i="65"/>
  <c r="AB149" i="65" s="1"/>
  <c r="AB150" i="65" s="1"/>
  <c r="AB142" i="65"/>
  <c r="AA113" i="65"/>
  <c r="AA135" i="65"/>
  <c r="K113" i="65"/>
  <c r="K135" i="65"/>
  <c r="J111" i="65"/>
  <c r="C45" i="65"/>
  <c r="F101" i="65"/>
  <c r="AC101" i="65"/>
  <c r="G113" i="65"/>
  <c r="G135" i="65"/>
  <c r="F111" i="65"/>
  <c r="S111" i="65"/>
  <c r="L135" i="65"/>
  <c r="L113" i="65"/>
  <c r="R135" i="65"/>
  <c r="R113" i="65"/>
  <c r="Y111" i="65"/>
  <c r="P111" i="65"/>
  <c r="E135" i="65"/>
  <c r="E113" i="65"/>
  <c r="E148" i="65"/>
  <c r="E149" i="65" s="1"/>
  <c r="E150" i="65" s="1"/>
  <c r="E142" i="65"/>
  <c r="M148" i="65"/>
  <c r="M149" i="65" s="1"/>
  <c r="M150" i="65" s="1"/>
  <c r="M142" i="65"/>
  <c r="N148" i="65"/>
  <c r="N149" i="65" s="1"/>
  <c r="N150" i="65" s="1"/>
  <c r="N142" i="65"/>
  <c r="G148" i="65"/>
  <c r="G149" i="65" s="1"/>
  <c r="G150" i="65" s="1"/>
  <c r="G142" i="65"/>
  <c r="W148" i="65"/>
  <c r="W149" i="65" s="1"/>
  <c r="W150" i="65" s="1"/>
  <c r="W142" i="65"/>
  <c r="P148" i="65"/>
  <c r="P149" i="65" s="1"/>
  <c r="P150" i="65" s="1"/>
  <c r="P142" i="65"/>
  <c r="S110" i="65"/>
  <c r="S109" i="65"/>
  <c r="L110" i="65"/>
  <c r="L109" i="65"/>
  <c r="J110" i="65"/>
  <c r="J109" i="65"/>
  <c r="AA111" i="65"/>
  <c r="Z135" i="65"/>
  <c r="Z113" i="65"/>
  <c r="Q111" i="65"/>
  <c r="AB135" i="65"/>
  <c r="AB113" i="65"/>
  <c r="D88" i="65"/>
  <c r="D90" i="65" s="1"/>
  <c r="AC148" i="65"/>
  <c r="AC149" i="65" s="1"/>
  <c r="AC150" i="65" s="1"/>
  <c r="AC142" i="65"/>
  <c r="U101" i="61"/>
  <c r="U109" i="61" s="1"/>
  <c r="P101" i="61"/>
  <c r="P110" i="61" s="1"/>
  <c r="W111" i="65"/>
  <c r="V135" i="65"/>
  <c r="V113" i="65"/>
  <c r="M111" i="65"/>
  <c r="X135" i="65"/>
  <c r="X113" i="65"/>
  <c r="L111" i="65"/>
  <c r="Y135" i="65"/>
  <c r="Y113" i="65"/>
  <c r="I111" i="65"/>
  <c r="T135" i="65"/>
  <c r="T113" i="65"/>
  <c r="N109" i="65"/>
  <c r="N110" i="65"/>
  <c r="D99" i="65"/>
  <c r="E101" i="65"/>
  <c r="O111" i="65"/>
  <c r="N135" i="65"/>
  <c r="N113" i="65"/>
  <c r="U111" i="65"/>
  <c r="U148" i="65"/>
  <c r="U149" i="65" s="1"/>
  <c r="U150" i="65" s="1"/>
  <c r="U142" i="65"/>
  <c r="Q148" i="65"/>
  <c r="Q149" i="65" s="1"/>
  <c r="Q150" i="65" s="1"/>
  <c r="Q142" i="65"/>
  <c r="R148" i="65"/>
  <c r="R149" i="65" s="1"/>
  <c r="R150" i="65" s="1"/>
  <c r="R142" i="65"/>
  <c r="K148" i="65"/>
  <c r="K149" i="65" s="1"/>
  <c r="K150" i="65" s="1"/>
  <c r="K142" i="65"/>
  <c r="AA148" i="65"/>
  <c r="AA149" i="65" s="1"/>
  <c r="AA150" i="65" s="1"/>
  <c r="AA142" i="65"/>
  <c r="T148" i="65"/>
  <c r="T149" i="65" s="1"/>
  <c r="T150" i="65" s="1"/>
  <c r="T142" i="65"/>
  <c r="K111" i="65"/>
  <c r="J135" i="65"/>
  <c r="J113" i="65"/>
  <c r="AB111" i="65"/>
  <c r="V101" i="65"/>
  <c r="T101" i="65"/>
  <c r="M101" i="65"/>
  <c r="G111" i="65"/>
  <c r="F135" i="65"/>
  <c r="F113" i="65"/>
  <c r="X111" i="65"/>
  <c r="K110" i="65"/>
  <c r="K109" i="65"/>
  <c r="H110" i="65"/>
  <c r="H109" i="65"/>
  <c r="R111" i="65"/>
  <c r="I135" i="65"/>
  <c r="I113" i="65"/>
  <c r="T111" i="65"/>
  <c r="E111" i="65"/>
  <c r="H135" i="65"/>
  <c r="H113" i="65"/>
  <c r="I142" i="65"/>
  <c r="I148" i="65"/>
  <c r="I149" i="65" s="1"/>
  <c r="I150" i="65" s="1"/>
  <c r="F148" i="65"/>
  <c r="F149" i="65" s="1"/>
  <c r="F150" i="65" s="1"/>
  <c r="F142" i="65"/>
  <c r="V148" i="65"/>
  <c r="V149" i="65" s="1"/>
  <c r="V150" i="65" s="1"/>
  <c r="V142" i="65"/>
  <c r="O148" i="65"/>
  <c r="O149" i="65" s="1"/>
  <c r="O150" i="65" s="1"/>
  <c r="O142" i="65"/>
  <c r="H148" i="65"/>
  <c r="H149" i="65" s="1"/>
  <c r="H150" i="65" s="1"/>
  <c r="H142" i="65"/>
  <c r="X148" i="65"/>
  <c r="X149" i="65" s="1"/>
  <c r="X150" i="65" s="1"/>
  <c r="X142" i="65"/>
  <c r="Z111" i="65"/>
  <c r="Q135" i="65"/>
  <c r="Q113" i="65"/>
  <c r="O101" i="65"/>
  <c r="E113" i="47"/>
  <c r="T101" i="61"/>
  <c r="T109" i="61" s="1"/>
  <c r="J101" i="61"/>
  <c r="Y101" i="61"/>
  <c r="Y110" i="61" s="1"/>
  <c r="S101" i="61"/>
  <c r="S110" i="61" s="1"/>
  <c r="M140" i="63"/>
  <c r="M99" i="63"/>
  <c r="J140" i="63"/>
  <c r="J99" i="63"/>
  <c r="Z140" i="63"/>
  <c r="Z99" i="63"/>
  <c r="I140" i="63"/>
  <c r="I99" i="63"/>
  <c r="O140" i="63"/>
  <c r="O99" i="63"/>
  <c r="P140" i="63"/>
  <c r="P99" i="63"/>
  <c r="Y138" i="63"/>
  <c r="U138" i="63"/>
  <c r="Q138" i="63"/>
  <c r="M138" i="63"/>
  <c r="I138" i="63"/>
  <c r="E138" i="63"/>
  <c r="AB138" i="63"/>
  <c r="X138" i="63"/>
  <c r="T138" i="63"/>
  <c r="P138" i="63"/>
  <c r="L138" i="63"/>
  <c r="H138" i="63"/>
  <c r="W138" i="63"/>
  <c r="O138" i="63"/>
  <c r="G138" i="63"/>
  <c r="V138" i="63"/>
  <c r="N138" i="63"/>
  <c r="F138" i="63"/>
  <c r="AA138" i="63"/>
  <c r="S138" i="63"/>
  <c r="K138" i="63"/>
  <c r="Z138" i="63"/>
  <c r="J138" i="63"/>
  <c r="R138" i="63"/>
  <c r="U140" i="63"/>
  <c r="U99" i="63"/>
  <c r="N140" i="63"/>
  <c r="N99" i="63"/>
  <c r="Q99" i="63"/>
  <c r="Q140" i="63"/>
  <c r="D148" i="63"/>
  <c r="D149" i="63" s="1"/>
  <c r="D142" i="63"/>
  <c r="S140" i="63"/>
  <c r="S99" i="63"/>
  <c r="T140" i="63"/>
  <c r="T99" i="63"/>
  <c r="Y140" i="63"/>
  <c r="Y99" i="63"/>
  <c r="R140" i="63"/>
  <c r="R99" i="63"/>
  <c r="AC140" i="63"/>
  <c r="AC99" i="63"/>
  <c r="G140" i="63"/>
  <c r="G99" i="63"/>
  <c r="W140" i="63"/>
  <c r="W99" i="63"/>
  <c r="H140" i="63"/>
  <c r="H99" i="63"/>
  <c r="X140" i="63"/>
  <c r="X99" i="63"/>
  <c r="V101" i="61"/>
  <c r="V110" i="61" s="1"/>
  <c r="E140" i="63"/>
  <c r="E99" i="63"/>
  <c r="F140" i="63"/>
  <c r="F99" i="63"/>
  <c r="V140" i="63"/>
  <c r="V99" i="63"/>
  <c r="Z105" i="63"/>
  <c r="V105" i="63"/>
  <c r="R105" i="63"/>
  <c r="N105" i="63"/>
  <c r="J105" i="63"/>
  <c r="F105" i="63"/>
  <c r="AC105" i="63"/>
  <c r="Y105" i="63"/>
  <c r="U105" i="63"/>
  <c r="Q105" i="63"/>
  <c r="M105" i="63"/>
  <c r="I105" i="63"/>
  <c r="E105" i="63"/>
  <c r="W105" i="63"/>
  <c r="O105" i="63"/>
  <c r="G105" i="63"/>
  <c r="AB105" i="63"/>
  <c r="X105" i="63"/>
  <c r="T105" i="63"/>
  <c r="P105" i="63"/>
  <c r="L105" i="63"/>
  <c r="H105" i="63"/>
  <c r="AA105" i="63"/>
  <c r="S105" i="63"/>
  <c r="K105" i="63"/>
  <c r="K140" i="63"/>
  <c r="K99" i="63"/>
  <c r="AA140" i="63"/>
  <c r="AA99" i="63"/>
  <c r="L140" i="63"/>
  <c r="L99" i="63"/>
  <c r="AB140" i="63"/>
  <c r="AB99" i="63"/>
  <c r="Y82" i="63"/>
  <c r="Y84" i="63" s="1"/>
  <c r="U82" i="63"/>
  <c r="U84" i="63" s="1"/>
  <c r="Q82" i="63"/>
  <c r="Q84" i="63" s="1"/>
  <c r="M82" i="63"/>
  <c r="M84" i="63" s="1"/>
  <c r="I82" i="63"/>
  <c r="I84" i="63" s="1"/>
  <c r="E82" i="63"/>
  <c r="E84" i="63" s="1"/>
  <c r="AB82" i="63"/>
  <c r="AB84" i="63" s="1"/>
  <c r="X82" i="63"/>
  <c r="X84" i="63" s="1"/>
  <c r="T82" i="63"/>
  <c r="T84" i="63" s="1"/>
  <c r="P82" i="63"/>
  <c r="P84" i="63" s="1"/>
  <c r="L82" i="63"/>
  <c r="L84" i="63" s="1"/>
  <c r="H82" i="63"/>
  <c r="H84" i="63" s="1"/>
  <c r="D84" i="63"/>
  <c r="AA82" i="63"/>
  <c r="AA84" i="63" s="1"/>
  <c r="W82" i="63"/>
  <c r="W84" i="63" s="1"/>
  <c r="S82" i="63"/>
  <c r="S84" i="63" s="1"/>
  <c r="O82" i="63"/>
  <c r="O84" i="63" s="1"/>
  <c r="K82" i="63"/>
  <c r="K84" i="63" s="1"/>
  <c r="G82" i="63"/>
  <c r="G84" i="63" s="1"/>
  <c r="Z82" i="63"/>
  <c r="Z84" i="63" s="1"/>
  <c r="V82" i="63"/>
  <c r="V84" i="63" s="1"/>
  <c r="R82" i="63"/>
  <c r="R84" i="63" s="1"/>
  <c r="N82" i="63"/>
  <c r="N84" i="63" s="1"/>
  <c r="J82" i="63"/>
  <c r="J84" i="63" s="1"/>
  <c r="F82" i="63"/>
  <c r="F84" i="63" s="1"/>
  <c r="D131" i="61"/>
  <c r="O101" i="61"/>
  <c r="O110" i="61" s="1"/>
  <c r="D151" i="47"/>
  <c r="D151" i="61"/>
  <c r="W111" i="61"/>
  <c r="V135" i="61"/>
  <c r="V113" i="61"/>
  <c r="F135" i="61"/>
  <c r="F113" i="61"/>
  <c r="Q135" i="61"/>
  <c r="Q113" i="61"/>
  <c r="AC142" i="61"/>
  <c r="AC148" i="61"/>
  <c r="AC149" i="61" s="1"/>
  <c r="AC150" i="61" s="1"/>
  <c r="P135" i="61"/>
  <c r="P113" i="61"/>
  <c r="D135" i="61"/>
  <c r="D129" i="61"/>
  <c r="C48" i="61" s="1"/>
  <c r="C56" i="61" s="1"/>
  <c r="D113" i="61"/>
  <c r="Q142" i="61"/>
  <c r="Q148" i="61"/>
  <c r="Q149" i="61" s="1"/>
  <c r="Q150" i="61" s="1"/>
  <c r="AB148" i="61"/>
  <c r="AB149" i="61" s="1"/>
  <c r="AB150" i="61" s="1"/>
  <c r="AB142" i="61"/>
  <c r="X148" i="61"/>
  <c r="X149" i="61" s="1"/>
  <c r="X150" i="61" s="1"/>
  <c r="X142" i="61"/>
  <c r="Y148" i="61"/>
  <c r="Y149" i="61" s="1"/>
  <c r="Y150" i="61" s="1"/>
  <c r="Y142" i="61"/>
  <c r="U142" i="61"/>
  <c r="U148" i="61"/>
  <c r="U149" i="61" s="1"/>
  <c r="U150" i="61" s="1"/>
  <c r="N148" i="61"/>
  <c r="N149" i="61" s="1"/>
  <c r="N150" i="61" s="1"/>
  <c r="N142" i="61"/>
  <c r="L111" i="61"/>
  <c r="U111" i="61"/>
  <c r="C45" i="61"/>
  <c r="H135" i="61"/>
  <c r="H113" i="61"/>
  <c r="K111" i="61"/>
  <c r="Z135" i="61"/>
  <c r="Z113" i="61"/>
  <c r="J135" i="61"/>
  <c r="J113" i="61"/>
  <c r="T111" i="61"/>
  <c r="V111" i="61"/>
  <c r="J109" i="61"/>
  <c r="J110" i="61"/>
  <c r="S111" i="61"/>
  <c r="L148" i="61"/>
  <c r="L149" i="61" s="1"/>
  <c r="L150" i="61" s="1"/>
  <c r="L142" i="61"/>
  <c r="H142" i="61"/>
  <c r="H148" i="61"/>
  <c r="H149" i="61" s="1"/>
  <c r="H150" i="61" s="1"/>
  <c r="I148" i="61"/>
  <c r="I142" i="61"/>
  <c r="E148" i="61"/>
  <c r="E149" i="61" s="1"/>
  <c r="E150" i="61" s="1"/>
  <c r="E142" i="61"/>
  <c r="AA142" i="61"/>
  <c r="AA148" i="61"/>
  <c r="AA149" i="61" s="1"/>
  <c r="AA150" i="61" s="1"/>
  <c r="R148" i="61"/>
  <c r="R149" i="61" s="1"/>
  <c r="R150" i="61" s="1"/>
  <c r="R142" i="61"/>
  <c r="M101" i="61"/>
  <c r="E101" i="61"/>
  <c r="D99" i="61"/>
  <c r="AB135" i="61"/>
  <c r="AB113" i="61"/>
  <c r="O111" i="61"/>
  <c r="U135" i="61"/>
  <c r="U113" i="61"/>
  <c r="M111" i="61"/>
  <c r="D88" i="61"/>
  <c r="D90" i="61" s="1"/>
  <c r="AB101" i="61"/>
  <c r="AA101" i="61"/>
  <c r="R101" i="61"/>
  <c r="X111" i="61"/>
  <c r="AA135" i="61"/>
  <c r="AA113" i="61"/>
  <c r="Z111" i="61"/>
  <c r="E135" i="61"/>
  <c r="E113" i="61"/>
  <c r="X101" i="61"/>
  <c r="W101" i="61"/>
  <c r="N101" i="61"/>
  <c r="W135" i="61"/>
  <c r="W113" i="61"/>
  <c r="G135" i="61"/>
  <c r="G113" i="61"/>
  <c r="F111" i="61"/>
  <c r="I113" i="61"/>
  <c r="I135" i="61"/>
  <c r="P111" i="61"/>
  <c r="R135" i="61"/>
  <c r="R113" i="61"/>
  <c r="W148" i="61"/>
  <c r="W149" i="61" s="1"/>
  <c r="W150" i="61" s="1"/>
  <c r="W142" i="61"/>
  <c r="M142" i="61"/>
  <c r="M148" i="61"/>
  <c r="M149" i="61" s="1"/>
  <c r="M150" i="61" s="1"/>
  <c r="O148" i="61"/>
  <c r="O149" i="61" s="1"/>
  <c r="O150" i="61" s="1"/>
  <c r="O142" i="61"/>
  <c r="K142" i="61"/>
  <c r="K148" i="61"/>
  <c r="K149" i="61" s="1"/>
  <c r="K150" i="61" s="1"/>
  <c r="F148" i="61"/>
  <c r="F149" i="61" s="1"/>
  <c r="F142" i="61"/>
  <c r="V148" i="61"/>
  <c r="V149" i="61" s="1"/>
  <c r="V150" i="61" s="1"/>
  <c r="V142" i="61"/>
  <c r="L135" i="61"/>
  <c r="L113" i="61"/>
  <c r="N113" i="61"/>
  <c r="N135" i="61"/>
  <c r="M135" i="61"/>
  <c r="M113" i="61"/>
  <c r="H111" i="61"/>
  <c r="K135" i="61"/>
  <c r="K113" i="61"/>
  <c r="J111" i="61"/>
  <c r="Y111" i="61"/>
  <c r="D150" i="61"/>
  <c r="T135" i="61"/>
  <c r="T113" i="61"/>
  <c r="G111" i="61"/>
  <c r="Q111" i="61"/>
  <c r="I149" i="61"/>
  <c r="I150" i="61" s="1"/>
  <c r="I111" i="61"/>
  <c r="Z109" i="61"/>
  <c r="Z110" i="61"/>
  <c r="D118" i="61"/>
  <c r="S135" i="61"/>
  <c r="S113" i="61"/>
  <c r="R111" i="61"/>
  <c r="G142" i="61"/>
  <c r="G148" i="61"/>
  <c r="G149" i="61" s="1"/>
  <c r="G150" i="61" s="1"/>
  <c r="S142" i="61"/>
  <c r="S148" i="61"/>
  <c r="S149" i="61" s="1"/>
  <c r="S150" i="61" s="1"/>
  <c r="T148" i="61"/>
  <c r="T149" i="61" s="1"/>
  <c r="T150" i="61" s="1"/>
  <c r="T142" i="61"/>
  <c r="P148" i="61"/>
  <c r="P149" i="61" s="1"/>
  <c r="P150" i="61" s="1"/>
  <c r="P142" i="61"/>
  <c r="J142" i="61"/>
  <c r="J148" i="61"/>
  <c r="J149" i="61" s="1"/>
  <c r="J150" i="61" s="1"/>
  <c r="Z148" i="61"/>
  <c r="Z149" i="61" s="1"/>
  <c r="Z150" i="61" s="1"/>
  <c r="Z142" i="61"/>
  <c r="F101" i="61"/>
  <c r="I101" i="61"/>
  <c r="AB111" i="61"/>
  <c r="O135" i="61"/>
  <c r="O113" i="61"/>
  <c r="N111" i="61"/>
  <c r="L101" i="61"/>
  <c r="K101" i="61"/>
  <c r="Q101" i="61"/>
  <c r="X135" i="61"/>
  <c r="X113" i="61"/>
  <c r="AA111" i="61"/>
  <c r="E111" i="61"/>
  <c r="Y135" i="61"/>
  <c r="Y113" i="61"/>
  <c r="H101" i="61"/>
  <c r="G101" i="61"/>
  <c r="X140" i="59"/>
  <c r="X99" i="59"/>
  <c r="W140" i="59"/>
  <c r="W99" i="59"/>
  <c r="H140" i="59"/>
  <c r="H99" i="59"/>
  <c r="I140" i="59"/>
  <c r="I99" i="59"/>
  <c r="D118" i="47"/>
  <c r="N140" i="59"/>
  <c r="N99" i="59"/>
  <c r="K140" i="59"/>
  <c r="K99" i="59"/>
  <c r="AB140" i="59"/>
  <c r="AB99" i="59"/>
  <c r="J140" i="59"/>
  <c r="J99" i="59"/>
  <c r="M140" i="59"/>
  <c r="M99" i="59"/>
  <c r="AC140" i="59"/>
  <c r="AC99" i="59"/>
  <c r="W113" i="47"/>
  <c r="V140" i="59"/>
  <c r="V99" i="59"/>
  <c r="AA105" i="59"/>
  <c r="W105" i="59"/>
  <c r="S105" i="59"/>
  <c r="O105" i="59"/>
  <c r="K105" i="59"/>
  <c r="G105" i="59"/>
  <c r="AB105" i="59"/>
  <c r="T105" i="59"/>
  <c r="L105" i="59"/>
  <c r="Z105" i="59"/>
  <c r="V105" i="59"/>
  <c r="R105" i="59"/>
  <c r="N105" i="59"/>
  <c r="J105" i="59"/>
  <c r="F105" i="59"/>
  <c r="AC105" i="59"/>
  <c r="Y105" i="59"/>
  <c r="U105" i="59"/>
  <c r="Q105" i="59"/>
  <c r="M105" i="59"/>
  <c r="I105" i="59"/>
  <c r="E105" i="59"/>
  <c r="X105" i="59"/>
  <c r="P105" i="59"/>
  <c r="H105" i="59"/>
  <c r="O140" i="59"/>
  <c r="O99" i="59"/>
  <c r="P140" i="59"/>
  <c r="P99" i="59"/>
  <c r="R140" i="59"/>
  <c r="R99" i="59"/>
  <c r="Q99" i="59"/>
  <c r="Q140" i="59"/>
  <c r="Y138" i="59"/>
  <c r="U138" i="59"/>
  <c r="Q138" i="59"/>
  <c r="M138" i="59"/>
  <c r="I138" i="59"/>
  <c r="E138" i="59"/>
  <c r="AB138" i="59"/>
  <c r="X138" i="59"/>
  <c r="T138" i="59"/>
  <c r="P138" i="59"/>
  <c r="L138" i="59"/>
  <c r="H138" i="59"/>
  <c r="AA138" i="59"/>
  <c r="W138" i="59"/>
  <c r="S138" i="59"/>
  <c r="O138" i="59"/>
  <c r="K138" i="59"/>
  <c r="G138" i="59"/>
  <c r="V138" i="59"/>
  <c r="F138" i="59"/>
  <c r="R138" i="59"/>
  <c r="N138" i="59"/>
  <c r="Z138" i="59"/>
  <c r="J138" i="59"/>
  <c r="F140" i="59"/>
  <c r="F99" i="59"/>
  <c r="G140" i="59"/>
  <c r="G99" i="59"/>
  <c r="Y140" i="59"/>
  <c r="Y99" i="59"/>
  <c r="AA140" i="59"/>
  <c r="AA99" i="59"/>
  <c r="L140" i="59"/>
  <c r="L99" i="59"/>
  <c r="D84" i="59"/>
  <c r="Z82" i="59"/>
  <c r="Z84" i="59" s="1"/>
  <c r="V82" i="59"/>
  <c r="V84" i="59" s="1"/>
  <c r="R82" i="59"/>
  <c r="R84" i="59" s="1"/>
  <c r="N82" i="59"/>
  <c r="N84" i="59" s="1"/>
  <c r="J82" i="59"/>
  <c r="J84" i="59" s="1"/>
  <c r="F82" i="59"/>
  <c r="F84" i="59" s="1"/>
  <c r="AA82" i="59"/>
  <c r="AA84" i="59" s="1"/>
  <c r="W82" i="59"/>
  <c r="W84" i="59" s="1"/>
  <c r="O82" i="59"/>
  <c r="O84" i="59" s="1"/>
  <c r="G82" i="59"/>
  <c r="G84" i="59" s="1"/>
  <c r="Y82" i="59"/>
  <c r="Y84" i="59" s="1"/>
  <c r="U82" i="59"/>
  <c r="U84" i="59" s="1"/>
  <c r="Q82" i="59"/>
  <c r="Q84" i="59" s="1"/>
  <c r="M82" i="59"/>
  <c r="M84" i="59" s="1"/>
  <c r="I82" i="59"/>
  <c r="I84" i="59" s="1"/>
  <c r="E82" i="59"/>
  <c r="E84" i="59" s="1"/>
  <c r="AB82" i="59"/>
  <c r="AB84" i="59" s="1"/>
  <c r="X82" i="59"/>
  <c r="X84" i="59" s="1"/>
  <c r="T82" i="59"/>
  <c r="T84" i="59" s="1"/>
  <c r="P82" i="59"/>
  <c r="P84" i="59" s="1"/>
  <c r="L82" i="59"/>
  <c r="L84" i="59" s="1"/>
  <c r="H82" i="59"/>
  <c r="H84" i="59" s="1"/>
  <c r="S82" i="59"/>
  <c r="S84" i="59" s="1"/>
  <c r="K82" i="59"/>
  <c r="K84" i="59" s="1"/>
  <c r="D148" i="59"/>
  <c r="D149" i="59" s="1"/>
  <c r="D142" i="59"/>
  <c r="S140" i="59"/>
  <c r="S99" i="59"/>
  <c r="T140" i="59"/>
  <c r="T99" i="59"/>
  <c r="Z140" i="59"/>
  <c r="Z99" i="59"/>
  <c r="E140" i="59"/>
  <c r="E99" i="59"/>
  <c r="U140" i="59"/>
  <c r="U99" i="59"/>
  <c r="AB101" i="47"/>
  <c r="AB109" i="47" s="1"/>
  <c r="C45" i="47"/>
  <c r="C53" i="47" s="1"/>
  <c r="D88" i="47"/>
  <c r="D90" i="47" s="1"/>
  <c r="H30" i="40"/>
  <c r="G55" i="40"/>
  <c r="I101" i="47"/>
  <c r="I109" i="47" s="1"/>
  <c r="AC101" i="47"/>
  <c r="AC109" i="47" s="1"/>
  <c r="N101" i="47"/>
  <c r="N109" i="47" s="1"/>
  <c r="R101" i="47"/>
  <c r="R110" i="47" s="1"/>
  <c r="Q101" i="47"/>
  <c r="Q109" i="47" s="1"/>
  <c r="K101" i="47"/>
  <c r="M101" i="47"/>
  <c r="S101" i="47"/>
  <c r="V101" i="47"/>
  <c r="F101" i="47"/>
  <c r="L101" i="47"/>
  <c r="W101" i="47"/>
  <c r="H101" i="47"/>
  <c r="O101" i="47"/>
  <c r="Z101" i="47"/>
  <c r="J101" i="47"/>
  <c r="X101" i="47"/>
  <c r="U101" i="47"/>
  <c r="D99" i="47"/>
  <c r="E101" i="47"/>
  <c r="E109" i="47" s="1"/>
  <c r="P101" i="47"/>
  <c r="AA101" i="47"/>
  <c r="Y101" i="47"/>
  <c r="T101" i="47"/>
  <c r="G101" i="47"/>
  <c r="AC148" i="47"/>
  <c r="AC149" i="47" s="1"/>
  <c r="AC150" i="47" s="1"/>
  <c r="AC142" i="47"/>
  <c r="M148" i="47"/>
  <c r="M149" i="47" s="1"/>
  <c r="M150" i="47" s="1"/>
  <c r="M142" i="47"/>
  <c r="K24" i="39"/>
  <c r="H30" i="36"/>
  <c r="G60" i="36"/>
  <c r="H27" i="36"/>
  <c r="S32" i="41"/>
  <c r="G30" i="41"/>
  <c r="G59" i="41" s="1"/>
  <c r="S25" i="41"/>
  <c r="T32" i="40"/>
  <c r="T24" i="40"/>
  <c r="T32" i="38"/>
  <c r="S25" i="39"/>
  <c r="T33" i="39"/>
  <c r="T24" i="38"/>
  <c r="U32" i="36"/>
  <c r="S24" i="36"/>
  <c r="D72" i="65" l="1"/>
  <c r="D69" i="65"/>
  <c r="D69" i="63"/>
  <c r="D72" i="63"/>
  <c r="Z32" i="39"/>
  <c r="D72" i="61"/>
  <c r="D69" i="61"/>
  <c r="U110" i="61"/>
  <c r="D72" i="47"/>
  <c r="D69" i="47"/>
  <c r="R110" i="65"/>
  <c r="G109" i="65"/>
  <c r="E27" i="41"/>
  <c r="H18" i="41"/>
  <c r="G20" i="41"/>
  <c r="G21" i="41" s="1"/>
  <c r="I148" i="47"/>
  <c r="I149" i="47" s="1"/>
  <c r="I150" i="47" s="1"/>
  <c r="P148" i="47"/>
  <c r="P149" i="47" s="1"/>
  <c r="P150" i="47" s="1"/>
  <c r="O148" i="47"/>
  <c r="O149" i="47" s="1"/>
  <c r="O150" i="47" s="1"/>
  <c r="V148" i="47"/>
  <c r="V149" i="47" s="1"/>
  <c r="V150" i="47" s="1"/>
  <c r="U142" i="47"/>
  <c r="T110" i="61"/>
  <c r="J148" i="47"/>
  <c r="J149" i="47" s="1"/>
  <c r="J150" i="47" s="1"/>
  <c r="W142" i="47"/>
  <c r="Y109" i="61"/>
  <c r="V109" i="61"/>
  <c r="AC109" i="61"/>
  <c r="Z148" i="47"/>
  <c r="Z149" i="47" s="1"/>
  <c r="Z150" i="47" s="1"/>
  <c r="G56" i="38"/>
  <c r="H30" i="38"/>
  <c r="P109" i="65"/>
  <c r="S148" i="47"/>
  <c r="S149" i="47" s="1"/>
  <c r="S150" i="47" s="1"/>
  <c r="AA110" i="65"/>
  <c r="F148" i="47"/>
  <c r="F149" i="47" s="1"/>
  <c r="F150" i="47" s="1"/>
  <c r="U110" i="65"/>
  <c r="K142" i="47"/>
  <c r="Q109" i="65"/>
  <c r="N148" i="47"/>
  <c r="N149" i="47" s="1"/>
  <c r="N150" i="47" s="1"/>
  <c r="Y148" i="47"/>
  <c r="Y149" i="47" s="1"/>
  <c r="Y150" i="47" s="1"/>
  <c r="E142" i="47"/>
  <c r="I110" i="65"/>
  <c r="L148" i="47"/>
  <c r="L149" i="47" s="1"/>
  <c r="L150" i="47" s="1"/>
  <c r="AB148" i="47"/>
  <c r="AB149" i="47" s="1"/>
  <c r="AB150" i="47" s="1"/>
  <c r="Y109" i="65"/>
  <c r="W109" i="65"/>
  <c r="T148" i="47"/>
  <c r="T149" i="47" s="1"/>
  <c r="T150" i="47" s="1"/>
  <c r="H148" i="47"/>
  <c r="H149" i="47" s="1"/>
  <c r="H150" i="47" s="1"/>
  <c r="X142" i="47"/>
  <c r="Q142" i="47"/>
  <c r="AB109" i="65"/>
  <c r="AA142" i="47"/>
  <c r="R148" i="47"/>
  <c r="R149" i="47" s="1"/>
  <c r="R150" i="47" s="1"/>
  <c r="X110" i="65"/>
  <c r="Z109" i="65"/>
  <c r="G142" i="47"/>
  <c r="I110" i="47"/>
  <c r="AB110" i="47"/>
  <c r="H31" i="39"/>
  <c r="G57" i="39"/>
  <c r="G22" i="38"/>
  <c r="F27" i="38"/>
  <c r="G22" i="40"/>
  <c r="F27" i="40"/>
  <c r="H22" i="39"/>
  <c r="G28" i="39"/>
  <c r="T101" i="59"/>
  <c r="T110" i="59" s="1"/>
  <c r="S109" i="61"/>
  <c r="P109" i="61"/>
  <c r="V109" i="65"/>
  <c r="V110" i="65"/>
  <c r="C53" i="65"/>
  <c r="D159" i="65"/>
  <c r="O109" i="61"/>
  <c r="M110" i="65"/>
  <c r="M109" i="65"/>
  <c r="D101" i="65"/>
  <c r="C44" i="65"/>
  <c r="C52" i="65" s="1"/>
  <c r="AC110" i="65"/>
  <c r="AC109" i="65"/>
  <c r="D157" i="65"/>
  <c r="D162" i="65"/>
  <c r="C156" i="65"/>
  <c r="D161" i="65"/>
  <c r="D153" i="65"/>
  <c r="D160" i="65"/>
  <c r="E109" i="65"/>
  <c r="E110" i="65"/>
  <c r="C155" i="65"/>
  <c r="U101" i="59"/>
  <c r="U110" i="59" s="1"/>
  <c r="O110" i="65"/>
  <c r="O109" i="65"/>
  <c r="T110" i="65"/>
  <c r="T109" i="65"/>
  <c r="F109" i="65"/>
  <c r="F110" i="65"/>
  <c r="D152" i="65"/>
  <c r="D158" i="65"/>
  <c r="AB101" i="63"/>
  <c r="AB110" i="63" s="1"/>
  <c r="AA101" i="63"/>
  <c r="AA109" i="63" s="1"/>
  <c r="L101" i="63"/>
  <c r="L110" i="63" s="1"/>
  <c r="K101" i="63"/>
  <c r="K110" i="63" s="1"/>
  <c r="H101" i="63"/>
  <c r="G101" i="63"/>
  <c r="R101" i="63"/>
  <c r="T101" i="63"/>
  <c r="N101" i="63"/>
  <c r="R148" i="63"/>
  <c r="R149" i="63" s="1"/>
  <c r="R150" i="63" s="1"/>
  <c r="R142" i="63"/>
  <c r="S148" i="63"/>
  <c r="S149" i="63" s="1"/>
  <c r="S150" i="63" s="1"/>
  <c r="S142" i="63"/>
  <c r="V148" i="63"/>
  <c r="V149" i="63" s="1"/>
  <c r="V150" i="63" s="1"/>
  <c r="V142" i="63"/>
  <c r="H148" i="63"/>
  <c r="H149" i="63" s="1"/>
  <c r="H150" i="63" s="1"/>
  <c r="H142" i="63"/>
  <c r="X148" i="63"/>
  <c r="X149" i="63" s="1"/>
  <c r="X150" i="63" s="1"/>
  <c r="X142" i="63"/>
  <c r="M148" i="63"/>
  <c r="M149" i="63" s="1"/>
  <c r="M150" i="63" s="1"/>
  <c r="M142" i="63"/>
  <c r="P101" i="63"/>
  <c r="I101" i="63"/>
  <c r="J101" i="63"/>
  <c r="D88" i="63"/>
  <c r="D90" i="63" s="1"/>
  <c r="C45" i="63"/>
  <c r="F101" i="63"/>
  <c r="D150" i="63"/>
  <c r="J142" i="63"/>
  <c r="J148" i="63"/>
  <c r="J149" i="63" s="1"/>
  <c r="J150" i="63" s="1"/>
  <c r="AA148" i="63"/>
  <c r="AA149" i="63" s="1"/>
  <c r="AA150" i="63" s="1"/>
  <c r="AA142" i="63"/>
  <c r="G148" i="63"/>
  <c r="G149" i="63" s="1"/>
  <c r="G150" i="63" s="1"/>
  <c r="G142" i="63"/>
  <c r="L142" i="63"/>
  <c r="L148" i="63"/>
  <c r="L149" i="63" s="1"/>
  <c r="L150" i="63" s="1"/>
  <c r="AB148" i="63"/>
  <c r="AB149" i="63" s="1"/>
  <c r="AB150" i="63" s="1"/>
  <c r="AB142" i="63"/>
  <c r="Q148" i="63"/>
  <c r="Q149" i="63" s="1"/>
  <c r="Q150" i="63" s="1"/>
  <c r="Q142" i="63"/>
  <c r="AB109" i="63"/>
  <c r="AA110" i="63"/>
  <c r="X101" i="63"/>
  <c r="W101" i="63"/>
  <c r="AC101" i="63"/>
  <c r="Y101" i="63"/>
  <c r="S101" i="63"/>
  <c r="U101" i="63"/>
  <c r="Z148" i="63"/>
  <c r="Z149" i="63" s="1"/>
  <c r="Z150" i="63" s="1"/>
  <c r="Z142" i="63"/>
  <c r="F142" i="63"/>
  <c r="F148" i="63"/>
  <c r="F149" i="63" s="1"/>
  <c r="F150" i="63" s="1"/>
  <c r="O148" i="63"/>
  <c r="O149" i="63" s="1"/>
  <c r="O150" i="63" s="1"/>
  <c r="O142" i="63"/>
  <c r="P148" i="63"/>
  <c r="P149" i="63" s="1"/>
  <c r="P150" i="63" s="1"/>
  <c r="P142" i="63"/>
  <c r="E148" i="63"/>
  <c r="E149" i="63" s="1"/>
  <c r="E150" i="63" s="1"/>
  <c r="E142" i="63"/>
  <c r="U148" i="63"/>
  <c r="U149" i="63" s="1"/>
  <c r="U150" i="63" s="1"/>
  <c r="U142" i="63"/>
  <c r="O101" i="63"/>
  <c r="Z101" i="63"/>
  <c r="M101" i="63"/>
  <c r="V101" i="63"/>
  <c r="E101" i="63"/>
  <c r="D99" i="63"/>
  <c r="AC148" i="63"/>
  <c r="AC149" i="63" s="1"/>
  <c r="AC150" i="63" s="1"/>
  <c r="AC142" i="63"/>
  <c r="Q101" i="63"/>
  <c r="K148" i="63"/>
  <c r="K149" i="63" s="1"/>
  <c r="K150" i="63" s="1"/>
  <c r="K142" i="63"/>
  <c r="N148" i="63"/>
  <c r="N149" i="63" s="1"/>
  <c r="N150" i="63" s="1"/>
  <c r="N142" i="63"/>
  <c r="W148" i="63"/>
  <c r="W149" i="63" s="1"/>
  <c r="W150" i="63" s="1"/>
  <c r="W142" i="63"/>
  <c r="T148" i="63"/>
  <c r="T149" i="63" s="1"/>
  <c r="T150" i="63" s="1"/>
  <c r="T142" i="63"/>
  <c r="I148" i="63"/>
  <c r="I149" i="63" s="1"/>
  <c r="I150" i="63" s="1"/>
  <c r="I142" i="63"/>
  <c r="Y148" i="63"/>
  <c r="Y149" i="63" s="1"/>
  <c r="Y150" i="63" s="1"/>
  <c r="Y142" i="63"/>
  <c r="F150" i="61"/>
  <c r="D162" i="61" s="1"/>
  <c r="D157" i="61"/>
  <c r="X110" i="61"/>
  <c r="X109" i="61"/>
  <c r="Z101" i="59"/>
  <c r="Z110" i="59" s="1"/>
  <c r="K110" i="61"/>
  <c r="K109" i="61"/>
  <c r="I110" i="61"/>
  <c r="I109" i="61"/>
  <c r="D152" i="61"/>
  <c r="D158" i="61"/>
  <c r="R110" i="61"/>
  <c r="R109" i="61"/>
  <c r="D101" i="61"/>
  <c r="C44" i="61"/>
  <c r="C52" i="61" s="1"/>
  <c r="G110" i="61"/>
  <c r="G109" i="61"/>
  <c r="L110" i="61"/>
  <c r="L109" i="61"/>
  <c r="F110" i="61"/>
  <c r="F109" i="61"/>
  <c r="C155" i="61"/>
  <c r="N110" i="61"/>
  <c r="N109" i="61"/>
  <c r="AA110" i="61"/>
  <c r="AA109" i="61"/>
  <c r="E110" i="61"/>
  <c r="E109" i="61"/>
  <c r="C53" i="61"/>
  <c r="Q110" i="61"/>
  <c r="Q109" i="61"/>
  <c r="H110" i="61"/>
  <c r="H109" i="61"/>
  <c r="D159" i="61"/>
  <c r="W110" i="61"/>
  <c r="W109" i="61"/>
  <c r="AB110" i="61"/>
  <c r="AB109" i="61"/>
  <c r="M110" i="61"/>
  <c r="M109" i="61"/>
  <c r="C45" i="59"/>
  <c r="C53" i="59" s="1"/>
  <c r="D150" i="59"/>
  <c r="L101" i="59"/>
  <c r="Y101" i="59"/>
  <c r="F101" i="59"/>
  <c r="N148" i="59"/>
  <c r="N149" i="59" s="1"/>
  <c r="N150" i="59" s="1"/>
  <c r="N142" i="59"/>
  <c r="G142" i="59"/>
  <c r="G148" i="59"/>
  <c r="G149" i="59" s="1"/>
  <c r="G150" i="59" s="1"/>
  <c r="W148" i="59"/>
  <c r="W149" i="59" s="1"/>
  <c r="W150" i="59" s="1"/>
  <c r="W142" i="59"/>
  <c r="P148" i="59"/>
  <c r="P149" i="59" s="1"/>
  <c r="P150" i="59" s="1"/>
  <c r="P142" i="59"/>
  <c r="E142" i="59"/>
  <c r="E148" i="59"/>
  <c r="E149" i="59" s="1"/>
  <c r="E150" i="59" s="1"/>
  <c r="U148" i="59"/>
  <c r="U149" i="59" s="1"/>
  <c r="U150" i="59" s="1"/>
  <c r="U142" i="59"/>
  <c r="R101" i="59"/>
  <c r="O101" i="59"/>
  <c r="AC148" i="59"/>
  <c r="AC149" i="59" s="1"/>
  <c r="AC150" i="59" s="1"/>
  <c r="AC142" i="59"/>
  <c r="I101" i="59"/>
  <c r="W101" i="59"/>
  <c r="S101" i="59"/>
  <c r="R148" i="59"/>
  <c r="R149" i="59" s="1"/>
  <c r="R150" i="59" s="1"/>
  <c r="R142" i="59"/>
  <c r="K148" i="59"/>
  <c r="K149" i="59" s="1"/>
  <c r="K150" i="59" s="1"/>
  <c r="K142" i="59"/>
  <c r="AA148" i="59"/>
  <c r="AA149" i="59" s="1"/>
  <c r="AA150" i="59" s="1"/>
  <c r="AA142" i="59"/>
  <c r="T148" i="59"/>
  <c r="T149" i="59" s="1"/>
  <c r="T150" i="59" s="1"/>
  <c r="T142" i="59"/>
  <c r="I142" i="59"/>
  <c r="I148" i="59"/>
  <c r="I149" i="59" s="1"/>
  <c r="I150" i="59" s="1"/>
  <c r="Y148" i="59"/>
  <c r="Y149" i="59" s="1"/>
  <c r="Y150" i="59" s="1"/>
  <c r="Y142" i="59"/>
  <c r="M101" i="59"/>
  <c r="AB101" i="59"/>
  <c r="N101" i="59"/>
  <c r="AA101" i="59"/>
  <c r="G101" i="59"/>
  <c r="J142" i="59"/>
  <c r="J148" i="59"/>
  <c r="J149" i="59" s="1"/>
  <c r="J150" i="59" s="1"/>
  <c r="F148" i="59"/>
  <c r="F149" i="59" s="1"/>
  <c r="F150" i="59" s="1"/>
  <c r="F142" i="59"/>
  <c r="O148" i="59"/>
  <c r="O149" i="59" s="1"/>
  <c r="O150" i="59" s="1"/>
  <c r="O142" i="59"/>
  <c r="H142" i="59"/>
  <c r="H148" i="59"/>
  <c r="H149" i="59" s="1"/>
  <c r="H150" i="59" s="1"/>
  <c r="X148" i="59"/>
  <c r="X149" i="59" s="1"/>
  <c r="X150" i="59" s="1"/>
  <c r="X142" i="59"/>
  <c r="M148" i="59"/>
  <c r="M149" i="59" s="1"/>
  <c r="M150" i="59" s="1"/>
  <c r="M142" i="59"/>
  <c r="P101" i="59"/>
  <c r="H101" i="59"/>
  <c r="X101" i="59"/>
  <c r="E101" i="59"/>
  <c r="D99" i="59"/>
  <c r="D88" i="59"/>
  <c r="D90" i="59" s="1"/>
  <c r="Z148" i="59"/>
  <c r="Z149" i="59" s="1"/>
  <c r="Z150" i="59" s="1"/>
  <c r="Z142" i="59"/>
  <c r="V148" i="59"/>
  <c r="V149" i="59" s="1"/>
  <c r="V150" i="59" s="1"/>
  <c r="V142" i="59"/>
  <c r="S148" i="59"/>
  <c r="S149" i="59" s="1"/>
  <c r="S150" i="59" s="1"/>
  <c r="S142" i="59"/>
  <c r="L142" i="59"/>
  <c r="L148" i="59"/>
  <c r="L149" i="59" s="1"/>
  <c r="L150" i="59" s="1"/>
  <c r="AB148" i="59"/>
  <c r="AB149" i="59" s="1"/>
  <c r="AB150" i="59" s="1"/>
  <c r="AB142" i="59"/>
  <c r="Q148" i="59"/>
  <c r="Q149" i="59" s="1"/>
  <c r="Q150" i="59" s="1"/>
  <c r="Q142" i="59"/>
  <c r="Q101" i="59"/>
  <c r="V101" i="59"/>
  <c r="AC101" i="59"/>
  <c r="J101" i="59"/>
  <c r="K101" i="59"/>
  <c r="E150" i="47"/>
  <c r="I30" i="40"/>
  <c r="H55" i="40"/>
  <c r="AC110" i="47"/>
  <c r="R109" i="47"/>
  <c r="D101" i="47"/>
  <c r="D109" i="47" s="1"/>
  <c r="C44" i="47"/>
  <c r="N110" i="47"/>
  <c r="Q110" i="47"/>
  <c r="G109" i="47"/>
  <c r="G110" i="47"/>
  <c r="Y109" i="47"/>
  <c r="Y110" i="47"/>
  <c r="P110" i="47"/>
  <c r="P109" i="47"/>
  <c r="X110" i="47"/>
  <c r="X109" i="47"/>
  <c r="Z109" i="47"/>
  <c r="Z110" i="47"/>
  <c r="H110" i="47"/>
  <c r="H109" i="47"/>
  <c r="L110" i="47"/>
  <c r="L109" i="47"/>
  <c r="V110" i="47"/>
  <c r="V109" i="47"/>
  <c r="M110" i="47"/>
  <c r="M109" i="47"/>
  <c r="T110" i="47"/>
  <c r="T109" i="47"/>
  <c r="AA109" i="47"/>
  <c r="AA110" i="47"/>
  <c r="E110" i="47"/>
  <c r="U109" i="47"/>
  <c r="U110" i="47"/>
  <c r="J110" i="47"/>
  <c r="J109" i="47"/>
  <c r="O110" i="47"/>
  <c r="O109" i="47"/>
  <c r="W109" i="47"/>
  <c r="W110" i="47"/>
  <c r="F109" i="47"/>
  <c r="F110" i="47"/>
  <c r="S110" i="47"/>
  <c r="S109" i="47"/>
  <c r="K110" i="47"/>
  <c r="K109" i="47"/>
  <c r="I27" i="36"/>
  <c r="L24" i="39"/>
  <c r="H30" i="41"/>
  <c r="H59" i="41" s="1"/>
  <c r="T32" i="41"/>
  <c r="I30" i="36"/>
  <c r="H60" i="36"/>
  <c r="T25" i="41"/>
  <c r="U24" i="40"/>
  <c r="U32" i="40"/>
  <c r="U33" i="39"/>
  <c r="T25" i="39"/>
  <c r="U32" i="38"/>
  <c r="U24" i="38"/>
  <c r="T24" i="36"/>
  <c r="V32" i="36"/>
  <c r="AA32" i="39" l="1"/>
  <c r="T109" i="59"/>
  <c r="F27" i="41"/>
  <c r="I18" i="41"/>
  <c r="H20" i="41"/>
  <c r="H21" i="41" s="1"/>
  <c r="D153" i="61"/>
  <c r="I30" i="38"/>
  <c r="I56" i="38" s="1"/>
  <c r="H56" i="38"/>
  <c r="D161" i="61"/>
  <c r="D152" i="47"/>
  <c r="D157" i="47"/>
  <c r="D42" i="69" s="1"/>
  <c r="C155" i="47"/>
  <c r="D40" i="69" s="1"/>
  <c r="D159" i="47"/>
  <c r="D44" i="69" s="1"/>
  <c r="D158" i="47"/>
  <c r="D43" i="69" s="1"/>
  <c r="D161" i="47"/>
  <c r="D46" i="69" s="1"/>
  <c r="C54" i="65"/>
  <c r="K109" i="63"/>
  <c r="D153" i="47"/>
  <c r="H57" i="39"/>
  <c r="I31" i="39"/>
  <c r="C156" i="61"/>
  <c r="D160" i="61"/>
  <c r="H22" i="40"/>
  <c r="G27" i="40"/>
  <c r="D162" i="47"/>
  <c r="D47" i="69" s="1"/>
  <c r="D160" i="47"/>
  <c r="D45" i="69" s="1"/>
  <c r="C156" i="47"/>
  <c r="D41" i="69" s="1"/>
  <c r="I22" i="39"/>
  <c r="H28" i="39"/>
  <c r="H22" i="38"/>
  <c r="G27" i="38"/>
  <c r="U109" i="59"/>
  <c r="Z109" i="59"/>
  <c r="L109" i="63"/>
  <c r="C46" i="65"/>
  <c r="D110" i="65"/>
  <c r="D61" i="65" s="1"/>
  <c r="D63" i="65" s="1"/>
  <c r="D109" i="65"/>
  <c r="D60" i="65" s="1"/>
  <c r="Q110" i="63"/>
  <c r="Q109" i="63"/>
  <c r="E110" i="63"/>
  <c r="E109" i="63"/>
  <c r="O110" i="63"/>
  <c r="O109" i="63"/>
  <c r="AC110" i="63"/>
  <c r="AC109" i="63"/>
  <c r="D152" i="63"/>
  <c r="D158" i="63"/>
  <c r="J110" i="63"/>
  <c r="J109" i="63"/>
  <c r="T110" i="63"/>
  <c r="T109" i="63"/>
  <c r="V110" i="63"/>
  <c r="V109" i="63"/>
  <c r="U110" i="63"/>
  <c r="U109" i="63"/>
  <c r="W110" i="63"/>
  <c r="W109" i="63"/>
  <c r="D159" i="63"/>
  <c r="F110" i="63"/>
  <c r="F109" i="63"/>
  <c r="I110" i="63"/>
  <c r="I109" i="63"/>
  <c r="R110" i="63"/>
  <c r="R109" i="63"/>
  <c r="M110" i="63"/>
  <c r="M109" i="63"/>
  <c r="S110" i="63"/>
  <c r="S109" i="63"/>
  <c r="X110" i="63"/>
  <c r="X109" i="63"/>
  <c r="C155" i="63"/>
  <c r="C53" i="63"/>
  <c r="P109" i="63"/>
  <c r="P110" i="63"/>
  <c r="G110" i="63"/>
  <c r="G109" i="63"/>
  <c r="D101" i="63"/>
  <c r="C44" i="63"/>
  <c r="C52" i="63" s="1"/>
  <c r="Z110" i="63"/>
  <c r="Z109" i="63"/>
  <c r="Y110" i="63"/>
  <c r="Y109" i="63"/>
  <c r="D157" i="63"/>
  <c r="D162" i="63"/>
  <c r="C156" i="63"/>
  <c r="D161" i="63"/>
  <c r="D153" i="63"/>
  <c r="D160" i="63"/>
  <c r="N109" i="63"/>
  <c r="N110" i="63"/>
  <c r="H109" i="63"/>
  <c r="H110" i="63"/>
  <c r="C54" i="61"/>
  <c r="D110" i="61"/>
  <c r="D61" i="61" s="1"/>
  <c r="D63" i="61" s="1"/>
  <c r="D109" i="61"/>
  <c r="D60" i="61" s="1"/>
  <c r="C46" i="61"/>
  <c r="K110" i="59"/>
  <c r="K109" i="59"/>
  <c r="Q110" i="59"/>
  <c r="Q109" i="59"/>
  <c r="X110" i="59"/>
  <c r="X109" i="59"/>
  <c r="AA110" i="59"/>
  <c r="AA109" i="59"/>
  <c r="S109" i="59"/>
  <c r="S110" i="59"/>
  <c r="Y110" i="59"/>
  <c r="Y109" i="59"/>
  <c r="D159" i="59"/>
  <c r="J110" i="59"/>
  <c r="J109" i="59"/>
  <c r="H110" i="59"/>
  <c r="H109" i="59"/>
  <c r="N110" i="59"/>
  <c r="N109" i="59"/>
  <c r="W109" i="59"/>
  <c r="W110" i="59"/>
  <c r="O110" i="59"/>
  <c r="O109" i="59"/>
  <c r="L110" i="59"/>
  <c r="L109" i="59"/>
  <c r="C155" i="59"/>
  <c r="AC110" i="59"/>
  <c r="AC109" i="59"/>
  <c r="C44" i="59"/>
  <c r="D101" i="59"/>
  <c r="P110" i="59"/>
  <c r="P109" i="59"/>
  <c r="AB110" i="59"/>
  <c r="AB109" i="59"/>
  <c r="I110" i="59"/>
  <c r="I109" i="59"/>
  <c r="R110" i="59"/>
  <c r="R109" i="59"/>
  <c r="D157" i="59"/>
  <c r="D162" i="59"/>
  <c r="C156" i="59"/>
  <c r="D161" i="59"/>
  <c r="D153" i="59"/>
  <c r="D160" i="59"/>
  <c r="V110" i="59"/>
  <c r="V109" i="59"/>
  <c r="E110" i="59"/>
  <c r="E109" i="59"/>
  <c r="G110" i="59"/>
  <c r="G109" i="59"/>
  <c r="M110" i="59"/>
  <c r="M109" i="59"/>
  <c r="F110" i="59"/>
  <c r="F109" i="59"/>
  <c r="D152" i="59"/>
  <c r="D158" i="59"/>
  <c r="J30" i="40"/>
  <c r="J55" i="40" s="1"/>
  <c r="I55" i="40"/>
  <c r="D110" i="47"/>
  <c r="D61" i="47" s="1"/>
  <c r="D63" i="47" s="1"/>
  <c r="D60" i="47"/>
  <c r="C52" i="47"/>
  <c r="C54" i="47" s="1"/>
  <c r="C46" i="47"/>
  <c r="I30" i="41"/>
  <c r="I59" i="41" s="1"/>
  <c r="U32" i="41"/>
  <c r="J30" i="36"/>
  <c r="I60" i="36"/>
  <c r="M24" i="39"/>
  <c r="J27" i="36"/>
  <c r="U25" i="41"/>
  <c r="V32" i="40"/>
  <c r="V24" i="40"/>
  <c r="V32" i="38"/>
  <c r="U25" i="39"/>
  <c r="V33" i="39"/>
  <c r="V24" i="38"/>
  <c r="W32" i="36"/>
  <c r="U24" i="36"/>
  <c r="AB32" i="39" l="1"/>
  <c r="G27" i="41"/>
  <c r="J18" i="41"/>
  <c r="I20" i="41"/>
  <c r="I21" i="41" s="1"/>
  <c r="J30" i="38"/>
  <c r="J56" i="38" s="1"/>
  <c r="J31" i="39"/>
  <c r="J57" i="39" s="1"/>
  <c r="I57" i="39"/>
  <c r="I22" i="38"/>
  <c r="H27" i="38"/>
  <c r="J22" i="39"/>
  <c r="I28" i="39"/>
  <c r="I22" i="40"/>
  <c r="H27" i="40"/>
  <c r="AD122" i="65"/>
  <c r="AC122" i="65"/>
  <c r="D67" i="65"/>
  <c r="D62" i="65"/>
  <c r="D66" i="65"/>
  <c r="AL122" i="65"/>
  <c r="AF122" i="65"/>
  <c r="AE122" i="65"/>
  <c r="AI122" i="65"/>
  <c r="AM122" i="65"/>
  <c r="AK122" i="65"/>
  <c r="AJ122" i="65"/>
  <c r="AH122" i="65"/>
  <c r="AG122" i="65"/>
  <c r="D122" i="65"/>
  <c r="AB122" i="65"/>
  <c r="J122" i="65"/>
  <c r="N122" i="65"/>
  <c r="V122" i="65"/>
  <c r="Z122" i="65"/>
  <c r="AA122" i="65"/>
  <c r="E122" i="65"/>
  <c r="P122" i="65"/>
  <c r="R122" i="65"/>
  <c r="S122" i="65"/>
  <c r="G122" i="65"/>
  <c r="K122" i="65"/>
  <c r="H122" i="65"/>
  <c r="U122" i="65"/>
  <c r="O122" i="65"/>
  <c r="I122" i="65"/>
  <c r="M122" i="65"/>
  <c r="W122" i="65"/>
  <c r="Q122" i="65"/>
  <c r="T122" i="65"/>
  <c r="Y122" i="65"/>
  <c r="L122" i="65"/>
  <c r="X122" i="65"/>
  <c r="F122" i="65"/>
  <c r="C54" i="63"/>
  <c r="C46" i="63"/>
  <c r="D110" i="63"/>
  <c r="D61" i="63" s="1"/>
  <c r="D63" i="63" s="1"/>
  <c r="D109" i="63"/>
  <c r="D60" i="63" s="1"/>
  <c r="AC122" i="61"/>
  <c r="D62" i="61"/>
  <c r="D67" i="61"/>
  <c r="AD122" i="61"/>
  <c r="D66" i="61"/>
  <c r="AL122" i="61"/>
  <c r="AE122" i="61"/>
  <c r="AJ122" i="61"/>
  <c r="AG122" i="61"/>
  <c r="AI122" i="61"/>
  <c r="AM122" i="61"/>
  <c r="AF122" i="61"/>
  <c r="AK122" i="61"/>
  <c r="AH122" i="61"/>
  <c r="D122" i="61"/>
  <c r="Z122" i="61"/>
  <c r="K122" i="61"/>
  <c r="U122" i="61"/>
  <c r="L122" i="61"/>
  <c r="V122" i="61"/>
  <c r="W122" i="61"/>
  <c r="E122" i="61"/>
  <c r="AA122" i="61"/>
  <c r="AB122" i="61"/>
  <c r="Q122" i="61"/>
  <c r="J122" i="61"/>
  <c r="H122" i="61"/>
  <c r="N122" i="61"/>
  <c r="R122" i="61"/>
  <c r="P122" i="61"/>
  <c r="F122" i="61"/>
  <c r="Y122" i="61"/>
  <c r="X122" i="61"/>
  <c r="M122" i="61"/>
  <c r="O122" i="61"/>
  <c r="S122" i="61"/>
  <c r="I122" i="61"/>
  <c r="G122" i="61"/>
  <c r="T122" i="61"/>
  <c r="D110" i="59"/>
  <c r="D61" i="59" s="1"/>
  <c r="D63" i="59" s="1"/>
  <c r="D109" i="59"/>
  <c r="D60" i="59" s="1"/>
  <c r="C52" i="59"/>
  <c r="C54" i="59" s="1"/>
  <c r="C46" i="59"/>
  <c r="D67" i="47"/>
  <c r="D66" i="47"/>
  <c r="K30" i="40"/>
  <c r="K55" i="40" s="1"/>
  <c r="D62" i="47"/>
  <c r="D122" i="47"/>
  <c r="AD122" i="47"/>
  <c r="V122" i="47"/>
  <c r="N122" i="47"/>
  <c r="F122" i="47"/>
  <c r="X122" i="47"/>
  <c r="M122" i="47"/>
  <c r="AB122" i="47"/>
  <c r="Q122" i="47"/>
  <c r="G122" i="47"/>
  <c r="O122" i="47"/>
  <c r="P122" i="47"/>
  <c r="K122" i="47"/>
  <c r="T122" i="47"/>
  <c r="AA122" i="47"/>
  <c r="AJ122" i="47"/>
  <c r="AF122" i="47"/>
  <c r="AH122" i="47"/>
  <c r="AM122" i="47"/>
  <c r="AG122" i="47"/>
  <c r="Z122" i="47"/>
  <c r="R122" i="47"/>
  <c r="J122" i="47"/>
  <c r="AC122" i="47"/>
  <c r="S122" i="47"/>
  <c r="H122" i="47"/>
  <c r="W122" i="47"/>
  <c r="L122" i="47"/>
  <c r="Y122" i="47"/>
  <c r="U122" i="47"/>
  <c r="I122" i="47"/>
  <c r="E122" i="47"/>
  <c r="AI122" i="47"/>
  <c r="AE122" i="47"/>
  <c r="AL122" i="47"/>
  <c r="AK122" i="47"/>
  <c r="J30" i="41"/>
  <c r="J59" i="41" s="1"/>
  <c r="N24" i="39"/>
  <c r="K30" i="36"/>
  <c r="J60" i="36"/>
  <c r="V32" i="41"/>
  <c r="K27" i="36"/>
  <c r="V25" i="41"/>
  <c r="W24" i="40"/>
  <c r="W32" i="40"/>
  <c r="W33" i="39"/>
  <c r="V25" i="39"/>
  <c r="W32" i="38"/>
  <c r="W24" i="38"/>
  <c r="V24" i="36"/>
  <c r="X32" i="36"/>
  <c r="H27" i="41" l="1"/>
  <c r="K18" i="41"/>
  <c r="J20" i="41"/>
  <c r="J21" i="41" s="1"/>
  <c r="K30" i="38"/>
  <c r="K56" i="38" s="1"/>
  <c r="K31" i="39"/>
  <c r="K57" i="39" s="1"/>
  <c r="K22" i="39"/>
  <c r="J28" i="39"/>
  <c r="J22" i="40"/>
  <c r="I27" i="40"/>
  <c r="J22" i="38"/>
  <c r="I27" i="38"/>
  <c r="Y134" i="65"/>
  <c r="Y136" i="65" s="1"/>
  <c r="Y143" i="65" s="1"/>
  <c r="Y112" i="65"/>
  <c r="M134" i="65"/>
  <c r="M136" i="65" s="1"/>
  <c r="M143" i="65" s="1"/>
  <c r="M112" i="65"/>
  <c r="H134" i="65"/>
  <c r="H136" i="65" s="1"/>
  <c r="H143" i="65" s="1"/>
  <c r="H112" i="65"/>
  <c r="R134" i="65"/>
  <c r="R136" i="65" s="1"/>
  <c r="R143" i="65" s="1"/>
  <c r="R112" i="65"/>
  <c r="Z134" i="65"/>
  <c r="Z136" i="65" s="1"/>
  <c r="Z143" i="65" s="1"/>
  <c r="Z112" i="65"/>
  <c r="AB112" i="65"/>
  <c r="AB134" i="65"/>
  <c r="AB136" i="65" s="1"/>
  <c r="AB143" i="65" s="1"/>
  <c r="AJ112" i="65"/>
  <c r="AJ134" i="65"/>
  <c r="AJ136" i="65" s="1"/>
  <c r="AJ143" i="65" s="1"/>
  <c r="AE134" i="65"/>
  <c r="AE136" i="65" s="1"/>
  <c r="AE143" i="65" s="1"/>
  <c r="AE112" i="65"/>
  <c r="F134" i="65"/>
  <c r="F136" i="65" s="1"/>
  <c r="F143" i="65" s="1"/>
  <c r="F112" i="65"/>
  <c r="T112" i="65"/>
  <c r="T134" i="65"/>
  <c r="T136" i="65" s="1"/>
  <c r="T143" i="65" s="1"/>
  <c r="I134" i="65"/>
  <c r="I136" i="65" s="1"/>
  <c r="I143" i="65" s="1"/>
  <c r="I112" i="65"/>
  <c r="K134" i="65"/>
  <c r="K136" i="65" s="1"/>
  <c r="K143" i="65" s="1"/>
  <c r="K112" i="65"/>
  <c r="P112" i="65"/>
  <c r="P134" i="65"/>
  <c r="P136" i="65" s="1"/>
  <c r="P143" i="65" s="1"/>
  <c r="V134" i="65"/>
  <c r="V136" i="65" s="1"/>
  <c r="V143" i="65" s="1"/>
  <c r="V112" i="65"/>
  <c r="D112" i="65"/>
  <c r="D134" i="65"/>
  <c r="D136" i="65" s="1"/>
  <c r="D143" i="65" s="1"/>
  <c r="D123" i="65"/>
  <c r="C47" i="65" s="1"/>
  <c r="AK134" i="65"/>
  <c r="AK136" i="65" s="1"/>
  <c r="AK143" i="65" s="1"/>
  <c r="AK112" i="65"/>
  <c r="AF112" i="65"/>
  <c r="AF134" i="65"/>
  <c r="AF136" i="65" s="1"/>
  <c r="AF143" i="65" s="1"/>
  <c r="X134" i="65"/>
  <c r="X136" i="65" s="1"/>
  <c r="X143" i="65" s="1"/>
  <c r="X112" i="65"/>
  <c r="Q134" i="65"/>
  <c r="Q136" i="65" s="1"/>
  <c r="Q143" i="65" s="1"/>
  <c r="Q112" i="65"/>
  <c r="O134" i="65"/>
  <c r="O136" i="65" s="1"/>
  <c r="O143" i="65" s="1"/>
  <c r="O112" i="65"/>
  <c r="G134" i="65"/>
  <c r="G136" i="65" s="1"/>
  <c r="G143" i="65" s="1"/>
  <c r="G112" i="65"/>
  <c r="E134" i="65"/>
  <c r="E136" i="65" s="1"/>
  <c r="E143" i="65" s="1"/>
  <c r="E112" i="65"/>
  <c r="N134" i="65"/>
  <c r="N136" i="65" s="1"/>
  <c r="N143" i="65" s="1"/>
  <c r="N112" i="65"/>
  <c r="AG134" i="65"/>
  <c r="AG136" i="65" s="1"/>
  <c r="AG143" i="65" s="1"/>
  <c r="AG112" i="65"/>
  <c r="AM134" i="65"/>
  <c r="AM136" i="65" s="1"/>
  <c r="AM143" i="65" s="1"/>
  <c r="AM112" i="65"/>
  <c r="AL134" i="65"/>
  <c r="AL136" i="65" s="1"/>
  <c r="AL143" i="65" s="1"/>
  <c r="AL112" i="65"/>
  <c r="AC134" i="65"/>
  <c r="AC136" i="65" s="1"/>
  <c r="AC143" i="65" s="1"/>
  <c r="AC112" i="65"/>
  <c r="L112" i="65"/>
  <c r="L134" i="65"/>
  <c r="L136" i="65" s="1"/>
  <c r="L143" i="65" s="1"/>
  <c r="W134" i="65"/>
  <c r="W136" i="65" s="1"/>
  <c r="W143" i="65" s="1"/>
  <c r="W112" i="65"/>
  <c r="U134" i="65"/>
  <c r="U136" i="65" s="1"/>
  <c r="U143" i="65" s="1"/>
  <c r="U112" i="65"/>
  <c r="S134" i="65"/>
  <c r="S136" i="65" s="1"/>
  <c r="S143" i="65" s="1"/>
  <c r="S112" i="65"/>
  <c r="AA134" i="65"/>
  <c r="AA136" i="65" s="1"/>
  <c r="AA143" i="65" s="1"/>
  <c r="AA112" i="65"/>
  <c r="J134" i="65"/>
  <c r="J136" i="65" s="1"/>
  <c r="J143" i="65" s="1"/>
  <c r="J112" i="65"/>
  <c r="AH134" i="65"/>
  <c r="AH136" i="65" s="1"/>
  <c r="AH143" i="65" s="1"/>
  <c r="AH112" i="65"/>
  <c r="AI134" i="65"/>
  <c r="AI136" i="65" s="1"/>
  <c r="AI143" i="65" s="1"/>
  <c r="AI112" i="65"/>
  <c r="AD134" i="65"/>
  <c r="AD136" i="65" s="1"/>
  <c r="AD143" i="65" s="1"/>
  <c r="AD112" i="65"/>
  <c r="AD122" i="63"/>
  <c r="D62" i="63"/>
  <c r="D67" i="63"/>
  <c r="AC122" i="63"/>
  <c r="D66" i="63"/>
  <c r="AE122" i="63"/>
  <c r="AG122" i="63"/>
  <c r="AL122" i="63"/>
  <c r="AK122" i="63"/>
  <c r="AJ122" i="63"/>
  <c r="AI122" i="63"/>
  <c r="AF122" i="63"/>
  <c r="AM122" i="63"/>
  <c r="AH122" i="63"/>
  <c r="D122" i="63"/>
  <c r="W122" i="63"/>
  <c r="S122" i="63"/>
  <c r="Z122" i="63"/>
  <c r="P122" i="63"/>
  <c r="R122" i="63"/>
  <c r="V122" i="63"/>
  <c r="L122" i="63"/>
  <c r="X122" i="63"/>
  <c r="U122" i="63"/>
  <c r="O122" i="63"/>
  <c r="F122" i="63"/>
  <c r="AB122" i="63"/>
  <c r="K122" i="63"/>
  <c r="Y122" i="63"/>
  <c r="Q122" i="63"/>
  <c r="N122" i="63"/>
  <c r="T122" i="63"/>
  <c r="H122" i="63"/>
  <c r="I122" i="63"/>
  <c r="G122" i="63"/>
  <c r="E122" i="63"/>
  <c r="J122" i="63"/>
  <c r="M122" i="63"/>
  <c r="AA122" i="63"/>
  <c r="T134" i="61"/>
  <c r="T136" i="61" s="1"/>
  <c r="T143" i="61" s="1"/>
  <c r="T112" i="61"/>
  <c r="O134" i="61"/>
  <c r="O136" i="61" s="1"/>
  <c r="O143" i="61" s="1"/>
  <c r="O112" i="61"/>
  <c r="F134" i="61"/>
  <c r="F136" i="61" s="1"/>
  <c r="F143" i="61" s="1"/>
  <c r="F112" i="61"/>
  <c r="H112" i="61"/>
  <c r="H134" i="61"/>
  <c r="H136" i="61" s="1"/>
  <c r="H143" i="61" s="1"/>
  <c r="AA134" i="61"/>
  <c r="AA136" i="61" s="1"/>
  <c r="AA143" i="61" s="1"/>
  <c r="AA112" i="61"/>
  <c r="L134" i="61"/>
  <c r="L136" i="61" s="1"/>
  <c r="L143" i="61" s="1"/>
  <c r="L112" i="61"/>
  <c r="D123" i="61"/>
  <c r="C47" i="61" s="1"/>
  <c r="D134" i="61"/>
  <c r="D136" i="61" s="1"/>
  <c r="D143" i="61" s="1"/>
  <c r="D112" i="61"/>
  <c r="AM134" i="61"/>
  <c r="AM136" i="61" s="1"/>
  <c r="AM143" i="61" s="1"/>
  <c r="AM112" i="61"/>
  <c r="AE134" i="61"/>
  <c r="AE136" i="61" s="1"/>
  <c r="AE143" i="61" s="1"/>
  <c r="AE112" i="61"/>
  <c r="G134" i="61"/>
  <c r="G136" i="61" s="1"/>
  <c r="G143" i="61" s="1"/>
  <c r="G112" i="61"/>
  <c r="M134" i="61"/>
  <c r="M136" i="61" s="1"/>
  <c r="M143" i="61" s="1"/>
  <c r="M112" i="61"/>
  <c r="P134" i="61"/>
  <c r="P136" i="61" s="1"/>
  <c r="P143" i="61" s="1"/>
  <c r="P112" i="61"/>
  <c r="J134" i="61"/>
  <c r="J136" i="61" s="1"/>
  <c r="J143" i="61" s="1"/>
  <c r="J112" i="61"/>
  <c r="E134" i="61"/>
  <c r="E136" i="61" s="1"/>
  <c r="E143" i="61" s="1"/>
  <c r="E112" i="61"/>
  <c r="U134" i="61"/>
  <c r="U136" i="61" s="1"/>
  <c r="U143" i="61" s="1"/>
  <c r="U112" i="61"/>
  <c r="AH134" i="61"/>
  <c r="AH136" i="61" s="1"/>
  <c r="AH143" i="61" s="1"/>
  <c r="AH112" i="61"/>
  <c r="AI134" i="61"/>
  <c r="AI136" i="61" s="1"/>
  <c r="AI143" i="61" s="1"/>
  <c r="AI112" i="61"/>
  <c r="AL134" i="61"/>
  <c r="AL136" i="61" s="1"/>
  <c r="AL143" i="61" s="1"/>
  <c r="AL112" i="61"/>
  <c r="I134" i="61"/>
  <c r="I136" i="61" s="1"/>
  <c r="I143" i="61" s="1"/>
  <c r="I112" i="61"/>
  <c r="X112" i="61"/>
  <c r="X134" i="61"/>
  <c r="X136" i="61" s="1"/>
  <c r="X143" i="61" s="1"/>
  <c r="R134" i="61"/>
  <c r="R136" i="61" s="1"/>
  <c r="R143" i="61" s="1"/>
  <c r="R112" i="61"/>
  <c r="Q134" i="61"/>
  <c r="Q136" i="61" s="1"/>
  <c r="Q143" i="61" s="1"/>
  <c r="Q112" i="61"/>
  <c r="W134" i="61"/>
  <c r="W136" i="61" s="1"/>
  <c r="W143" i="61" s="1"/>
  <c r="W112" i="61"/>
  <c r="K134" i="61"/>
  <c r="K136" i="61" s="1"/>
  <c r="K143" i="61" s="1"/>
  <c r="K112" i="61"/>
  <c r="AK134" i="61"/>
  <c r="AK136" i="61" s="1"/>
  <c r="AK143" i="61" s="1"/>
  <c r="AK112" i="61"/>
  <c r="AG134" i="61"/>
  <c r="AG136" i="61" s="1"/>
  <c r="AG143" i="61" s="1"/>
  <c r="AG112" i="61"/>
  <c r="AC134" i="61"/>
  <c r="AC136" i="61" s="1"/>
  <c r="AC143" i="61" s="1"/>
  <c r="AC112" i="61"/>
  <c r="S134" i="61"/>
  <c r="S136" i="61" s="1"/>
  <c r="S143" i="61" s="1"/>
  <c r="S112" i="61"/>
  <c r="Y134" i="61"/>
  <c r="Y136" i="61" s="1"/>
  <c r="Y143" i="61" s="1"/>
  <c r="Y112" i="61"/>
  <c r="N134" i="61"/>
  <c r="N136" i="61" s="1"/>
  <c r="N143" i="61" s="1"/>
  <c r="N112" i="61"/>
  <c r="AB134" i="61"/>
  <c r="AB136" i="61" s="1"/>
  <c r="AB143" i="61" s="1"/>
  <c r="AB112" i="61"/>
  <c r="V134" i="61"/>
  <c r="V136" i="61" s="1"/>
  <c r="V143" i="61" s="1"/>
  <c r="V112" i="61"/>
  <c r="Z134" i="61"/>
  <c r="Z136" i="61" s="1"/>
  <c r="Z143" i="61" s="1"/>
  <c r="Z112" i="61"/>
  <c r="AF134" i="61"/>
  <c r="AF136" i="61" s="1"/>
  <c r="AF143" i="61" s="1"/>
  <c r="AF112" i="61"/>
  <c r="AJ134" i="61"/>
  <c r="AJ136" i="61" s="1"/>
  <c r="AJ143" i="61" s="1"/>
  <c r="AJ112" i="61"/>
  <c r="AD112" i="61"/>
  <c r="AD134" i="61"/>
  <c r="AD136" i="61" s="1"/>
  <c r="AD143" i="61" s="1"/>
  <c r="AD122" i="59"/>
  <c r="AC122" i="59"/>
  <c r="D62" i="59"/>
  <c r="D67" i="59"/>
  <c r="D66" i="59"/>
  <c r="AK122" i="59"/>
  <c r="AH122" i="59"/>
  <c r="AL122" i="59"/>
  <c r="AE122" i="59"/>
  <c r="AM122" i="59"/>
  <c r="AF122" i="59"/>
  <c r="AG122" i="59"/>
  <c r="AJ122" i="59"/>
  <c r="AI122" i="59"/>
  <c r="D122" i="59"/>
  <c r="O122" i="59"/>
  <c r="Y122" i="59"/>
  <c r="T122" i="59"/>
  <c r="AA122" i="59"/>
  <c r="K122" i="59"/>
  <c r="R122" i="59"/>
  <c r="Q122" i="59"/>
  <c r="E122" i="59"/>
  <c r="H122" i="59"/>
  <c r="U122" i="59"/>
  <c r="N122" i="59"/>
  <c r="S122" i="59"/>
  <c r="AB122" i="59"/>
  <c r="W122" i="59"/>
  <c r="P122" i="59"/>
  <c r="Z122" i="59"/>
  <c r="F122" i="59"/>
  <c r="V122" i="59"/>
  <c r="G122" i="59"/>
  <c r="X122" i="59"/>
  <c r="L122" i="59"/>
  <c r="J122" i="59"/>
  <c r="I122" i="59"/>
  <c r="M122" i="59"/>
  <c r="L30" i="40"/>
  <c r="L55" i="40" s="1"/>
  <c r="D123" i="47"/>
  <c r="C47" i="47" s="1"/>
  <c r="D112" i="47"/>
  <c r="D134" i="47"/>
  <c r="D136" i="47" s="1"/>
  <c r="D143" i="47" s="1"/>
  <c r="AL134" i="47"/>
  <c r="AL136" i="47" s="1"/>
  <c r="AL143" i="47" s="1"/>
  <c r="AL112" i="47"/>
  <c r="AI134" i="47"/>
  <c r="AI136" i="47" s="1"/>
  <c r="AI143" i="47" s="1"/>
  <c r="AI112" i="47"/>
  <c r="I134" i="47"/>
  <c r="I136" i="47" s="1"/>
  <c r="I143" i="47" s="1"/>
  <c r="I112" i="47"/>
  <c r="U134" i="47"/>
  <c r="U136" i="47" s="1"/>
  <c r="U143" i="47" s="1"/>
  <c r="U112" i="47"/>
  <c r="Y112" i="47"/>
  <c r="Y134" i="47"/>
  <c r="Y136" i="47" s="1"/>
  <c r="Y143" i="47" s="1"/>
  <c r="W134" i="47"/>
  <c r="W136" i="47" s="1"/>
  <c r="W143" i="47" s="1"/>
  <c r="W112" i="47"/>
  <c r="S134" i="47"/>
  <c r="S136" i="47" s="1"/>
  <c r="S143" i="47" s="1"/>
  <c r="S112" i="47"/>
  <c r="J134" i="47"/>
  <c r="J136" i="47" s="1"/>
  <c r="J143" i="47" s="1"/>
  <c r="J112" i="47"/>
  <c r="Z134" i="47"/>
  <c r="Z136" i="47" s="1"/>
  <c r="Z143" i="47" s="1"/>
  <c r="Z112" i="47"/>
  <c r="AM134" i="47"/>
  <c r="AM136" i="47" s="1"/>
  <c r="AM143" i="47" s="1"/>
  <c r="AM112" i="47"/>
  <c r="AF134" i="47"/>
  <c r="AF136" i="47" s="1"/>
  <c r="AF143" i="47" s="1"/>
  <c r="AF112" i="47"/>
  <c r="T134" i="47"/>
  <c r="T136" i="47" s="1"/>
  <c r="T143" i="47" s="1"/>
  <c r="T112" i="47"/>
  <c r="P112" i="47"/>
  <c r="P134" i="47"/>
  <c r="P136" i="47" s="1"/>
  <c r="P143" i="47" s="1"/>
  <c r="G134" i="47"/>
  <c r="G136" i="47" s="1"/>
  <c r="G143" i="47" s="1"/>
  <c r="G112" i="47"/>
  <c r="AB134" i="47"/>
  <c r="AB136" i="47" s="1"/>
  <c r="AB143" i="47" s="1"/>
  <c r="AB112" i="47"/>
  <c r="X112" i="47"/>
  <c r="X134" i="47"/>
  <c r="X136" i="47" s="1"/>
  <c r="X143" i="47" s="1"/>
  <c r="N134" i="47"/>
  <c r="N136" i="47" s="1"/>
  <c r="N143" i="47" s="1"/>
  <c r="N112" i="47"/>
  <c r="AD134" i="47"/>
  <c r="AD136" i="47" s="1"/>
  <c r="AD143" i="47" s="1"/>
  <c r="AD112" i="47"/>
  <c r="AK134" i="47"/>
  <c r="AK136" i="47" s="1"/>
  <c r="AK143" i="47" s="1"/>
  <c r="AK112" i="47"/>
  <c r="AE134" i="47"/>
  <c r="AE136" i="47" s="1"/>
  <c r="AE143" i="47" s="1"/>
  <c r="AE112" i="47"/>
  <c r="E112" i="47"/>
  <c r="E134" i="47"/>
  <c r="E136" i="47" s="1"/>
  <c r="E143" i="47" s="1"/>
  <c r="L112" i="47"/>
  <c r="L134" i="47"/>
  <c r="L136" i="47" s="1"/>
  <c r="L143" i="47" s="1"/>
  <c r="H134" i="47"/>
  <c r="H136" i="47" s="1"/>
  <c r="H143" i="47" s="1"/>
  <c r="H112" i="47"/>
  <c r="AC112" i="47"/>
  <c r="AC134" i="47"/>
  <c r="AC136" i="47" s="1"/>
  <c r="AC143" i="47" s="1"/>
  <c r="R134" i="47"/>
  <c r="R136" i="47" s="1"/>
  <c r="R143" i="47" s="1"/>
  <c r="R112" i="47"/>
  <c r="AG112" i="47"/>
  <c r="AG134" i="47"/>
  <c r="AG136" i="47" s="1"/>
  <c r="AG143" i="47" s="1"/>
  <c r="AH134" i="47"/>
  <c r="AH136" i="47" s="1"/>
  <c r="AH143" i="47" s="1"/>
  <c r="AH112" i="47"/>
  <c r="AJ134" i="47"/>
  <c r="AJ136" i="47" s="1"/>
  <c r="AJ143" i="47" s="1"/>
  <c r="AJ112" i="47"/>
  <c r="AA134" i="47"/>
  <c r="AA136" i="47" s="1"/>
  <c r="AA143" i="47" s="1"/>
  <c r="AA112" i="47"/>
  <c r="K134" i="47"/>
  <c r="K136" i="47" s="1"/>
  <c r="K143" i="47" s="1"/>
  <c r="K112" i="47"/>
  <c r="O134" i="47"/>
  <c r="O136" i="47" s="1"/>
  <c r="O143" i="47" s="1"/>
  <c r="O112" i="47"/>
  <c r="Q112" i="47"/>
  <c r="Q134" i="47"/>
  <c r="Q136" i="47" s="1"/>
  <c r="Q143" i="47" s="1"/>
  <c r="M134" i="47"/>
  <c r="M136" i="47" s="1"/>
  <c r="M143" i="47" s="1"/>
  <c r="M112" i="47"/>
  <c r="F134" i="47"/>
  <c r="F136" i="47" s="1"/>
  <c r="F143" i="47" s="1"/>
  <c r="F112" i="47"/>
  <c r="V134" i="47"/>
  <c r="V136" i="47" s="1"/>
  <c r="V143" i="47" s="1"/>
  <c r="V112" i="47"/>
  <c r="O24" i="39"/>
  <c r="K30" i="41"/>
  <c r="K59" i="41" s="1"/>
  <c r="L27" i="36"/>
  <c r="L30" i="36"/>
  <c r="K60" i="36"/>
  <c r="W32" i="41"/>
  <c r="W25" i="41"/>
  <c r="X32" i="40"/>
  <c r="X24" i="40"/>
  <c r="X32" i="38"/>
  <c r="W25" i="39"/>
  <c r="X33" i="39"/>
  <c r="X24" i="38"/>
  <c r="Y32" i="36"/>
  <c r="W24" i="36"/>
  <c r="I27" i="41" l="1"/>
  <c r="L18" i="41"/>
  <c r="K20" i="41"/>
  <c r="K21" i="41" s="1"/>
  <c r="L30" i="38"/>
  <c r="L56" i="38" s="1"/>
  <c r="L31" i="39"/>
  <c r="L57" i="39" s="1"/>
  <c r="K22" i="40"/>
  <c r="J27" i="40"/>
  <c r="K22" i="38"/>
  <c r="J27" i="38"/>
  <c r="L22" i="39"/>
  <c r="K28" i="39"/>
  <c r="C55" i="65"/>
  <c r="C57" i="65" s="1"/>
  <c r="C49" i="65"/>
  <c r="H134" i="63"/>
  <c r="H136" i="63" s="1"/>
  <c r="H143" i="63" s="1"/>
  <c r="H112" i="63"/>
  <c r="O134" i="63"/>
  <c r="O136" i="63" s="1"/>
  <c r="O143" i="63" s="1"/>
  <c r="O112" i="63"/>
  <c r="S134" i="63"/>
  <c r="S136" i="63" s="1"/>
  <c r="S143" i="63" s="1"/>
  <c r="S112" i="63"/>
  <c r="AK112" i="63"/>
  <c r="AK134" i="63"/>
  <c r="AK136" i="63" s="1"/>
  <c r="AK143" i="63" s="1"/>
  <c r="AD134" i="63"/>
  <c r="AD136" i="63" s="1"/>
  <c r="AD143" i="63" s="1"/>
  <c r="AD112" i="63"/>
  <c r="E112" i="63"/>
  <c r="E134" i="63"/>
  <c r="E136" i="63" s="1"/>
  <c r="E143" i="63" s="1"/>
  <c r="T134" i="63"/>
  <c r="T136" i="63" s="1"/>
  <c r="T143" i="63" s="1"/>
  <c r="T112" i="63"/>
  <c r="K134" i="63"/>
  <c r="K136" i="63" s="1"/>
  <c r="K143" i="63" s="1"/>
  <c r="K112" i="63"/>
  <c r="U112" i="63"/>
  <c r="U134" i="63"/>
  <c r="U136" i="63" s="1"/>
  <c r="U143" i="63" s="1"/>
  <c r="R134" i="63"/>
  <c r="R136" i="63" s="1"/>
  <c r="R143" i="63" s="1"/>
  <c r="R112" i="63"/>
  <c r="W134" i="63"/>
  <c r="W136" i="63" s="1"/>
  <c r="W143" i="63" s="1"/>
  <c r="W112" i="63"/>
  <c r="AF134" i="63"/>
  <c r="AF136" i="63" s="1"/>
  <c r="AF143" i="63" s="1"/>
  <c r="AF112" i="63"/>
  <c r="AL134" i="63"/>
  <c r="AL136" i="63" s="1"/>
  <c r="AL143" i="63" s="1"/>
  <c r="AL112" i="63"/>
  <c r="AC112" i="63"/>
  <c r="AC134" i="63"/>
  <c r="AC136" i="63" s="1"/>
  <c r="AC143" i="63" s="1"/>
  <c r="J112" i="63"/>
  <c r="J134" i="63"/>
  <c r="J136" i="63" s="1"/>
  <c r="J143" i="63" s="1"/>
  <c r="Y134" i="63"/>
  <c r="Y136" i="63" s="1"/>
  <c r="Y143" i="63" s="1"/>
  <c r="Y112" i="63"/>
  <c r="V134" i="63"/>
  <c r="V136" i="63" s="1"/>
  <c r="V143" i="63" s="1"/>
  <c r="V112" i="63"/>
  <c r="AM134" i="63"/>
  <c r="AM136" i="63" s="1"/>
  <c r="AM143" i="63" s="1"/>
  <c r="AM112" i="63"/>
  <c r="AA134" i="63"/>
  <c r="AA136" i="63" s="1"/>
  <c r="AA143" i="63" s="1"/>
  <c r="AA112" i="63"/>
  <c r="G134" i="63"/>
  <c r="G136" i="63" s="1"/>
  <c r="G143" i="63" s="1"/>
  <c r="G112" i="63"/>
  <c r="N134" i="63"/>
  <c r="N136" i="63" s="1"/>
  <c r="N143" i="63" s="1"/>
  <c r="N112" i="63"/>
  <c r="AB134" i="63"/>
  <c r="AB136" i="63" s="1"/>
  <c r="AB143" i="63" s="1"/>
  <c r="AB112" i="63"/>
  <c r="X134" i="63"/>
  <c r="X136" i="63" s="1"/>
  <c r="X143" i="63" s="1"/>
  <c r="X112" i="63"/>
  <c r="P134" i="63"/>
  <c r="P136" i="63" s="1"/>
  <c r="P143" i="63" s="1"/>
  <c r="P112" i="63"/>
  <c r="D134" i="63"/>
  <c r="D136" i="63" s="1"/>
  <c r="D143" i="63" s="1"/>
  <c r="D123" i="63"/>
  <c r="C47" i="63" s="1"/>
  <c r="D112" i="63"/>
  <c r="AI134" i="63"/>
  <c r="AI136" i="63" s="1"/>
  <c r="AI143" i="63" s="1"/>
  <c r="AI112" i="63"/>
  <c r="AG134" i="63"/>
  <c r="AG136" i="63" s="1"/>
  <c r="AG143" i="63" s="1"/>
  <c r="AG112" i="63"/>
  <c r="M112" i="63"/>
  <c r="M134" i="63"/>
  <c r="M136" i="63" s="1"/>
  <c r="M143" i="63" s="1"/>
  <c r="I134" i="63"/>
  <c r="I136" i="63" s="1"/>
  <c r="I143" i="63" s="1"/>
  <c r="I112" i="63"/>
  <c r="Q134" i="63"/>
  <c r="Q136" i="63" s="1"/>
  <c r="Q143" i="63" s="1"/>
  <c r="Q112" i="63"/>
  <c r="F134" i="63"/>
  <c r="F136" i="63" s="1"/>
  <c r="F143" i="63" s="1"/>
  <c r="F112" i="63"/>
  <c r="L134" i="63"/>
  <c r="L136" i="63" s="1"/>
  <c r="L143" i="63" s="1"/>
  <c r="L112" i="63"/>
  <c r="Z112" i="63"/>
  <c r="Z134" i="63"/>
  <c r="Z136" i="63" s="1"/>
  <c r="Z143" i="63" s="1"/>
  <c r="AH134" i="63"/>
  <c r="AH136" i="63" s="1"/>
  <c r="AH143" i="63" s="1"/>
  <c r="AH112" i="63"/>
  <c r="AJ134" i="63"/>
  <c r="AJ136" i="63" s="1"/>
  <c r="AJ143" i="63" s="1"/>
  <c r="AJ112" i="63"/>
  <c r="AE134" i="63"/>
  <c r="AE136" i="63" s="1"/>
  <c r="AE143" i="63" s="1"/>
  <c r="AE112" i="63"/>
  <c r="C55" i="61"/>
  <c r="C57" i="61" s="1"/>
  <c r="C49" i="61"/>
  <c r="I112" i="59"/>
  <c r="I134" i="59"/>
  <c r="I136" i="59" s="1"/>
  <c r="I143" i="59" s="1"/>
  <c r="G134" i="59"/>
  <c r="G136" i="59" s="1"/>
  <c r="G143" i="59" s="1"/>
  <c r="G112" i="59"/>
  <c r="N134" i="59"/>
  <c r="N136" i="59" s="1"/>
  <c r="N143" i="59" s="1"/>
  <c r="N112" i="59"/>
  <c r="AI134" i="59"/>
  <c r="AI136" i="59" s="1"/>
  <c r="AI143" i="59" s="1"/>
  <c r="AI112" i="59"/>
  <c r="AM134" i="59"/>
  <c r="AM136" i="59" s="1"/>
  <c r="AM143" i="59" s="1"/>
  <c r="AM112" i="59"/>
  <c r="AK112" i="59"/>
  <c r="AK134" i="59"/>
  <c r="AK136" i="59" s="1"/>
  <c r="AK143" i="59" s="1"/>
  <c r="AC134" i="59"/>
  <c r="AC136" i="59" s="1"/>
  <c r="AC143" i="59" s="1"/>
  <c r="AC112" i="59"/>
  <c r="J134" i="59"/>
  <c r="J136" i="59" s="1"/>
  <c r="J143" i="59" s="1"/>
  <c r="J112" i="59"/>
  <c r="V134" i="59"/>
  <c r="V136" i="59" s="1"/>
  <c r="V143" i="59" s="1"/>
  <c r="V112" i="59"/>
  <c r="W134" i="59"/>
  <c r="W136" i="59" s="1"/>
  <c r="W143" i="59" s="1"/>
  <c r="W112" i="59"/>
  <c r="U112" i="59"/>
  <c r="U134" i="59"/>
  <c r="U136" i="59" s="1"/>
  <c r="U143" i="59" s="1"/>
  <c r="R134" i="59"/>
  <c r="R136" i="59" s="1"/>
  <c r="R143" i="59" s="1"/>
  <c r="R112" i="59"/>
  <c r="Y112" i="59"/>
  <c r="Y134" i="59"/>
  <c r="Y136" i="59" s="1"/>
  <c r="Y143" i="59" s="1"/>
  <c r="AJ134" i="59"/>
  <c r="AJ136" i="59" s="1"/>
  <c r="AJ143" i="59" s="1"/>
  <c r="AJ112" i="59"/>
  <c r="AE134" i="59"/>
  <c r="AE136" i="59" s="1"/>
  <c r="AE143" i="59" s="1"/>
  <c r="AE112" i="59"/>
  <c r="AD134" i="59"/>
  <c r="AD136" i="59" s="1"/>
  <c r="AD143" i="59" s="1"/>
  <c r="AD112" i="59"/>
  <c r="Q134" i="59"/>
  <c r="Q136" i="59" s="1"/>
  <c r="Q143" i="59" s="1"/>
  <c r="Q112" i="59"/>
  <c r="L134" i="59"/>
  <c r="L136" i="59" s="1"/>
  <c r="L143" i="59" s="1"/>
  <c r="L112" i="59"/>
  <c r="F134" i="59"/>
  <c r="F136" i="59" s="1"/>
  <c r="F143" i="59" s="1"/>
  <c r="F112" i="59"/>
  <c r="AB134" i="59"/>
  <c r="AB136" i="59" s="1"/>
  <c r="AB143" i="59" s="1"/>
  <c r="AB112" i="59"/>
  <c r="H134" i="59"/>
  <c r="H136" i="59" s="1"/>
  <c r="H143" i="59" s="1"/>
  <c r="H112" i="59"/>
  <c r="K134" i="59"/>
  <c r="K136" i="59" s="1"/>
  <c r="K143" i="59" s="1"/>
  <c r="K112" i="59"/>
  <c r="O134" i="59"/>
  <c r="O136" i="59" s="1"/>
  <c r="O143" i="59" s="1"/>
  <c r="O112" i="59"/>
  <c r="AG134" i="59"/>
  <c r="AG136" i="59" s="1"/>
  <c r="AG143" i="59" s="1"/>
  <c r="AG112" i="59"/>
  <c r="AL134" i="59"/>
  <c r="AL136" i="59" s="1"/>
  <c r="AL143" i="59" s="1"/>
  <c r="AL112" i="59"/>
  <c r="P134" i="59"/>
  <c r="P136" i="59" s="1"/>
  <c r="P143" i="59" s="1"/>
  <c r="P112" i="59"/>
  <c r="T134" i="59"/>
  <c r="T136" i="59" s="1"/>
  <c r="T143" i="59" s="1"/>
  <c r="T112" i="59"/>
  <c r="M134" i="59"/>
  <c r="M136" i="59" s="1"/>
  <c r="M143" i="59" s="1"/>
  <c r="M112" i="59"/>
  <c r="X134" i="59"/>
  <c r="X136" i="59" s="1"/>
  <c r="X143" i="59" s="1"/>
  <c r="X112" i="59"/>
  <c r="Z134" i="59"/>
  <c r="Z136" i="59" s="1"/>
  <c r="Z143" i="59" s="1"/>
  <c r="Z112" i="59"/>
  <c r="S134" i="59"/>
  <c r="S136" i="59" s="1"/>
  <c r="S143" i="59" s="1"/>
  <c r="S112" i="59"/>
  <c r="E112" i="59"/>
  <c r="E134" i="59"/>
  <c r="E136" i="59" s="1"/>
  <c r="E143" i="59" s="1"/>
  <c r="AA134" i="59"/>
  <c r="AA136" i="59" s="1"/>
  <c r="AA143" i="59" s="1"/>
  <c r="AA112" i="59"/>
  <c r="D134" i="59"/>
  <c r="D136" i="59" s="1"/>
  <c r="D143" i="59" s="1"/>
  <c r="D123" i="59"/>
  <c r="C47" i="59" s="1"/>
  <c r="D112" i="59"/>
  <c r="AF134" i="59"/>
  <c r="AF136" i="59" s="1"/>
  <c r="AF143" i="59" s="1"/>
  <c r="AF112" i="59"/>
  <c r="AH134" i="59"/>
  <c r="AH136" i="59" s="1"/>
  <c r="AH143" i="59" s="1"/>
  <c r="AH112" i="59"/>
  <c r="M30" i="40"/>
  <c r="M55" i="40" s="1"/>
  <c r="C55" i="47"/>
  <c r="C57" i="47" s="1"/>
  <c r="C49" i="47"/>
  <c r="M30" i="36"/>
  <c r="L60" i="36"/>
  <c r="L30" i="41"/>
  <c r="L59" i="41" s="1"/>
  <c r="P24" i="39"/>
  <c r="M27" i="36"/>
  <c r="X32" i="41"/>
  <c r="X25" i="41"/>
  <c r="Y24" i="40"/>
  <c r="Y32" i="40"/>
  <c r="Y33" i="39"/>
  <c r="X25" i="39"/>
  <c r="Y32" i="38"/>
  <c r="Y24" i="38"/>
  <c r="X24" i="36"/>
  <c r="Z32" i="36"/>
  <c r="J27" i="41" l="1"/>
  <c r="M18" i="41"/>
  <c r="L20" i="41"/>
  <c r="L21" i="41" s="1"/>
  <c r="M30" i="38"/>
  <c r="M56" i="38" s="1"/>
  <c r="M31" i="39"/>
  <c r="M57" i="39" s="1"/>
  <c r="L22" i="38"/>
  <c r="K27" i="38"/>
  <c r="M22" i="39"/>
  <c r="L28" i="39"/>
  <c r="L22" i="40"/>
  <c r="K27" i="40"/>
  <c r="C55" i="63"/>
  <c r="C57" i="63" s="1"/>
  <c r="C49" i="63"/>
  <c r="C55" i="59"/>
  <c r="C57" i="59" s="1"/>
  <c r="C49" i="59"/>
  <c r="N30" i="40"/>
  <c r="N55" i="40" s="1"/>
  <c r="C57" i="40"/>
  <c r="C4" i="48" s="1"/>
  <c r="D4" i="48" s="1"/>
  <c r="N27" i="36"/>
  <c r="Y32" i="41"/>
  <c r="M30" i="41"/>
  <c r="M59" i="41" s="1"/>
  <c r="C61" i="41" s="1"/>
  <c r="Q24" i="39"/>
  <c r="N30" i="36"/>
  <c r="M60" i="36"/>
  <c r="C62" i="36" s="1"/>
  <c r="Y25" i="41"/>
  <c r="Z32" i="40"/>
  <c r="Z24" i="40"/>
  <c r="Z32" i="38"/>
  <c r="Y25" i="39"/>
  <c r="Z33" i="39"/>
  <c r="Z24" i="38"/>
  <c r="AA32" i="36"/>
  <c r="Y24" i="36"/>
  <c r="K27" i="41" l="1"/>
  <c r="N18" i="41"/>
  <c r="M20" i="41"/>
  <c r="M21" i="41" s="1"/>
  <c r="C58" i="38"/>
  <c r="C6" i="48" s="1"/>
  <c r="D6" i="48" s="1"/>
  <c r="N30" i="38"/>
  <c r="N56" i="38" s="1"/>
  <c r="C59" i="39"/>
  <c r="C5" i="48" s="1"/>
  <c r="D5" i="48" s="1"/>
  <c r="N31" i="39"/>
  <c r="N57" i="39" s="1"/>
  <c r="N22" i="39"/>
  <c r="M28" i="39"/>
  <c r="M22" i="40"/>
  <c r="L27" i="40"/>
  <c r="M22" i="38"/>
  <c r="L27" i="38"/>
  <c r="O30" i="40"/>
  <c r="O55" i="40" s="1"/>
  <c r="O30" i="36"/>
  <c r="N60" i="36"/>
  <c r="R24" i="39"/>
  <c r="Z32" i="41"/>
  <c r="N30" i="41"/>
  <c r="N59" i="41" s="1"/>
  <c r="O27" i="36"/>
  <c r="Z25" i="41"/>
  <c r="AA24" i="40"/>
  <c r="AA32" i="40"/>
  <c r="AA33" i="39"/>
  <c r="Z25" i="39"/>
  <c r="AA32" i="38"/>
  <c r="AA24" i="38"/>
  <c r="Z24" i="36"/>
  <c r="AB32" i="36"/>
  <c r="L27" i="41" l="1"/>
  <c r="O18" i="41"/>
  <c r="N20" i="41"/>
  <c r="N21" i="41" s="1"/>
  <c r="O30" i="38"/>
  <c r="O56" i="38" s="1"/>
  <c r="O31" i="39"/>
  <c r="O57" i="39" s="1"/>
  <c r="N22" i="40"/>
  <c r="M27" i="40"/>
  <c r="N22" i="38"/>
  <c r="M27" i="38"/>
  <c r="O22" i="39"/>
  <c r="N28" i="39"/>
  <c r="P30" i="40"/>
  <c r="P55" i="40" s="1"/>
  <c r="C7" i="48"/>
  <c r="D7" i="48" s="1"/>
  <c r="C15" i="49"/>
  <c r="O30" i="41"/>
  <c r="O59" i="41" s="1"/>
  <c r="S24" i="39"/>
  <c r="P30" i="36"/>
  <c r="O60" i="36"/>
  <c r="AA32" i="41"/>
  <c r="P27" i="36"/>
  <c r="AA25" i="41"/>
  <c r="AB32" i="40"/>
  <c r="AB24" i="40"/>
  <c r="AB32" i="38"/>
  <c r="AA25" i="39"/>
  <c r="AB33" i="39"/>
  <c r="AB24" i="38"/>
  <c r="AA24" i="36"/>
  <c r="M27" i="41" l="1"/>
  <c r="P18" i="41"/>
  <c r="O20" i="41"/>
  <c r="O21" i="41" s="1"/>
  <c r="P30" i="38"/>
  <c r="P56" i="38" s="1"/>
  <c r="P31" i="39"/>
  <c r="P57" i="39" s="1"/>
  <c r="O22" i="40"/>
  <c r="N27" i="40"/>
  <c r="P22" i="39"/>
  <c r="O28" i="39"/>
  <c r="O22" i="38"/>
  <c r="N27" i="38"/>
  <c r="Q30" i="40"/>
  <c r="Q55" i="40" s="1"/>
  <c r="AB32" i="41"/>
  <c r="T24" i="39"/>
  <c r="Q27" i="36"/>
  <c r="Q30" i="36"/>
  <c r="P60" i="36"/>
  <c r="P30" i="41"/>
  <c r="P59" i="41" s="1"/>
  <c r="AB25" i="41"/>
  <c r="AC25" i="41" s="1"/>
  <c r="AB25" i="39"/>
  <c r="AB24" i="36"/>
  <c r="N27" i="41" l="1"/>
  <c r="Q18" i="41"/>
  <c r="P20" i="41"/>
  <c r="P21" i="41" s="1"/>
  <c r="Q30" i="38"/>
  <c r="Q56" i="38" s="1"/>
  <c r="Q31" i="39"/>
  <c r="Q57" i="39" s="1"/>
  <c r="AC32" i="41"/>
  <c r="Q22" i="39"/>
  <c r="P28" i="39"/>
  <c r="P22" i="38"/>
  <c r="O27" i="38"/>
  <c r="P22" i="40"/>
  <c r="O27" i="40"/>
  <c r="R30" i="40"/>
  <c r="R55" i="40" s="1"/>
  <c r="R27" i="36"/>
  <c r="Q30" i="41"/>
  <c r="Q59" i="41" s="1"/>
  <c r="R30" i="36"/>
  <c r="Q60" i="36"/>
  <c r="U24" i="39"/>
  <c r="O27" i="41" l="1"/>
  <c r="R18" i="41"/>
  <c r="Q20" i="41"/>
  <c r="Q21" i="41" s="1"/>
  <c r="R30" i="38"/>
  <c r="R56" i="38" s="1"/>
  <c r="R31" i="39"/>
  <c r="R57" i="39" s="1"/>
  <c r="Q22" i="38"/>
  <c r="P27" i="38"/>
  <c r="Q22" i="40"/>
  <c r="P27" i="40"/>
  <c r="R22" i="39"/>
  <c r="Q28" i="39"/>
  <c r="S30" i="40"/>
  <c r="S55" i="40" s="1"/>
  <c r="S30" i="36"/>
  <c r="R60" i="36"/>
  <c r="V24" i="39"/>
  <c r="S27" i="36"/>
  <c r="R30" i="41"/>
  <c r="R59" i="41" s="1"/>
  <c r="P27" i="41" l="1"/>
  <c r="S18" i="41"/>
  <c r="R20" i="41"/>
  <c r="R21" i="41" s="1"/>
  <c r="S30" i="38"/>
  <c r="S56" i="38" s="1"/>
  <c r="S31" i="39"/>
  <c r="S57" i="39" s="1"/>
  <c r="R22" i="40"/>
  <c r="Q27" i="40"/>
  <c r="S22" i="39"/>
  <c r="R28" i="39"/>
  <c r="R22" i="38"/>
  <c r="Q27" i="38"/>
  <c r="T30" i="40"/>
  <c r="T55" i="40" s="1"/>
  <c r="T30" i="36"/>
  <c r="S60" i="36"/>
  <c r="W24" i="39"/>
  <c r="S30" i="41"/>
  <c r="S59" i="41" s="1"/>
  <c r="T27" i="36"/>
  <c r="Q27" i="41" l="1"/>
  <c r="T18" i="41"/>
  <c r="S20" i="41"/>
  <c r="S21" i="41" s="1"/>
  <c r="T30" i="38"/>
  <c r="T56" i="38" s="1"/>
  <c r="T31" i="39"/>
  <c r="T57" i="39" s="1"/>
  <c r="T22" i="39"/>
  <c r="S28" i="39"/>
  <c r="S22" i="38"/>
  <c r="R27" i="38"/>
  <c r="S22" i="40"/>
  <c r="R27" i="40"/>
  <c r="U30" i="40"/>
  <c r="U55" i="40" s="1"/>
  <c r="T30" i="41"/>
  <c r="T59" i="41" s="1"/>
  <c r="U30" i="36"/>
  <c r="T60" i="36"/>
  <c r="U27" i="36"/>
  <c r="X24" i="39"/>
  <c r="R27" i="41" l="1"/>
  <c r="U18" i="41"/>
  <c r="T20" i="41"/>
  <c r="T21" i="41" s="1"/>
  <c r="U30" i="38"/>
  <c r="U56" i="38" s="1"/>
  <c r="U31" i="39"/>
  <c r="U57" i="39" s="1"/>
  <c r="T22" i="38"/>
  <c r="S27" i="38"/>
  <c r="T22" i="40"/>
  <c r="S27" i="40"/>
  <c r="U22" i="39"/>
  <c r="T28" i="39"/>
  <c r="V30" i="40"/>
  <c r="V55" i="40" s="1"/>
  <c r="V27" i="36"/>
  <c r="Y24" i="39"/>
  <c r="U30" i="41"/>
  <c r="U59" i="41" s="1"/>
  <c r="V30" i="36"/>
  <c r="U60" i="36"/>
  <c r="S27" i="41" l="1"/>
  <c r="V18" i="41"/>
  <c r="U20" i="41"/>
  <c r="U21" i="41" s="1"/>
  <c r="V30" i="38"/>
  <c r="V56" i="38" s="1"/>
  <c r="V31" i="39"/>
  <c r="V57" i="39" s="1"/>
  <c r="U22" i="40"/>
  <c r="T27" i="40"/>
  <c r="V22" i="39"/>
  <c r="U28" i="39"/>
  <c r="U22" i="38"/>
  <c r="T27" i="38"/>
  <c r="W30" i="40"/>
  <c r="W55" i="40" s="1"/>
  <c r="W30" i="36"/>
  <c r="V60" i="36"/>
  <c r="Z24" i="39"/>
  <c r="V30" i="41"/>
  <c r="V59" i="41" s="1"/>
  <c r="W27" i="36"/>
  <c r="T27" i="41" l="1"/>
  <c r="W18" i="41"/>
  <c r="V20" i="41"/>
  <c r="V21" i="41" s="1"/>
  <c r="W30" i="38"/>
  <c r="W56" i="38" s="1"/>
  <c r="W31" i="39"/>
  <c r="W57" i="39" s="1"/>
  <c r="W22" i="39"/>
  <c r="V28" i="39"/>
  <c r="V22" i="38"/>
  <c r="U27" i="38"/>
  <c r="V22" i="40"/>
  <c r="U27" i="40"/>
  <c r="X30" i="40"/>
  <c r="X55" i="40" s="1"/>
  <c r="W30" i="41"/>
  <c r="W59" i="41" s="1"/>
  <c r="AA24" i="39"/>
  <c r="X27" i="36"/>
  <c r="X30" i="36"/>
  <c r="W60" i="36"/>
  <c r="U27" i="41" l="1"/>
  <c r="X18" i="41"/>
  <c r="W20" i="41"/>
  <c r="W21" i="41" s="1"/>
  <c r="X30" i="38"/>
  <c r="X56" i="38" s="1"/>
  <c r="X31" i="39"/>
  <c r="X57" i="39" s="1"/>
  <c r="W22" i="40"/>
  <c r="V27" i="40"/>
  <c r="W22" i="38"/>
  <c r="V27" i="38"/>
  <c r="X22" i="39"/>
  <c r="W28" i="39"/>
  <c r="Y30" i="40"/>
  <c r="Y55" i="40" s="1"/>
  <c r="Y30" i="36"/>
  <c r="X60" i="36"/>
  <c r="Y27" i="36"/>
  <c r="AB24" i="39"/>
  <c r="X30" i="41"/>
  <c r="X59" i="41" s="1"/>
  <c r="V27" i="41" l="1"/>
  <c r="Y18" i="41"/>
  <c r="X20" i="41"/>
  <c r="X21" i="41" s="1"/>
  <c r="Y30" i="38"/>
  <c r="Y56" i="38" s="1"/>
  <c r="Y31" i="39"/>
  <c r="Y57" i="39" s="1"/>
  <c r="X22" i="38"/>
  <c r="W27" i="38"/>
  <c r="Y22" i="39"/>
  <c r="X28" i="39"/>
  <c r="X22" i="40"/>
  <c r="W27" i="40"/>
  <c r="Z30" i="40"/>
  <c r="Z55" i="40" s="1"/>
  <c r="Y30" i="41"/>
  <c r="Y59" i="41" s="1"/>
  <c r="Z27" i="36"/>
  <c r="Z30" i="36"/>
  <c r="Y60" i="36"/>
  <c r="W27" i="41" l="1"/>
  <c r="Z18" i="41"/>
  <c r="Y20" i="41"/>
  <c r="Y21" i="41" s="1"/>
  <c r="Z30" i="38"/>
  <c r="Z56" i="38" s="1"/>
  <c r="Z31" i="39"/>
  <c r="Z57" i="39" s="1"/>
  <c r="Z22" i="39"/>
  <c r="Y28" i="39"/>
  <c r="Y22" i="40"/>
  <c r="X27" i="40"/>
  <c r="Y22" i="38"/>
  <c r="X27" i="38"/>
  <c r="AA30" i="40"/>
  <c r="AA55" i="40" s="1"/>
  <c r="AB27" i="36"/>
  <c r="AA27" i="36"/>
  <c r="AA30" i="36"/>
  <c r="Z60" i="36"/>
  <c r="Z30" i="41"/>
  <c r="Z59" i="41" s="1"/>
  <c r="X27" i="41" l="1"/>
  <c r="AA18" i="41"/>
  <c r="Z20" i="41"/>
  <c r="Z21" i="41" s="1"/>
  <c r="AA30" i="38"/>
  <c r="AA56" i="38" s="1"/>
  <c r="AA31" i="39"/>
  <c r="AA57" i="39" s="1"/>
  <c r="Z22" i="40"/>
  <c r="Y27" i="40"/>
  <c r="Z22" i="38"/>
  <c r="Y27" i="38"/>
  <c r="AA22" i="39"/>
  <c r="Z28" i="39"/>
  <c r="AB30" i="40"/>
  <c r="AB55" i="40" s="1"/>
  <c r="AB30" i="36"/>
  <c r="AB60" i="36" s="1"/>
  <c r="AA60" i="36"/>
  <c r="AA30" i="41"/>
  <c r="AA59" i="41" s="1"/>
  <c r="Y27" i="41" l="1"/>
  <c r="AB18" i="41"/>
  <c r="AB20" i="41" s="1"/>
  <c r="AA20" i="41"/>
  <c r="AA21" i="41" s="1"/>
  <c r="AC18" i="41"/>
  <c r="AC20" i="41" s="1"/>
  <c r="AB30" i="38"/>
  <c r="AB56" i="38" s="1"/>
  <c r="AB31" i="39"/>
  <c r="AB57" i="39" s="1"/>
  <c r="AA22" i="38"/>
  <c r="Z27" i="38"/>
  <c r="AB22" i="39"/>
  <c r="AB28" i="39" s="1"/>
  <c r="AA28" i="39"/>
  <c r="AA22" i="40"/>
  <c r="Z27" i="40"/>
  <c r="C58" i="40"/>
  <c r="C64" i="40" s="1"/>
  <c r="C63" i="36"/>
  <c r="AB30" i="41"/>
  <c r="AB59" i="41" s="1"/>
  <c r="C60" i="39" l="1"/>
  <c r="C66" i="39" s="1"/>
  <c r="Z27" i="41"/>
  <c r="AB21" i="41"/>
  <c r="AC21" i="41" s="1"/>
  <c r="C64" i="38"/>
  <c r="C65" i="38"/>
  <c r="AB22" i="40"/>
  <c r="AB27" i="40" s="1"/>
  <c r="AA27" i="40"/>
  <c r="AB22" i="38"/>
  <c r="AB27" i="38" s="1"/>
  <c r="AA27" i="38"/>
  <c r="C63" i="40"/>
  <c r="AC30" i="41"/>
  <c r="C69" i="36"/>
  <c r="C68" i="36"/>
  <c r="C65" i="39" l="1"/>
  <c r="AA27" i="41"/>
  <c r="C62" i="41"/>
  <c r="C67" i="41" s="1"/>
  <c r="AC23" i="41" l="1"/>
  <c r="AB27" i="41"/>
  <c r="AC27" i="41" s="1"/>
  <c r="C68" i="41"/>
</calcChain>
</file>

<file path=xl/sharedStrings.xml><?xml version="1.0" encoding="utf-8"?>
<sst xmlns="http://schemas.openxmlformats.org/spreadsheetml/2006/main" count="6219" uniqueCount="866">
  <si>
    <t>INDC Analysis</t>
  </si>
  <si>
    <t>Country</t>
  </si>
  <si>
    <t>2030 Conditional Mitigation Tagets (tCO2eq)</t>
  </si>
  <si>
    <t>SCPZ Emission Reductions (tCO2eq)</t>
  </si>
  <si>
    <t>Proportion INDC achieved</t>
  </si>
  <si>
    <t xml:space="preserve">Source </t>
  </si>
  <si>
    <t>Togo</t>
  </si>
  <si>
    <t>CDN Togo 2021 - Page 12</t>
  </si>
  <si>
    <t>Senegal</t>
  </si>
  <si>
    <t>CDN senegal - page 20</t>
  </si>
  <si>
    <t>Guinea</t>
  </si>
  <si>
    <t>CDN Guinee - Page 24</t>
  </si>
  <si>
    <t>Total</t>
  </si>
  <si>
    <t xml:space="preserve">GHG Accounting SCPZ </t>
  </si>
  <si>
    <t>Color code:</t>
  </si>
  <si>
    <t>Technology</t>
  </si>
  <si>
    <r>
      <rPr>
        <b/>
        <sz val="11"/>
        <color rgb="FFFF0000"/>
        <rFont val="Calibri"/>
        <family val="2"/>
        <scheme val="minor"/>
      </rPr>
      <t>red cells:</t>
    </r>
    <r>
      <rPr>
        <b/>
        <sz val="11"/>
        <color theme="1"/>
        <rFont val="Calibri"/>
        <family val="2"/>
        <scheme val="minor"/>
      </rPr>
      <t xml:space="preserve">      Assumptions</t>
    </r>
  </si>
  <si>
    <t>Solar PV for irrigation (MW):</t>
  </si>
  <si>
    <t>black cells:    Calculations</t>
  </si>
  <si>
    <t>Solar PV for lighting and processing (MW)</t>
  </si>
  <si>
    <t>Volume Digesters (m3)</t>
  </si>
  <si>
    <t>Assumptions</t>
  </si>
  <si>
    <t>Emission factor (tCO2/MWh) for Diesel</t>
  </si>
  <si>
    <t>Yearly irrigation hours (h)</t>
  </si>
  <si>
    <t>Yearly hours for lighting and processing (h)</t>
  </si>
  <si>
    <t>Yearly hours running Diesel equivallent biogas plants</t>
  </si>
  <si>
    <t>Efficiency of solar PV systems</t>
  </si>
  <si>
    <t xml:space="preserve">Ratio tCH4/tCO2 eq avoided </t>
  </si>
  <si>
    <t>Country digesters ratio compared to overall programme</t>
  </si>
  <si>
    <t>Energy Balance</t>
  </si>
  <si>
    <t>Annual</t>
  </si>
  <si>
    <t>Annual solar energy generation for irrigation (MWh)</t>
  </si>
  <si>
    <t>Annual Solar energy Generation for lighting and processing (MWh)</t>
  </si>
  <si>
    <t>Annual Energy generation from biogas plants (MWh)</t>
  </si>
  <si>
    <t>Emissions Baseline</t>
  </si>
  <si>
    <t>Baseline 100% Diesel for solar irrigation and lighting (tCO2eq)</t>
  </si>
  <si>
    <t xml:space="preserve">Baseline methane discharge from bio-waste (tCO2eq) </t>
  </si>
  <si>
    <t>Baseline Diesel equivallent for biogas generators</t>
  </si>
  <si>
    <t>Baseline non sequestration by agro forestry (6 Years maturity)</t>
  </si>
  <si>
    <t>Baseline non sequestration by crops</t>
  </si>
  <si>
    <t xml:space="preserve">Baseline emissions including CRA and Agroforestry (tCO2eq) </t>
  </si>
  <si>
    <t>Abatement (Energy &amp; Waste)</t>
  </si>
  <si>
    <t>2030 NDC (Ten Years)</t>
  </si>
  <si>
    <t>Lifetime (25 Years)</t>
  </si>
  <si>
    <t>Abatement attributed to solar irrigation systems (tCO2eq)</t>
  </si>
  <si>
    <t>Abatement attributed to solar lighting and processing systems (tCO2eq)</t>
  </si>
  <si>
    <t>Abatement attributed to the proportion of bio-waste digested (tCO2eq)</t>
  </si>
  <si>
    <t>Abatement attibuted to avoided diesel using biogas for electricity (tCO2eq)</t>
  </si>
  <si>
    <t>Crop abatement</t>
  </si>
  <si>
    <t>Project_Estimates_2 (Biogas)</t>
  </si>
  <si>
    <t>Renewable penetration (40% of 122,136,259 kWh)</t>
  </si>
  <si>
    <t>Annual  Generation (MWh)</t>
  </si>
  <si>
    <t>Households supported</t>
  </si>
  <si>
    <t>Emissions per household</t>
  </si>
  <si>
    <t>Net CO2 equivalent emission reduction/Yr (tCO2e/yr)</t>
  </si>
  <si>
    <t>Crop adaptation</t>
  </si>
  <si>
    <t>Emissions avoided per hectare (average across crops and interventions)</t>
  </si>
  <si>
    <t>Total hectares</t>
  </si>
  <si>
    <t>Agroforestry abatement (Total Ha: 40,000)</t>
  </si>
  <si>
    <t>Baseline non sequestration by agro forestry (5 Years maturity)</t>
  </si>
  <si>
    <t>Ex ante estimates abatement by roads construction and rehabilitation (tCo2eq)</t>
  </si>
  <si>
    <t>Total Estimated Emission Reductions</t>
  </si>
  <si>
    <t>Total funding (USD)</t>
  </si>
  <si>
    <t xml:space="preserve">GCF  (USD) </t>
  </si>
  <si>
    <t>Estimated cost per tCO2e</t>
  </si>
  <si>
    <t>Estimated GCF cost per tCO2e</t>
  </si>
  <si>
    <t>Summary of technology development for adopting a low emission path</t>
  </si>
  <si>
    <t>Year</t>
  </si>
  <si>
    <t>Total (25 years)</t>
  </si>
  <si>
    <t>Total yearly low emission energy generated (MWh)</t>
  </si>
  <si>
    <t>Cummulative low emission energy generated (MWh)</t>
  </si>
  <si>
    <t>Baseline non sequestration by agro forestry</t>
  </si>
  <si>
    <t>Agroforestry abatement</t>
  </si>
  <si>
    <t>Please refer to Annex 22B_1, Annex 22B_2 and Annex 22B_3 (FAO - Ex-Ante Carbon Balance Tool)</t>
  </si>
  <si>
    <t>Agroforestry Hectares (Ha)</t>
  </si>
  <si>
    <t xml:space="preserve">Total Ha </t>
  </si>
  <si>
    <t>Total Carbon Sequestered over duration of accounting (25 years)</t>
  </si>
  <si>
    <t>Social Cost of Carbon (USD/tCo2)</t>
  </si>
  <si>
    <t>Total Annual Carbon Sequestered (Agroforestry)</t>
  </si>
  <si>
    <t>Avoided annual social cost of carbon</t>
  </si>
  <si>
    <t>Ex ante abatement estimates from roads constructions and rehabilitations (tCO2eq)</t>
  </si>
  <si>
    <t>Total project Emissions by 2030 NDC Contribution (tCO2e)</t>
  </si>
  <si>
    <t>Total Emissions reductions by 2045 -Project Lifetime (tCo2e) (old)</t>
  </si>
  <si>
    <t>Biogas production-  Financial results</t>
  </si>
  <si>
    <t xml:space="preserve">Parameter </t>
  </si>
  <si>
    <t>Value</t>
  </si>
  <si>
    <t>m3 methane gas available annually</t>
  </si>
  <si>
    <t>Net tCO2 equivalent emission reduction/Yr</t>
  </si>
  <si>
    <t>Annual Cost Savings from Replacement of Kerosene and Wood Charcoal with biogas ($)</t>
  </si>
  <si>
    <t>Total Discounted (Soc Disc) Cost Savings from Replacement of Kerosene and Wood Charcoal with biogas ($) over project lifespan</t>
  </si>
  <si>
    <t>Total Discounted (ESCO Disc) Cost Savings from Replacement of Kerosene and Wood Charcoal with biogas ($) over project lifespan</t>
  </si>
  <si>
    <t>IRR (Y1 - Y25)</t>
  </si>
  <si>
    <t>NPV(Y1 - Y25) at Discount (0.75% implicit for cost of capital)</t>
  </si>
  <si>
    <t>NPV (Y1 - Y25) at Social Discount</t>
  </si>
  <si>
    <t>NPV (Y1 - Y25) at ESCO Discount</t>
  </si>
  <si>
    <t>Electricity production from biogas- financial results</t>
  </si>
  <si>
    <t>Project Capacity (kW)</t>
  </si>
  <si>
    <t>Total cumulative costs</t>
  </si>
  <si>
    <t xml:space="preserve">Annual emissions avoided (tCO2) </t>
  </si>
  <si>
    <t>IRR (20X0-25)</t>
  </si>
  <si>
    <t>IRR with externalities (20X0-25)</t>
  </si>
  <si>
    <t>NPV (20X0-25)</t>
  </si>
  <si>
    <t>Cost of Capital Imp Rate</t>
  </si>
  <si>
    <t xml:space="preserve">Social Discount </t>
  </si>
  <si>
    <t>ESCO Discount Rate</t>
  </si>
  <si>
    <t xml:space="preserve">NPV with externalities </t>
  </si>
  <si>
    <t>Electricity production from Solar- financial results</t>
  </si>
  <si>
    <t>Solar PV for Irrigation (kW)</t>
  </si>
  <si>
    <t>Solar PV for lighting and processing (kW)</t>
  </si>
  <si>
    <t>Total investment</t>
  </si>
  <si>
    <t>SOURCES OF INFORMATION USED IN THE ASSUMPTIONS AND ESTIMATIONS</t>
  </si>
  <si>
    <t>Biteco (2019) http://www.biteco-energy.com/biogas-yield/</t>
  </si>
  <si>
    <t>http://www.fao.org/faostat/en/#data/EMN</t>
  </si>
  <si>
    <t>SGC, (2012). Basic Data on Biogashttp://www.sgc.se/ckfinder/userfiles/files/BasicDataonBiogas2012.pdf</t>
  </si>
  <si>
    <t>Ammenberg, J et al (2017). https://www.diva-portal.org/smash/get/diva2:1156008/FULLTEXT01.pdf</t>
  </si>
  <si>
    <t>LGED (2019) https://sswm.info/sites/default/files/reference_attachments/BRC%20ny%20Design%20Biogas%20Plant.pdf</t>
  </si>
  <si>
    <t>Livestock Manure (Amount excreted in manure (N content) in tonnes (2017)</t>
  </si>
  <si>
    <t>Luminants.</t>
  </si>
  <si>
    <t>Livestock count</t>
  </si>
  <si>
    <t>SAPZs Estimated (2017)</t>
  </si>
  <si>
    <t>Target for the SAPZ project (Togo, Senegal &amp; Guinea)</t>
  </si>
  <si>
    <t>Cattle</t>
  </si>
  <si>
    <t>Sheep &amp; Goats</t>
  </si>
  <si>
    <t>Pigs/Swine</t>
  </si>
  <si>
    <t>Poultry/Chicken</t>
  </si>
  <si>
    <t>Feedstock Basis B. Human, Fish, Food and Agrowaste (tonnes/yr)</t>
  </si>
  <si>
    <t>Fish/aquaculture</t>
  </si>
  <si>
    <t>Agro-residues</t>
  </si>
  <si>
    <t>foodwaste</t>
  </si>
  <si>
    <t>human waste/sewage</t>
  </si>
  <si>
    <t>Biomethane yield and suitability for anaerobic digestion</t>
  </si>
  <si>
    <t>Feedstock</t>
  </si>
  <si>
    <t>Average Discharge (tonne/yr)</t>
  </si>
  <si>
    <t>Yield of Biogas (m3/tonne TS)</t>
  </si>
  <si>
    <t>Annual Biogas Generation (m3/yr)</t>
  </si>
  <si>
    <t>Cattle manure</t>
  </si>
  <si>
    <t>Sheep &amp; Goat manure</t>
  </si>
  <si>
    <t>agrowaste</t>
  </si>
  <si>
    <t>Total (m3/yr)</t>
  </si>
  <si>
    <t>Volume of Digester (m3)</t>
  </si>
  <si>
    <t>Biogas Production Potential (m3) and Net Equivalent Emission Reduction (tCo2eq)</t>
  </si>
  <si>
    <t>Annual Biogas Generation</t>
  </si>
  <si>
    <t>Model uncertainty correction factor 0.94</t>
  </si>
  <si>
    <t>Methane Concentration/ methane conversion factor</t>
  </si>
  <si>
    <t>Annual Methane Mass Rate</t>
  </si>
  <si>
    <t>Methane prevention/avoidance (1 kg = 0.001 tonne)</t>
  </si>
  <si>
    <t>CO2eq equivalent emissions from direct discharge into atmosphere</t>
  </si>
  <si>
    <t>CO2eq emissions from conversion of methane to CO2 during end-use (gas-to-energy)</t>
  </si>
  <si>
    <t>Net CO2 equivalent emission reduction/Yr</t>
  </si>
  <si>
    <t>m3/yr</t>
  </si>
  <si>
    <t>[M3/yr]</t>
  </si>
  <si>
    <t>[%]</t>
  </si>
  <si>
    <t>m3/y</t>
  </si>
  <si>
    <t>kg/yr</t>
  </si>
  <si>
    <t>tCH4</t>
  </si>
  <si>
    <t>tCo2eq</t>
  </si>
  <si>
    <t>Sheep &amp; Goat</t>
  </si>
  <si>
    <t>Pig/swine</t>
  </si>
  <si>
    <t>Poultry/chicken</t>
  </si>
  <si>
    <t>Agro/food waste</t>
  </si>
  <si>
    <t>Human waste/sewage</t>
  </si>
  <si>
    <t>Parameters and Conversion Factors</t>
  </si>
  <si>
    <t>Values</t>
  </si>
  <si>
    <t>Sources.</t>
  </si>
  <si>
    <t>1 m3 of biogas = 0.65 m3 of methane</t>
  </si>
  <si>
    <t>IRENA 2016</t>
  </si>
  <si>
    <t>Energy Value of 1 m3 of methane = 37.78 MJ of energy</t>
  </si>
  <si>
    <t>Murphy et al 2003; Rahma et al 2017</t>
  </si>
  <si>
    <t>Energy Value of 1 m3 of biogas = 21 -23 MJ of energy</t>
  </si>
  <si>
    <t>IRENA 2016; Rahma et al 2017; Murphy et al 2003</t>
  </si>
  <si>
    <t>Calorific Value of 1 m3 of biogas = 6kWh</t>
  </si>
  <si>
    <t>(SSWM, 2017</t>
  </si>
  <si>
    <t>1 m3/day of biogas = 8,060 MJ/year</t>
  </si>
  <si>
    <t xml:space="preserve">Energy Value of 1 kg (or 0.00174 m3) = of fuel wood  = 16 MJ </t>
  </si>
  <si>
    <t>Rahma et al 2017.</t>
  </si>
  <si>
    <t>Energy Value of 1 kg (or 0.00174 m3) =of kerosene = 43 MJ</t>
  </si>
  <si>
    <t>Efficiency of biogas cookstove = 60%</t>
  </si>
  <si>
    <t>Efficiency of kerosene lighting = 6%</t>
  </si>
  <si>
    <t>Efficiency of fuelwood for cooking = 15%</t>
  </si>
  <si>
    <t>Capacity utilization Factor of biodigester = 80%</t>
  </si>
  <si>
    <t>Capacity utilization Factor of Genset = 55%</t>
  </si>
  <si>
    <t>Genset Efficiency 1</t>
  </si>
  <si>
    <t>Assumption  based on Murphy et al 2004</t>
  </si>
  <si>
    <t>Cost of biodigester = $300/m3</t>
  </si>
  <si>
    <t>Assumption based Amigun and Blottnitz (2010) and Idan (2012)</t>
  </si>
  <si>
    <t>Price per cubic meter of methane</t>
  </si>
  <si>
    <t>IRENA 2017</t>
  </si>
  <si>
    <t>Price per liter of Kerosene = $1.6</t>
  </si>
  <si>
    <t xml:space="preserve"> Tracy and Jacobson 2012.</t>
  </si>
  <si>
    <t>Price per kg of Kerosene = 1</t>
  </si>
  <si>
    <t>Price per Tonne of Fuelwood/Wood charcoal = $278</t>
  </si>
  <si>
    <t>FAOSTATS</t>
  </si>
  <si>
    <t>Price pere kg of Urea = $0.25</t>
  </si>
  <si>
    <t xml:space="preserve">Urea Utilization </t>
  </si>
  <si>
    <t>Assumption based on Rahman et al 2017</t>
  </si>
  <si>
    <t>Uncertainty and Market Adjustment for biogas and urea</t>
  </si>
  <si>
    <t>Uncertainty and Market Adjustment for Kerosene and wood charcoal</t>
  </si>
  <si>
    <t>Quality and Standards Agjustment for replacements</t>
  </si>
  <si>
    <t>1 cubic meter = 852.113  kg</t>
  </si>
  <si>
    <t>1 kg = 0.001174 1 cubic meter</t>
  </si>
  <si>
    <t>1 liter = 0.001 cubic meters</t>
  </si>
  <si>
    <t>1 tonne = 2.832 cubic meters</t>
  </si>
  <si>
    <t>1GWh = 1000000 kWh</t>
  </si>
  <si>
    <t>1 GWh = 3.6 Terajoule (TJ)</t>
  </si>
  <si>
    <t>1 GWh = 1000 MWh</t>
  </si>
  <si>
    <t>1 kWh = 3.6 MJ.</t>
  </si>
  <si>
    <t>1 MWh = 1000 kWh</t>
  </si>
  <si>
    <t>1 liter = 1 kg</t>
  </si>
  <si>
    <t>1 tonne = 1000 kg</t>
  </si>
  <si>
    <r>
      <t>kW to Kwh= E</t>
    </r>
    <r>
      <rPr>
        <vertAlign val="subscript"/>
        <sz val="10"/>
        <color rgb="FF222222"/>
        <rFont val="Times New Roman"/>
        <family val="1"/>
      </rPr>
      <t>(kWh)</t>
    </r>
    <r>
      <rPr>
        <sz val="13"/>
        <color rgb="FF222222"/>
        <rFont val="Times New Roman"/>
        <family val="1"/>
      </rPr>
      <t> = </t>
    </r>
    <r>
      <rPr>
        <i/>
        <sz val="13"/>
        <color rgb="FF222222"/>
        <rFont val="Times New Roman"/>
        <family val="1"/>
      </rPr>
      <t>P</t>
    </r>
    <r>
      <rPr>
        <vertAlign val="subscript"/>
        <sz val="10"/>
        <color rgb="FF222222"/>
        <rFont val="Times New Roman"/>
        <family val="1"/>
      </rPr>
      <t>(kW)</t>
    </r>
    <r>
      <rPr>
        <i/>
        <sz val="13"/>
        <color rgb="FF222222"/>
        <rFont val="Times New Roman"/>
        <family val="1"/>
      </rPr>
      <t> </t>
    </r>
    <r>
      <rPr>
        <sz val="13"/>
        <color rgb="FF222222"/>
        <rFont val="Times New Roman"/>
        <family val="1"/>
      </rPr>
      <t>×</t>
    </r>
    <r>
      <rPr>
        <i/>
        <sz val="13"/>
        <color rgb="FF222222"/>
        <rFont val="Times New Roman"/>
        <family val="1"/>
      </rPr>
      <t> t</t>
    </r>
    <r>
      <rPr>
        <vertAlign val="subscript"/>
        <sz val="10"/>
        <color rgb="FF222222"/>
        <rFont val="Times New Roman"/>
        <family val="1"/>
      </rPr>
      <t>(h)</t>
    </r>
  </si>
  <si>
    <r>
      <t>kWh to Kw= P(kW)</t>
    </r>
    <r>
      <rPr>
        <i/>
        <sz val="14"/>
        <color rgb="FF222222"/>
        <rFont val="Times New Roman"/>
        <family val="1"/>
      </rPr>
      <t> = E</t>
    </r>
    <r>
      <rPr>
        <i/>
        <vertAlign val="subscript"/>
        <sz val="14"/>
        <color rgb="FF222222"/>
        <rFont val="Times New Roman"/>
        <family val="1"/>
      </rPr>
      <t>(kWh)</t>
    </r>
    <r>
      <rPr>
        <i/>
        <sz val="14"/>
        <color rgb="FF222222"/>
        <rFont val="Times New Roman"/>
        <family val="1"/>
      </rPr>
      <t> / t</t>
    </r>
    <r>
      <rPr>
        <i/>
        <vertAlign val="subscript"/>
        <sz val="14"/>
        <color rgb="FF222222"/>
        <rFont val="Times New Roman"/>
        <family val="1"/>
      </rPr>
      <t>(h)</t>
    </r>
  </si>
  <si>
    <t>Assumptions for Financial Terms</t>
  </si>
  <si>
    <t>Interest rate from GCF</t>
  </si>
  <si>
    <t>Sovereign operation</t>
  </si>
  <si>
    <t>Cost of borrowing from GCF</t>
  </si>
  <si>
    <t>Social Discount rate</t>
  </si>
  <si>
    <t>Africa/AfDB</t>
  </si>
  <si>
    <t>Private Escos Discount rate</t>
  </si>
  <si>
    <t>As build up</t>
  </si>
  <si>
    <t>Dimensions of Facilities</t>
  </si>
  <si>
    <t>Retention time [days]</t>
  </si>
  <si>
    <t>Total Volume of digester [m3]</t>
  </si>
  <si>
    <t>Annual biogas Generation Adjusted for Capacity Utilization (m3)</t>
  </si>
  <si>
    <t>Annual biogas generation adjusted for Cap. Utilization and efficiency</t>
  </si>
  <si>
    <t>Annual Equivalent utilization in Kerosene (liter) of 30%</t>
  </si>
  <si>
    <t>Annual Equivalent utilization in Fuelwood (tonne) of 70%</t>
  </si>
  <si>
    <t>Annual bioslurry utilization as fertilizer (urea) kg</t>
  </si>
  <si>
    <t xml:space="preserve">Genset Power output [kWh] </t>
  </si>
  <si>
    <t xml:space="preserve">Genset Power output Adjusted for Capacity Utilization [kWh] </t>
  </si>
  <si>
    <t>Project Power Capacity (kW)</t>
  </si>
  <si>
    <t>Expected Expenditure</t>
  </si>
  <si>
    <t>Project Year</t>
  </si>
  <si>
    <t>Y1</t>
  </si>
  <si>
    <t>Y2</t>
  </si>
  <si>
    <t>Y3</t>
  </si>
  <si>
    <t>Y4</t>
  </si>
  <si>
    <t>Y5</t>
  </si>
  <si>
    <t>Y6</t>
  </si>
  <si>
    <t>Y7</t>
  </si>
  <si>
    <t>Y8</t>
  </si>
  <si>
    <t>Y9</t>
  </si>
  <si>
    <t>Y10</t>
  </si>
  <si>
    <t>Y11</t>
  </si>
  <si>
    <t>Y12</t>
  </si>
  <si>
    <t>Y13</t>
  </si>
  <si>
    <t>Y14</t>
  </si>
  <si>
    <t>Y15</t>
  </si>
  <si>
    <t>Y16</t>
  </si>
  <si>
    <t>Y17</t>
  </si>
  <si>
    <t>Y18</t>
  </si>
  <si>
    <t>Y19</t>
  </si>
  <si>
    <t>Y20</t>
  </si>
  <si>
    <t>Y21</t>
  </si>
  <si>
    <t>Y22</t>
  </si>
  <si>
    <t>Y23</t>
  </si>
  <si>
    <t>Y24</t>
  </si>
  <si>
    <t>Y25</t>
  </si>
  <si>
    <t>Discounting Time</t>
  </si>
  <si>
    <t>Total Costs of biodigester and Accessories (US$300/m3)</t>
  </si>
  <si>
    <t>O&amp;M (Annual Average 5%) of digester costs.</t>
  </si>
  <si>
    <t>Total Costs of Biodigester Operation</t>
  </si>
  <si>
    <t>Discounted Expenditure (Social Discount Rate)</t>
  </si>
  <si>
    <t>Discounted Expenditure (ESCO Discount Rate)</t>
  </si>
  <si>
    <t>Expected Revenue</t>
  </si>
  <si>
    <t>Expected Revenue from methane</t>
  </si>
  <si>
    <t>Equivalent revenue from fertilizer/urea</t>
  </si>
  <si>
    <t>Total Expected Revenue</t>
  </si>
  <si>
    <t>Discounted Revenue (Social Discount Rate)</t>
  </si>
  <si>
    <t>Discounted Revenue (ESCO Discount Rate)</t>
  </si>
  <si>
    <t>Annual Cash flow</t>
  </si>
  <si>
    <t>Potential Cost Savings from Replacements</t>
  </si>
  <si>
    <t>Equivalent Cost Savings from Kerosene (30%)</t>
  </si>
  <si>
    <t>Equivalent Cost Savings from wood charcoal</t>
  </si>
  <si>
    <t>Equivalent Cost Saving from fertilizer/urea</t>
  </si>
  <si>
    <t>Total Cost Savings from Replacement</t>
  </si>
  <si>
    <t>Discounted Cost Saving (Social Discount Rate)</t>
  </si>
  <si>
    <t>Discounted Cost Saving (ESCO Discount Rate)</t>
  </si>
  <si>
    <t xml:space="preserve">Potential Carbon Emission Avoidance </t>
  </si>
  <si>
    <t>Annual Equivalent utilization in Kerosene (kg) of 30%</t>
  </si>
  <si>
    <t>Annual Power Output of kerosene (kWh)</t>
  </si>
  <si>
    <t>Annual Power Output of kerosene (kWh) Adjusted for Capacity Utilization</t>
  </si>
  <si>
    <t>Annual Equivalent utilization in Wood Charcoal (kg) of 70%</t>
  </si>
  <si>
    <t>Annual Power Output of Wood Charcoal (kWh)</t>
  </si>
  <si>
    <t>Annual Power Output of Wood Charcoal (kWh) Adjusted for Capacity Utilization</t>
  </si>
  <si>
    <t>Summary.</t>
  </si>
  <si>
    <t>References.</t>
  </si>
  <si>
    <t>IRENA 2016. Measuring small-scale biogas
capacity and production</t>
  </si>
  <si>
    <t>Murphy et al (2003). Murphy, J.D., McKeogh, E. and Kiely, G. (2004) Technical/Economic/Environmental Analysis of Biogas Utilisation. Applied Energy, 77, 407-427. https://www.ucc.ie/en/media/research/hydromet/MurphyPaper.2004.pdf</t>
  </si>
  <si>
    <t>Rahman et al (2017). Md Mizanur Rahman, Mohd Faizal Hasan, Aminuddin Saat, and Mazlan Abdul Wahid (2017). Economics of biogas plants and solar home systems: For household energy applications. Journal of Advanced Research in Fluid Mechanics and Thermal Sciences Volume 33, Issue 1 (2017) 14-26. https://www.researchgate.net/publication/318503013</t>
  </si>
  <si>
    <t>Jennifer Tracy and Arne Jacobson. The True Cost of Kerosene in Rural Africa  https://www.lightingglobal.org/wp-content/uploads/2012/04/40_kerosene_pricing_Lighting_Africa_Report.pdf</t>
  </si>
  <si>
    <t>FAOSTAT. http://www.fao.org/faostat/en/#data/FO</t>
  </si>
  <si>
    <t>IPCC Emissions Factor Database. Greenhouse Gas Protocol. Calculation Tools. ghgprotocol.org/calculation-tools</t>
  </si>
  <si>
    <t>Emission Factors</t>
  </si>
  <si>
    <t>Technology Assumptions</t>
  </si>
  <si>
    <t>Source.</t>
  </si>
  <si>
    <t>Capital Cost ($/kW)</t>
  </si>
  <si>
    <t>IRENA (2012)</t>
  </si>
  <si>
    <t>Installed Capital Cost ($/kW)</t>
  </si>
  <si>
    <t>Grid Emission Factor</t>
  </si>
  <si>
    <t>gCO2/kwh</t>
  </si>
  <si>
    <t>Fixed O&amp;M ($/kW)</t>
  </si>
  <si>
    <t>USD / kW</t>
  </si>
  <si>
    <t>Fixed O&amp;M Escalation</t>
  </si>
  <si>
    <t>Variable O&amp;M ($/kWh)</t>
  </si>
  <si>
    <t>USD / kWh</t>
  </si>
  <si>
    <t>Total O &amp; M ($/kWh)</t>
  </si>
  <si>
    <t>Capacity factor Biogas Power System</t>
  </si>
  <si>
    <t>%</t>
  </si>
  <si>
    <t>Assumption</t>
  </si>
  <si>
    <t>Guinea, Senegal and Togo</t>
  </si>
  <si>
    <t>Capacity factor diesel</t>
  </si>
  <si>
    <t>Combined Margin Grid Emission Factor, gCO2/kWh</t>
  </si>
  <si>
    <t>Hours per year</t>
  </si>
  <si>
    <t>Hour / Year</t>
  </si>
  <si>
    <t>The IFI Dataset of Default Grid Factors</t>
  </si>
  <si>
    <t>v.2.0</t>
  </si>
  <si>
    <t xml:space="preserve">Electricity price (grid) </t>
  </si>
  <si>
    <t>Assumption based on Trimble et. al/ World Bank 2016</t>
  </si>
  <si>
    <t>Electricty price (diesel)</t>
  </si>
  <si>
    <t>Assumption based on IEA 2020 for Countries with Diesel based power systems</t>
  </si>
  <si>
    <t xml:space="preserve">Emission factor (grid) </t>
  </si>
  <si>
    <t>kg / kWh</t>
  </si>
  <si>
    <t>Average based on IFI Dataset</t>
  </si>
  <si>
    <t>Adjusted Emission Factor (grid)</t>
  </si>
  <si>
    <t xml:space="preserve">Emission factor of Diesel per GJ </t>
  </si>
  <si>
    <t>Kg CO2/GJ</t>
  </si>
  <si>
    <t>https://ghgprotocol.org/sites/default/files/Emission_Factors_from_Cross_Sector_Tools_March_2017.xlsx</t>
  </si>
  <si>
    <t xml:space="preserve">Emission factor (diesel) </t>
  </si>
  <si>
    <t>Assumption based on AE GHG Tool</t>
  </si>
  <si>
    <t>Degradation</t>
  </si>
  <si>
    <t>Total Capital Cost</t>
  </si>
  <si>
    <t>USD</t>
  </si>
  <si>
    <t>1000 kWh</t>
  </si>
  <si>
    <t>MWh</t>
  </si>
  <si>
    <t>Kilogram per ton</t>
  </si>
  <si>
    <t>Kg / Ton</t>
  </si>
  <si>
    <t>GJ per kWh</t>
  </si>
  <si>
    <t>GJ / kWh</t>
  </si>
  <si>
    <t>Financial/Economic Assumptions</t>
  </si>
  <si>
    <t>Debt Percentage</t>
  </si>
  <si>
    <t>Interest Rate</t>
  </si>
  <si>
    <t>Debt Term</t>
  </si>
  <si>
    <t>Years</t>
  </si>
  <si>
    <t xml:space="preserve">Economic Life </t>
  </si>
  <si>
    <t>Cost of Equity</t>
  </si>
  <si>
    <t>Cost of Capital Implicit Discount Rate</t>
  </si>
  <si>
    <t>Social Discount Rate</t>
  </si>
  <si>
    <t>AE/Africa</t>
  </si>
  <si>
    <t>Private ESCO Discount Rate</t>
  </si>
  <si>
    <t>Build up</t>
  </si>
  <si>
    <t>Project summary</t>
  </si>
  <si>
    <t>Cumulative capital investment</t>
  </si>
  <si>
    <t xml:space="preserve">Cumulative O&amp;M costs </t>
  </si>
  <si>
    <t xml:space="preserve">Avoided electricity expenditure </t>
  </si>
  <si>
    <t xml:space="preserve">Avoided social cost of carbon </t>
  </si>
  <si>
    <t>Net cumulative costs</t>
  </si>
  <si>
    <t>Project summary (per kWh)</t>
  </si>
  <si>
    <t>LCOE</t>
  </si>
  <si>
    <t xml:space="preserve">LCOE </t>
  </si>
  <si>
    <r>
      <t>USD</t>
    </r>
    <r>
      <rPr>
        <sz val="5"/>
        <rFont val="Arial"/>
        <family val="2"/>
      </rPr>
      <t>2019</t>
    </r>
    <r>
      <rPr>
        <i/>
        <sz val="5"/>
        <rFont val="Arial"/>
        <family val="2"/>
      </rPr>
      <t xml:space="preserve"> </t>
    </r>
    <r>
      <rPr>
        <i/>
        <sz val="10"/>
        <rFont val="Arial"/>
        <family val="2"/>
      </rPr>
      <t>/ kWh</t>
    </r>
  </si>
  <si>
    <t>LCOE (with externalities)</t>
  </si>
  <si>
    <r>
      <t>USD</t>
    </r>
    <r>
      <rPr>
        <sz val="5"/>
        <rFont val="Arial"/>
        <family val="2"/>
      </rPr>
      <t>2019</t>
    </r>
    <r>
      <rPr>
        <i/>
        <sz val="5"/>
        <rFont val="Arial"/>
        <family val="2"/>
      </rPr>
      <t xml:space="preserve"> </t>
    </r>
    <r>
      <rPr>
        <i/>
        <sz val="10"/>
        <rFont val="Arial"/>
        <family val="2"/>
      </rPr>
      <t>/ GJ</t>
    </r>
  </si>
  <si>
    <t>LCOE  (with externalities)</t>
  </si>
  <si>
    <t>Electricity expenditure and emissions</t>
  </si>
  <si>
    <t>Unit</t>
  </si>
  <si>
    <t>Avoided electricity expenditure (grid)</t>
  </si>
  <si>
    <t xml:space="preserve">Avoided electricity expenditure (diesel) </t>
  </si>
  <si>
    <t xml:space="preserve">Avoided emissions (grid) </t>
  </si>
  <si>
    <t>Kg</t>
  </si>
  <si>
    <t>Avoided emissions (diesel)</t>
  </si>
  <si>
    <t>Cumulative generation</t>
  </si>
  <si>
    <t>kWh</t>
  </si>
  <si>
    <t>Cumulative avoided emissions (grid)</t>
  </si>
  <si>
    <t>Tons</t>
  </si>
  <si>
    <t>20X1</t>
  </si>
  <si>
    <t>20X2</t>
  </si>
  <si>
    <t>20X3</t>
  </si>
  <si>
    <t>20X4</t>
  </si>
  <si>
    <t>20X5</t>
  </si>
  <si>
    <t>20X6</t>
  </si>
  <si>
    <t>20X7</t>
  </si>
  <si>
    <t>20X8</t>
  </si>
  <si>
    <t>20X9</t>
  </si>
  <si>
    <t>20X10</t>
  </si>
  <si>
    <t>20X11</t>
  </si>
  <si>
    <t>20X12</t>
  </si>
  <si>
    <t>20X13</t>
  </si>
  <si>
    <t>20X14</t>
  </si>
  <si>
    <t>20X15</t>
  </si>
  <si>
    <t>20X16</t>
  </si>
  <si>
    <t>20X17</t>
  </si>
  <si>
    <t>20X18</t>
  </si>
  <si>
    <t>20X19</t>
  </si>
  <si>
    <t>20X20</t>
  </si>
  <si>
    <t>20X21</t>
  </si>
  <si>
    <t>20X22</t>
  </si>
  <si>
    <t>20X23</t>
  </si>
  <si>
    <t>20X24</t>
  </si>
  <si>
    <t>20X25</t>
  </si>
  <si>
    <t>20X26</t>
  </si>
  <si>
    <t>20X27</t>
  </si>
  <si>
    <t>20X28</t>
  </si>
  <si>
    <t>20X29</t>
  </si>
  <si>
    <t>20X30</t>
  </si>
  <si>
    <t>20X31</t>
  </si>
  <si>
    <t>20X32</t>
  </si>
  <si>
    <t>20X33</t>
  </si>
  <si>
    <t>20X34</t>
  </si>
  <si>
    <t>20X35</t>
  </si>
  <si>
    <t>20X36</t>
  </si>
  <si>
    <t>Time step for discounting</t>
  </si>
  <si>
    <t>Annual Generation (kWh)</t>
  </si>
  <si>
    <t>kWh / Year</t>
  </si>
  <si>
    <t xml:space="preserve">Cumulative generation </t>
  </si>
  <si>
    <t>Annual O&amp;M costs</t>
  </si>
  <si>
    <t>Total O &amp; M Cost ($/kWh)</t>
  </si>
  <si>
    <t>Annual O&amp;M</t>
  </si>
  <si>
    <t>USD / Year</t>
  </si>
  <si>
    <t>Variable O&amp;M</t>
  </si>
  <si>
    <t>Fuel cost diesel</t>
  </si>
  <si>
    <t>Operating Expenses</t>
  </si>
  <si>
    <t>Cumulative O&amp;M costs solar</t>
  </si>
  <si>
    <t>Fixed O&amp;M</t>
  </si>
  <si>
    <t>Total cumulative O&amp;M</t>
  </si>
  <si>
    <t>Capital investment</t>
  </si>
  <si>
    <t xml:space="preserve">Total years of financing </t>
  </si>
  <si>
    <t>Annual capital investment</t>
  </si>
  <si>
    <t>Financing payments</t>
  </si>
  <si>
    <t>Interest Payment</t>
  </si>
  <si>
    <t>Principal Payment</t>
  </si>
  <si>
    <t xml:space="preserve">Total costs of financing </t>
  </si>
  <si>
    <t>Total Annual cost</t>
  </si>
  <si>
    <t>Upfront payment</t>
  </si>
  <si>
    <t>Debt Service</t>
  </si>
  <si>
    <t>Equity payment</t>
  </si>
  <si>
    <t>Equity funding</t>
  </si>
  <si>
    <t>NPV Energy</t>
  </si>
  <si>
    <r>
      <t>kWh</t>
    </r>
    <r>
      <rPr>
        <sz val="5"/>
        <rFont val="Arial"/>
        <family val="2"/>
      </rPr>
      <t>2019</t>
    </r>
    <r>
      <rPr>
        <i/>
        <sz val="5"/>
        <rFont val="Arial"/>
        <family val="2"/>
      </rPr>
      <t xml:space="preserve"> </t>
    </r>
    <r>
      <rPr>
        <i/>
        <sz val="10"/>
        <rFont val="Arial"/>
        <family val="2"/>
      </rPr>
      <t>/ Year</t>
    </r>
  </si>
  <si>
    <t>Present Value Cost</t>
  </si>
  <si>
    <r>
      <t>USD</t>
    </r>
    <r>
      <rPr>
        <sz val="5"/>
        <rFont val="Arial"/>
        <family val="2"/>
      </rPr>
      <t>2019</t>
    </r>
    <r>
      <rPr>
        <i/>
        <sz val="5"/>
        <rFont val="Arial"/>
        <family val="2"/>
      </rPr>
      <t xml:space="preserve"> </t>
    </r>
    <r>
      <rPr>
        <i/>
        <sz val="10"/>
        <rFont val="Arial"/>
        <family val="2"/>
      </rPr>
      <t>/ Year</t>
    </r>
  </si>
  <si>
    <t>Present Value Cost (with externalities)</t>
  </si>
  <si>
    <r>
      <t>USD</t>
    </r>
    <r>
      <rPr>
        <i/>
        <sz val="5"/>
        <rFont val="Arial"/>
        <family val="2"/>
      </rPr>
      <t xml:space="preserve">2019 </t>
    </r>
    <r>
      <rPr>
        <i/>
        <sz val="10"/>
        <rFont val="Arial"/>
        <family val="2"/>
      </rPr>
      <t>/ Year</t>
    </r>
  </si>
  <si>
    <t>(1) Present value revenues if all sold</t>
  </si>
  <si>
    <t>(2) Present value revenues if consumed</t>
  </si>
  <si>
    <t>Present value externalities</t>
  </si>
  <si>
    <t>Emissions relative to grid electricity</t>
  </si>
  <si>
    <t>Ton / Year</t>
  </si>
  <si>
    <t xml:space="preserve">Avoided electricity cost </t>
  </si>
  <si>
    <t>Avoided electricity cost (grid)</t>
  </si>
  <si>
    <t>Cumulative avoided electricity cost (grid)</t>
  </si>
  <si>
    <t>Externalities</t>
  </si>
  <si>
    <t>Avoided social cost of carbon (SCC)</t>
  </si>
  <si>
    <t>Social cost of carbon per ton of CO2</t>
  </si>
  <si>
    <t>USD / Ton</t>
  </si>
  <si>
    <t>Cumulative social cost of carbon</t>
  </si>
  <si>
    <t>Additional costs of carbon compared to grid</t>
  </si>
  <si>
    <t>Cumulative difference in SCC</t>
  </si>
  <si>
    <t>Calculation of annual net benefits</t>
  </si>
  <si>
    <t>Annual benefits</t>
  </si>
  <si>
    <t xml:space="preserve">O&amp;M costs </t>
  </si>
  <si>
    <t>Fuel costs</t>
  </si>
  <si>
    <t>Total cost</t>
  </si>
  <si>
    <t>Annual net benefits</t>
  </si>
  <si>
    <t>IRR calculations</t>
  </si>
  <si>
    <t>Revenue calculations @grid price</t>
  </si>
  <si>
    <t>Total costs</t>
  </si>
  <si>
    <t>Profits</t>
  </si>
  <si>
    <t>Profits + externalities</t>
  </si>
  <si>
    <t>Cumulative revenues</t>
  </si>
  <si>
    <t>Cumulative profits</t>
  </si>
  <si>
    <t>Cumulative profits (inc. externalities)</t>
  </si>
  <si>
    <t>NPV with externalities (20X0-25)</t>
  </si>
  <si>
    <t>IRENA 2012. RENEWABLE ENERGY TECHNOLOGIES: COST ANALYSIS SERIES. Volume 1: Power Sector. Issue 5/. Biomass for Power Generation.
. https://www.irena.org/publications/2012/Jun/Renewable-Energy-Cost-Analysis---Biomass-for-Power-Generation</t>
  </si>
  <si>
    <t>Chris Trimble, Masami Kojima, Ines Perez Arroyo, Farah Mohammadzadeh. Financial Viability of Electricity Sectors 
in Sub-Saharan Africa. Quasi-Fiscal Deficits and Hidden Costs. https://documents.worldbank.org/en/publication/documents-reports/documentdetail/182071470748085038/financial-viability-of-electricity-sectors-in-sub-saharan-africa-quasi-fiscal-deficits-and-hidden-costs</t>
  </si>
  <si>
    <t>IEA. Energy Prices. May 2020. https://www.iea.org/reports/energy-prices-2020</t>
  </si>
  <si>
    <t>The IFI Dataset of Default Grid Factors v.2.0. https://unfccc.int/sites/default/files/resource/Harmonized_Grid_Emission_factor_data_set.pdf</t>
  </si>
  <si>
    <t>Solar PV for irrigation (kW):</t>
  </si>
  <si>
    <t>Total Project Solar PV Capacity (kW)</t>
  </si>
  <si>
    <t>Capital Cost Solar PV ($1000/kW)</t>
  </si>
  <si>
    <t>Capital Cost Solar irrigation system accessories ($500/kW)</t>
  </si>
  <si>
    <t>Fixed and Variable O&amp;M (10% of Capital Cost)</t>
  </si>
  <si>
    <t>Variable O&amp;M Escalation</t>
  </si>
  <si>
    <t>Capacity factor solar</t>
  </si>
  <si>
    <t>Assumption based on SunMetrix</t>
  </si>
  <si>
    <t>Hours per year (irrigation)</t>
  </si>
  <si>
    <t>Hours per year (processing)</t>
  </si>
  <si>
    <t xml:space="preserve">Electricity price (tariff) </t>
  </si>
  <si>
    <t>Electricty price (diesel generator)</t>
  </si>
  <si>
    <t>Annual solar energy generation for irrigation (kWh)</t>
  </si>
  <si>
    <t>Annual Solar energy Generation for lighting and processing (kWh)</t>
  </si>
  <si>
    <t>kg / MWh</t>
  </si>
  <si>
    <t>Total GJ</t>
  </si>
  <si>
    <t>Total Capital Investments (Solar processing and irrigation)</t>
  </si>
  <si>
    <t>Cost of Capital Imp Discount Rate</t>
  </si>
  <si>
    <t>Fixed and Variable O&amp;M</t>
  </si>
  <si>
    <t>Total capital investment</t>
  </si>
  <si>
    <t>Annual emissions Avoided (tCO2eq)</t>
  </si>
  <si>
    <t xml:space="preserve">Cumulative Avoided Emissions </t>
  </si>
  <si>
    <t>IRR (2XX0-2X25)</t>
  </si>
  <si>
    <t>IRR with externalities (2XX0-2X25)</t>
  </si>
  <si>
    <t>NPV (2XX0-2X25)</t>
  </si>
  <si>
    <t>NPV with externalities (2XX0-2X25)</t>
  </si>
  <si>
    <t>Reference</t>
  </si>
  <si>
    <t>SunMetrix. What is capacity factor and how do solar and wind energy compare?. https://sunmetrix.com/what-is-capacity-factor-and-how-does-solar-energy-compare/#:~:text=What%20is%20capacity%20factor%20and%20how%20do%20solar,%20%2070%25%20%202%20more%20rows%20</t>
  </si>
  <si>
    <t>Roads contruction GHG Accounting</t>
  </si>
  <si>
    <t>Emission factor for new roads - converting existing rural roads to all weather roads (tCO2eq/km):</t>
  </si>
  <si>
    <t>https://www.adb.org/sites/default/files/publication/28555/estimating-carbon-footprints-road-projects.pdf</t>
  </si>
  <si>
    <t>Emission factor for roads rehabilitated  - Widening, streghtening of existing pavement (tCO2eq/km):</t>
  </si>
  <si>
    <t>New Access roads constructed (km)</t>
  </si>
  <si>
    <t>Roads rehabilitated</t>
  </si>
  <si>
    <t>Programme emissions (tCO2eq)</t>
  </si>
  <si>
    <t>Ethiopia</t>
  </si>
  <si>
    <t>ENERGY DEMAND FOR PROCESSING</t>
  </si>
  <si>
    <t>Efficiency</t>
  </si>
  <si>
    <t>Estimation of Energy Demand for processing in Ethiopia.</t>
  </si>
  <si>
    <t>Pattern of use</t>
  </si>
  <si>
    <t>Total Area Hectares (ha)</t>
  </si>
  <si>
    <t>Average Yield per hectare (kg/ha)</t>
  </si>
  <si>
    <t>Total Expected Yield per Year</t>
  </si>
  <si>
    <t>Post Harvest Losses(%)</t>
  </si>
  <si>
    <t>Expected Average Yield Available for Processing</t>
  </si>
  <si>
    <t>Average Energy Usage (Wh/kg/)</t>
  </si>
  <si>
    <t>Annual Energy Usage for Processing (KWh/kg/year)</t>
  </si>
  <si>
    <t>Cereal</t>
  </si>
  <si>
    <t>Roots and Tubers</t>
  </si>
  <si>
    <t>Legumes and Nuts</t>
  </si>
  <si>
    <t>Vegetables and Fruits</t>
  </si>
  <si>
    <t>Average Energy Demand (kWh/year)</t>
  </si>
  <si>
    <t>Country Capacity Adjustment Factor after National Consultation</t>
  </si>
  <si>
    <t>Previous formula for D17</t>
  </si>
  <si>
    <t>Average Energy Demand after Capacity Adjustment (kWh/year)</t>
  </si>
  <si>
    <t>Annual Energy from Biogas Generation (kWh/year)</t>
  </si>
  <si>
    <t>Revised sizing (kW) following 34 m3 digestor</t>
  </si>
  <si>
    <t>Country ratio of
 revised sizing</t>
  </si>
  <si>
    <t>Adjusted sizing (kW)</t>
  </si>
  <si>
    <t>Previous costing
USD for Solar + bio digester</t>
  </si>
  <si>
    <t>Annual Solar Energy Generation (kWh)</t>
  </si>
  <si>
    <t>New costing for bio digestor (USD)</t>
  </si>
  <si>
    <t>Annual Solar Energy Generation Adjusted for Efficiency (kWh)</t>
  </si>
  <si>
    <t xml:space="preserve">Balance to be used for solar lighting and processing </t>
  </si>
  <si>
    <t>Installed Capacity of Solar (KW)</t>
  </si>
  <si>
    <t>Price per Watt  USD/W</t>
  </si>
  <si>
    <t>Estimation of Energy Demand for processing in Guinea.</t>
  </si>
  <si>
    <t>Average Energy Demand  (kWh/year)</t>
  </si>
  <si>
    <t>Average Energy Demand after Adjustment (kWh/year)</t>
  </si>
  <si>
    <t>Estimation of Energy Demand for processing in Senegal.</t>
  </si>
  <si>
    <t>Estimation of Energy Demand for processing in Togo.</t>
  </si>
  <si>
    <t>Average Energy Usage (Wh/kg/yr)</t>
  </si>
  <si>
    <t>Total Installed Capacity of Solar for SCPZ</t>
  </si>
  <si>
    <t>ENERGY DEMAND FOR SOLAR IRRIGATION.</t>
  </si>
  <si>
    <t>Conversions</t>
  </si>
  <si>
    <t xml:space="preserve">1 hectare = 0.0001 square meter </t>
  </si>
  <si>
    <t xml:space="preserve">Number of hours of operation/day = </t>
  </si>
  <si>
    <t>1 Kwh = 1000 Wh.</t>
  </si>
  <si>
    <t xml:space="preserve">number of hours of operation/Yr = </t>
  </si>
  <si>
    <t>kW to kWh</t>
  </si>
  <si>
    <r>
      <t>E</t>
    </r>
    <r>
      <rPr>
        <vertAlign val="subscript"/>
        <sz val="10"/>
        <color rgb="FF222222"/>
        <rFont val="Times New Roman"/>
        <family val="1"/>
      </rPr>
      <t>(kWh)</t>
    </r>
    <r>
      <rPr>
        <sz val="13"/>
        <color rgb="FF222222"/>
        <rFont val="Times New Roman"/>
        <family val="1"/>
      </rPr>
      <t> = </t>
    </r>
    <r>
      <rPr>
        <i/>
        <sz val="13"/>
        <color rgb="FF222222"/>
        <rFont val="Times New Roman"/>
        <family val="1"/>
      </rPr>
      <t>P</t>
    </r>
    <r>
      <rPr>
        <vertAlign val="subscript"/>
        <sz val="10"/>
        <color rgb="FF222222"/>
        <rFont val="Times New Roman"/>
        <family val="1"/>
      </rPr>
      <t>(kW)</t>
    </r>
    <r>
      <rPr>
        <i/>
        <sz val="13"/>
        <color rgb="FF222222"/>
        <rFont val="Times New Roman"/>
        <family val="1"/>
      </rPr>
      <t> </t>
    </r>
    <r>
      <rPr>
        <sz val="13"/>
        <color rgb="FF222222"/>
        <rFont val="Times New Roman"/>
        <family val="1"/>
      </rPr>
      <t>×</t>
    </r>
    <r>
      <rPr>
        <i/>
        <sz val="13"/>
        <color rgb="FF222222"/>
        <rFont val="Times New Roman"/>
        <family val="1"/>
      </rPr>
      <t> t</t>
    </r>
    <r>
      <rPr>
        <vertAlign val="subscript"/>
        <sz val="10"/>
        <color rgb="FF222222"/>
        <rFont val="Times New Roman"/>
        <family val="1"/>
      </rPr>
      <t>(h)</t>
    </r>
  </si>
  <si>
    <t>kWh to kW</t>
  </si>
  <si>
    <r>
      <rPr>
        <vertAlign val="subscript"/>
        <sz val="10"/>
        <color rgb="FF222222"/>
        <rFont val="Times New Roman"/>
        <family val="1"/>
      </rPr>
      <t>P(kW)</t>
    </r>
    <r>
      <rPr>
        <sz val="13"/>
        <color rgb="FF222222"/>
        <rFont val="Times New Roman"/>
        <family val="1"/>
      </rPr>
      <t> = E</t>
    </r>
    <r>
      <rPr>
        <vertAlign val="subscript"/>
        <sz val="10"/>
        <color rgb="FF222222"/>
        <rFont val="Times New Roman"/>
        <family val="1"/>
      </rPr>
      <t>(kWh)</t>
    </r>
    <r>
      <rPr>
        <i/>
        <sz val="13"/>
        <color rgb="FF222222"/>
        <rFont val="Times New Roman"/>
        <family val="1"/>
      </rPr>
      <t> / t</t>
    </r>
    <r>
      <rPr>
        <vertAlign val="subscript"/>
        <sz val="10"/>
        <color rgb="FF222222"/>
        <rFont val="Times New Roman"/>
        <family val="1"/>
      </rPr>
      <t>(h)</t>
    </r>
  </si>
  <si>
    <t>Column1</t>
  </si>
  <si>
    <t>Column2</t>
  </si>
  <si>
    <t>Column3</t>
  </si>
  <si>
    <t>Column4</t>
  </si>
  <si>
    <t>Column5</t>
  </si>
  <si>
    <t>Energy (kWh/ha/)</t>
  </si>
  <si>
    <t>Operation of irrigation pumps (hours/day)</t>
  </si>
  <si>
    <t>Installed Power (kW/ha)</t>
  </si>
  <si>
    <t>Daily energy use for solar pumping at (0.1 hectare) after Wazed et al (2018)</t>
  </si>
  <si>
    <t>Daily energy use for solar pumping at 1 hectare</t>
  </si>
  <si>
    <t>Solar Irrigation</t>
  </si>
  <si>
    <t>SCPZs Countries</t>
  </si>
  <si>
    <t>Farm Land Covered (ha)</t>
  </si>
  <si>
    <t>Solar Capacity Required (kW)</t>
  </si>
  <si>
    <t>for 1000</t>
  </si>
  <si>
    <t xml:space="preserve">Total </t>
  </si>
  <si>
    <t>Solar Irrigation Total</t>
  </si>
  <si>
    <t>Installed Capacity per hectare (kW/ha)</t>
  </si>
  <si>
    <t>Solar energy generation per year (kWh/year)</t>
  </si>
  <si>
    <t>Total kW capacity needed</t>
  </si>
  <si>
    <t xml:space="preserve"> Costs per watts</t>
  </si>
  <si>
    <t>$1.5/watts</t>
  </si>
  <si>
    <t>Total Annual Energy Generation from Solar</t>
  </si>
  <si>
    <t>Annual Solar Energy Generation for Irrigation (kWh)</t>
  </si>
  <si>
    <t>Total Annual Solar Generation (kWh)</t>
  </si>
  <si>
    <t>Total Installed Capacity of Solar and Irrigation for SCPZ</t>
  </si>
  <si>
    <t>References</t>
  </si>
  <si>
    <t>(1). The measurement of energy consumption during milling
different cereals using the sieve analyses
L. Chladek*
, P. Vaculik and A. Vagova https://agronomy.emu.ee/wp-content/uploads/2018/05/Vol16S2_5.pdf</t>
  </si>
  <si>
    <t>(2). Solar Energy and Post-Harvest Loss Reduction
in Roots and Tubers in Africa
Kingsley O. Ukoba, Member, IAENG, Freddie L. Inambao, and Prudence Njiru -http://www.iaeng.org/publication/WCECS2018/WCECS2018_pp244-248.pdf</t>
  </si>
  <si>
    <t>(3). Analysis of energy usage in the production of three selected cassava-based foods in Nigeria, Journal of Food Engineering, 2007Simeon  Jekayinfa	
Simeon Jekayinfa - https://www.academia.edu/11919866/Analysis_of_energy_usage_in_the_production_of_three_selected_cassava-based_foods_in_Nigeria</t>
  </si>
  <si>
    <t>(4). Processing and Utilization of Legumes in the Tropics, Subuola Fasoyiro, Yudi Widodo, and Kehinde Adekunbi Taiwo. https://www.researchgate.net/publication/224829993_Processing_and_Utilization_of_Legumes_in_the_Tropics</t>
  </si>
  <si>
    <t>(5). Mapping energy consumption in food manufacturing, Alia Ladha-Sabura, SerafimBakalis, Peter J.Fryer, and Estefania Lopez-Quirogaa. https://www.sciencedirect.com/science/article/pii/S0924224417303394</t>
  </si>
  <si>
    <t>(6). World Bank. Agriculture in Africa : Telling Myths from Facts; Editors. Christiaensen, Luc, Demery, Lionel. Is Post-Harvest Loss Significant in Sub-Saharan Africa? https://www.worldbank.org/en/programs/africa-myths-and-facts/publication/is-post-harvest-loss-significant-in-sub-saharan-africa</t>
  </si>
  <si>
    <t>(7). Energy Consumption Optimization in Irrigation
Networks Supplied by a Standalone Direct Pumping 
Photovoltaic System
 Miguel Ángel Pardo Picazo 1,* , Juan Manzano Juárez 2 and Diego García-Márquez 1. https://www.mdpi.com/2071-1050/10/11/4203</t>
  </si>
  <si>
    <t>(8). A Cost-Effective Methodology for Sizing Solar PV
Systems for Existing Irrigation Facilities in Chile
Aldo Barrueto Guzmán
1
, Rodrigo Barraza Vicencio 2,*, Jorge Alfredo Ardila-Rey 1 ID
,
Eduardo Núñez Ahumada 2
, Arturo González Araya 2 and Gerardo Arancibia Moreno 3. https://www.mdpi.com/1996-1073/11/7/1853</t>
  </si>
  <si>
    <t>(9). Response of Rice to Weather Variables. L R Oldeman, D V Seshu and F B Cady - https://books.google.ci/books?id=ZHhDM1TyQUYC&amp;pg=PA226&amp;lpg=PA226&amp;dq=solar+irrigation+(kWh/ha)&amp;source=bl&amp;ots=w4d4rjt8QR&amp;sig=ACfU3U1hge2ju8xejiE6iWVaP9mvNS-s3w&amp;hl=en&amp;sa=X&amp;ved=2ahUKEwjWwafnz6TpAhVFKBoKHVrUDwU4ChDoATABegQIChAB#v=onepage&amp;q=solar%20irrigation%20(kWh%2Fha)&amp;f=false</t>
  </si>
  <si>
    <t>(10). Soto-García, M.; Martin-Gorriz, B.; García-Bastida, P.A.; Alcon, F.; Martínez-Alvarez, V. Energy consumption
for crop irrigation in a semiarid climate (south-eastern Spain). Energy 2013, 55, 1084–1093. https://www.sciencedirect.com/science/article/abs/pii/S0360544213002223</t>
  </si>
  <si>
    <t>(11) Deveci O, Onkol M, Unver HO, Ozturk Z. Design and development of a low-cost
solar powered drip irrigation system using Systems Modeling Language. J Clean
Prod 2015;102:529–44. http://dx.doi.org/10.1016/j.jclepro.2015.04.124.</t>
  </si>
  <si>
    <t>(12) A review of sustainable solar irrigation systems for Sub-Saharan Africa, Saeed Mohammed Wazed, Ben Hughes, Dominic O'Connor, John Kaiser S. Calautit. https://www.researchgate.net/publication/319666224_A_review_of_sustainable_solar_irrigation_systems_for_Sub-Saharan_Africa</t>
  </si>
  <si>
    <t xml:space="preserve">(13). solar PV power for a project in Turkey covering 1000 m2
and containing over 100 trees, it was considered that it would require
1450 l of water/day. From June to October, the site was irrigated 2 h a
day with the help of an automatic timer. The PV panels (generating
132 Wh/day using two 10 W PV panels to generate 12 VDC) charged a
battery (14 Ah, 12 VDC) buffer throughout the day during available
sunlight using Maximum Power Point Tracker (MMPT) to increase the
PV conversion efficiency to operate at the maximum power point of the
I-V curve. </t>
  </si>
  <si>
    <t>GHG Accounting SCPZ Ethiopia</t>
  </si>
  <si>
    <t>Cashew</t>
  </si>
  <si>
    <t>Mango</t>
  </si>
  <si>
    <t>**Coffee</t>
  </si>
  <si>
    <t>Woodlot</t>
  </si>
  <si>
    <t>Total Ha</t>
  </si>
  <si>
    <t>*Trees per hectare</t>
  </si>
  <si>
    <t xml:space="preserve">Total trees </t>
  </si>
  <si>
    <t>Carbon Stored per Ha (Tonnes)*</t>
  </si>
  <si>
    <t>Total Carbon Sequestered</t>
  </si>
  <si>
    <t>NPV (2XX0-2X25) at Social Discount (0.75% surrogate for cost of capital)</t>
  </si>
  <si>
    <t>NPV (2XX0-2X25) at Social Discount</t>
  </si>
  <si>
    <t>NPV (2XX0-2X25) at ESCO Discount</t>
  </si>
  <si>
    <t>LPG Equivalent (kg)</t>
  </si>
  <si>
    <t>kg</t>
  </si>
  <si>
    <t xml:space="preserve">Price of LPG </t>
  </si>
  <si>
    <t>$/kg</t>
  </si>
  <si>
    <t>Annual revenue from Equivalent biogas</t>
  </si>
  <si>
    <t>$/yr</t>
  </si>
  <si>
    <t>Energy value of methane 0.95(37.78 MJ/m3 = 35.9 MJ/m3</t>
  </si>
  <si>
    <t>Total Costs of biodigester and Accessories (US$300/m3</t>
  </si>
  <si>
    <t>1 kWh [kilowatt hour] = 3.6 MJ [megaJoule]</t>
  </si>
  <si>
    <t>Murphy</t>
  </si>
  <si>
    <t>O&amp;M (Annual Average 10%) of digester costs.</t>
  </si>
  <si>
    <t>Total Costs over the First Year of Operation</t>
  </si>
  <si>
    <t>Total Costs over the digester lifespan</t>
  </si>
  <si>
    <t>1 m3 of biogas = 21 MJ</t>
  </si>
  <si>
    <t>Cashflow of First Year of Operation</t>
  </si>
  <si>
    <t>1 kWh = 3.6  MJ</t>
  </si>
  <si>
    <t>Annual Cashflow after First Year of Operation</t>
  </si>
  <si>
    <t>NPV at 75 bps</t>
  </si>
  <si>
    <t>NPV at 125 bps</t>
  </si>
  <si>
    <t>Kwh to KW</t>
  </si>
  <si>
    <t>Hours</t>
  </si>
  <si>
    <t>income</t>
  </si>
  <si>
    <t>digester volume</t>
  </si>
  <si>
    <t>income/volume</t>
  </si>
  <si>
    <t>GHG Accounting SCPZ Guinea</t>
  </si>
  <si>
    <t>Please refer to Annex 22B_1,  (FAO - Ex-Ante Carbon Balance Tool)</t>
  </si>
  <si>
    <t>Total 10,000 ha</t>
  </si>
  <si>
    <t>GHG Accounting SCPZ Senegal</t>
  </si>
  <si>
    <t>Baseline 100% Diesel for lighting and processing</t>
  </si>
  <si>
    <t>Please refer to Annex 22B_2 (FAO - Ex-Ante Carbon Balance Tool)</t>
  </si>
  <si>
    <t>Total 20,000Ha</t>
  </si>
  <si>
    <t>Area</t>
  </si>
  <si>
    <t>Item</t>
  </si>
  <si>
    <t>Group</t>
  </si>
  <si>
    <t>Element</t>
  </si>
  <si>
    <t>Y1995</t>
  </si>
  <si>
    <t>Y1996</t>
  </si>
  <si>
    <t>Y1997</t>
  </si>
  <si>
    <t>Y1998</t>
  </si>
  <si>
    <t>Y1999</t>
  </si>
  <si>
    <t>Y2000</t>
  </si>
  <si>
    <t>Y2001</t>
  </si>
  <si>
    <t>Y2002</t>
  </si>
  <si>
    <t>Y2003</t>
  </si>
  <si>
    <t>Y2004</t>
  </si>
  <si>
    <t>Y2005</t>
  </si>
  <si>
    <t>Y2006</t>
  </si>
  <si>
    <t>Y2007</t>
  </si>
  <si>
    <t>Y2008</t>
  </si>
  <si>
    <t>Y2009</t>
  </si>
  <si>
    <t>Y2010</t>
  </si>
  <si>
    <t>Y2011</t>
  </si>
  <si>
    <t>Y2012</t>
  </si>
  <si>
    <t>Y2013</t>
  </si>
  <si>
    <t>Y2014</t>
  </si>
  <si>
    <t>Y2015</t>
  </si>
  <si>
    <t>Y2016</t>
  </si>
  <si>
    <t>Y2017</t>
  </si>
  <si>
    <t>Y2018</t>
  </si>
  <si>
    <t>Average (1995-2018)</t>
  </si>
  <si>
    <t>Coffee, green</t>
  </si>
  <si>
    <t>Cash</t>
  </si>
  <si>
    <t>Yield</t>
  </si>
  <si>
    <t>hg/ha</t>
  </si>
  <si>
    <t>Oilcrops</t>
  </si>
  <si>
    <t>Oilcrops, Cake Equivalent</t>
  </si>
  <si>
    <t>Oilcrops, Oil Equivalent</t>
  </si>
  <si>
    <t>Column6</t>
  </si>
  <si>
    <t>Column7</t>
  </si>
  <si>
    <t>Column8</t>
  </si>
  <si>
    <t>Column9</t>
  </si>
  <si>
    <t>Column10</t>
  </si>
  <si>
    <t>Column11</t>
  </si>
  <si>
    <t>Column12</t>
  </si>
  <si>
    <t>Column13</t>
  </si>
  <si>
    <t>Column14</t>
  </si>
  <si>
    <t>Column15</t>
  </si>
  <si>
    <t>Column16</t>
  </si>
  <si>
    <t>Column17</t>
  </si>
  <si>
    <t>Column18</t>
  </si>
  <si>
    <t>Column19</t>
  </si>
  <si>
    <t>Column20</t>
  </si>
  <si>
    <t>Column21</t>
  </si>
  <si>
    <t>Column22</t>
  </si>
  <si>
    <t>Column23</t>
  </si>
  <si>
    <t>Column24</t>
  </si>
  <si>
    <t>Column25</t>
  </si>
  <si>
    <t>Column26</t>
  </si>
  <si>
    <t>Column27</t>
  </si>
  <si>
    <t>Column28</t>
  </si>
  <si>
    <t>Column29</t>
  </si>
  <si>
    <t>Column30</t>
  </si>
  <si>
    <t>Barley</t>
  </si>
  <si>
    <t>Maize</t>
  </si>
  <si>
    <t>Millet</t>
  </si>
  <si>
    <t>Sorghum</t>
  </si>
  <si>
    <t>Wheat</t>
  </si>
  <si>
    <t>Anise, badian, fennel, coriander</t>
  </si>
  <si>
    <t>Fruits and Vegetables</t>
  </si>
  <si>
    <t>Avocados</t>
  </si>
  <si>
    <t>Bananas</t>
  </si>
  <si>
    <t>Cabbages and other brassicas</t>
  </si>
  <si>
    <t>Carrots and turnips</t>
  </si>
  <si>
    <t>Chillies and peppers, dry</t>
  </si>
  <si>
    <t>Chillies and peppers, green</t>
  </si>
  <si>
    <t>Cucumbers and gherkins</t>
  </si>
  <si>
    <t>Garlic</t>
  </si>
  <si>
    <t>Ginger</t>
  </si>
  <si>
    <t>Grapes</t>
  </si>
  <si>
    <t>Hops</t>
  </si>
  <si>
    <t>Leeks, other alliaceous vegetables</t>
  </si>
  <si>
    <t>Lemons and limes</t>
  </si>
  <si>
    <t>Lettuce and chicory</t>
  </si>
  <si>
    <t>Linseed</t>
  </si>
  <si>
    <t>Mangoes, mangosteens, guavas</t>
  </si>
  <si>
    <t>Mustard seed</t>
  </si>
  <si>
    <t>Oilseeds nes</t>
  </si>
  <si>
    <t>Onions, dry</t>
  </si>
  <si>
    <t>Onions, shallots, green</t>
  </si>
  <si>
    <t>Oranges</t>
  </si>
  <si>
    <t>Papayas</t>
  </si>
  <si>
    <t>Peaches and nectarines</t>
  </si>
  <si>
    <t>Pepper (piper spp.)</t>
  </si>
  <si>
    <t>Pineapples</t>
  </si>
  <si>
    <t>Rapeseed</t>
  </si>
  <si>
    <t>Safflower seed</t>
  </si>
  <si>
    <t>Spices nes</t>
  </si>
  <si>
    <t>Tangerines, mandarins, clementines, satsumas</t>
  </si>
  <si>
    <t>Tomatoes</t>
  </si>
  <si>
    <t>Beans, dry</t>
  </si>
  <si>
    <t>Beans, green</t>
  </si>
  <si>
    <t>Broad beans, horse beans, dry</t>
  </si>
  <si>
    <t>Chick peas</t>
  </si>
  <si>
    <t>Groundnuts, with shell</t>
  </si>
  <si>
    <t>Lentils</t>
  </si>
  <si>
    <t>Nutmeg, mace and cardamoms</t>
  </si>
  <si>
    <t>Peas, dry</t>
  </si>
  <si>
    <t>Peas, green</t>
  </si>
  <si>
    <t>Soybeans</t>
  </si>
  <si>
    <t>Treenuts, Total</t>
  </si>
  <si>
    <t>Potatoes</t>
  </si>
  <si>
    <t>Roots and tubers nes</t>
  </si>
  <si>
    <t>Sweet potatoes</t>
  </si>
  <si>
    <t>Yams</t>
  </si>
  <si>
    <t>Coconuts</t>
  </si>
  <si>
    <t>Oil palm fruit</t>
  </si>
  <si>
    <t>Sugar cane</t>
  </si>
  <si>
    <t>Tobacco, unmanufactured</t>
  </si>
  <si>
    <t>Fonio</t>
  </si>
  <si>
    <t>Rice, paddy</t>
  </si>
  <si>
    <t>Melonseed</t>
  </si>
  <si>
    <t>Seed cotton</t>
  </si>
  <si>
    <t>Sesame seed</t>
  </si>
  <si>
    <t>Cashew nuts, with shell</t>
  </si>
  <si>
    <t>Cow peas, dry</t>
  </si>
  <si>
    <t>Cassava</t>
  </si>
  <si>
    <t>Y1990</t>
  </si>
  <si>
    <t>Y1991</t>
  </si>
  <si>
    <t>Y1992</t>
  </si>
  <si>
    <t>Y1993</t>
  </si>
  <si>
    <t>Y1994</t>
  </si>
  <si>
    <t>Cocoa, beans</t>
  </si>
  <si>
    <t>Column31</t>
  </si>
  <si>
    <t>Column32</t>
  </si>
  <si>
    <t>Column33</t>
  </si>
  <si>
    <t>Column34</t>
  </si>
  <si>
    <t>Column35</t>
  </si>
  <si>
    <t>Bambara beans</t>
  </si>
  <si>
    <t>Karite nuts (sheanuts)</t>
  </si>
  <si>
    <t>Taro (cocoyam)</t>
  </si>
  <si>
    <t>Livestock headcount</t>
  </si>
  <si>
    <t>0.1% of headcount for biodigestion</t>
  </si>
  <si>
    <t>agro/food waste</t>
  </si>
  <si>
    <t>Head count</t>
  </si>
  <si>
    <t>10% livestock headcount for Togo</t>
  </si>
  <si>
    <t>agro/foodwaste</t>
  </si>
  <si>
    <t>Livestock  headcount</t>
  </si>
  <si>
    <t>Livestock Headcount (2019)</t>
  </si>
  <si>
    <t>2.5% of headcount for biodigestion</t>
  </si>
  <si>
    <t>Livestock Headcount</t>
  </si>
  <si>
    <t>2% of livestock headcount for biodigestion</t>
  </si>
  <si>
    <t>Domain</t>
  </si>
  <si>
    <t xml:space="preserve"> Value </t>
  </si>
  <si>
    <t>tonnes</t>
  </si>
  <si>
    <t>SAPZ</t>
  </si>
  <si>
    <t>Flag Description</t>
  </si>
  <si>
    <t>Livestock Manure</t>
  </si>
  <si>
    <t>Amount excreted in manure (N content)</t>
  </si>
  <si>
    <t>Cattle, dairy</t>
  </si>
  <si>
    <t>Calculated data</t>
  </si>
  <si>
    <t>Cattle, non-dairy</t>
  </si>
  <si>
    <t>Chickens, broilers</t>
  </si>
  <si>
    <t>Chickens, layers</t>
  </si>
  <si>
    <t>Goats</t>
  </si>
  <si>
    <t>Sheep</t>
  </si>
  <si>
    <t>Swine, breeding</t>
  </si>
  <si>
    <t>Swine, market</t>
  </si>
  <si>
    <t>Country - Senegal</t>
  </si>
  <si>
    <t>Sheep and Goat</t>
  </si>
  <si>
    <t>Pig/ Swine</t>
  </si>
  <si>
    <t>Poultry/ Chicken</t>
  </si>
  <si>
    <t>Fish/ aquaculture (tons)</t>
  </si>
  <si>
    <t>Agrowaste</t>
  </si>
  <si>
    <t>Human waste</t>
  </si>
  <si>
    <t xml:space="preserve">Source of information </t>
  </si>
  <si>
    <t>South Agropole - 2020
data from 2019</t>
  </si>
  <si>
    <t>http://www.ansd.sn/ressources/publications/12-SES-2017-2018_Peche-aquaculture.pdf
http://www.ansd.sn/ressources/ses/SES-Ziguinchor-2019.pdf</t>
  </si>
  <si>
    <t>http://www.ansd.sn/ressources/ses/SES-Sedhiou-2019.pdf</t>
  </si>
  <si>
    <t>http://www.ansd.sn/ressources/ses/SES-Kolda-2019.pdf</t>
  </si>
  <si>
    <t>No of Menages</t>
  </si>
  <si>
    <t>Boke</t>
  </si>
  <si>
    <t>Country data Guinee
2019</t>
  </si>
  <si>
    <t xml:space="preserve">Poultry/ Chicken </t>
  </si>
  <si>
    <t>Fish/ aquaculture</t>
  </si>
  <si>
    <t>Kankan</t>
  </si>
  <si>
    <t>No de volaille</t>
  </si>
  <si>
    <t>% de menages</t>
  </si>
  <si>
    <t>No tetes</t>
  </si>
  <si>
    <t>https://www.stat-guinee.org/images/Documents/Publications/INS/annuelles/annuaire/ANNUAIRE_STATISTIQUE_AGRICOLE__2019_INS_FINALISE.pdf</t>
  </si>
  <si>
    <t>Country data Togo 2020- for 2017</t>
  </si>
  <si>
    <t>Kara</t>
  </si>
  <si>
    <t>Annuaire statistique regional de kara 
https://inseed.tg/download-page/?dlm-dp-dl=2986</t>
  </si>
  <si>
    <t>Country data Ethiopia 2020</t>
  </si>
  <si>
    <t>Oromia</t>
  </si>
  <si>
    <t>N/A</t>
  </si>
  <si>
    <t>https://livestocklab.ifas.ufl.edu/media/livestocklabifasufledu/pdf-/LSIL_Livestock_Systems_Overview_Ethiopia_2021_08.pdf</t>
  </si>
  <si>
    <t>SNNP</t>
  </si>
  <si>
    <t>Amhara</t>
  </si>
  <si>
    <t>Tigray</t>
  </si>
  <si>
    <t xml:space="preserve">Capacity Installed
 kW - PV / m3 - biogas </t>
  </si>
  <si>
    <t>Grant Amount
USD</t>
  </si>
  <si>
    <t>Loan Amount
USD</t>
  </si>
  <si>
    <t>Total
USD</t>
  </si>
  <si>
    <t xml:space="preserve">Grant ratio </t>
  </si>
  <si>
    <t>Loan ratio</t>
  </si>
  <si>
    <t>Solar PV (previous)</t>
  </si>
  <si>
    <t>PV</t>
  </si>
  <si>
    <t>Biodigester Volume previous</t>
  </si>
  <si>
    <t>Biodigestor</t>
  </si>
  <si>
    <t>Total cost PV and Biodigestor (Previous)</t>
  </si>
  <si>
    <t>Biodigester Volume (New)</t>
  </si>
  <si>
    <t>Amount remaining for PV</t>
  </si>
  <si>
    <t>Price per kW</t>
  </si>
  <si>
    <t>New PV sizing (W)</t>
  </si>
  <si>
    <t xml:space="preserve">Solar PV (New) </t>
  </si>
  <si>
    <t>Total Cost PV and Biodigestor (New)</t>
  </si>
  <si>
    <t>grant ratio</t>
  </si>
  <si>
    <t>Loan Ratio</t>
  </si>
  <si>
    <t>Groups</t>
  </si>
  <si>
    <t>Plantains and others</t>
  </si>
  <si>
    <t>Rubber, natural</t>
  </si>
  <si>
    <t>Maize, green</t>
  </si>
  <si>
    <t>Melons, other (inc.cantaloupes)</t>
  </si>
  <si>
    <t>Nuts 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</si>
</sst>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6">
    <numFmt numFmtId="8" formatCode="&quot;$&quot;#,##0.00_);[Red]\(&quot;$&quot;#,##0.00\)"/>
    <numFmt numFmtId="44" formatCode="_(&quot;$&quot;* #,##0.00_);_(&quot;$&quot;* \(#,##0.00\);_(&quot;$&quot;* &quot;-&quot;??_);_(@_)"/>
    <numFmt numFmtId="43" formatCode="_(* #,##0.00_);_(* \(#,##0.00\);_(* &quot;-&quot;??_);_(@_)"/>
    <numFmt numFmtId="164" formatCode="_-* #,##0.00_-;\-* #,##0.00_-;_-* &quot;-&quot;??_-;_-@_-"/>
    <numFmt numFmtId="165" formatCode="_-* #,##0_-;\-* #,##0_-;_-* &quot;-&quot;??_-;_-@_-"/>
    <numFmt numFmtId="166" formatCode="0.000"/>
    <numFmt numFmtId="167" formatCode="_(* #,##0.0_);_(* \(#,##0.0\);_(* &quot;-&quot;?_);_(@_)"/>
    <numFmt numFmtId="168" formatCode="0.0"/>
    <numFmt numFmtId="169" formatCode="&quot;$&quot;#,##0.0"/>
    <numFmt numFmtId="170" formatCode="_(* #,##0_);_(* \(#,##0\);_(* &quot;-&quot;??_);_(@_)"/>
    <numFmt numFmtId="171" formatCode="#,##0;\(#,##0\);&quot;-&quot;"/>
    <numFmt numFmtId="172" formatCode="_-* #,##0\ _€_-;\-* #,##0\ _€_-;_-* &quot;-&quot;??\ _€_-;_-@_-"/>
    <numFmt numFmtId="173" formatCode="0.0%;\(0.0%\)"/>
    <numFmt numFmtId="174" formatCode="_-* #,##0.00\ _€_-;\-* #,##0.00\ _€_-;_-* &quot;-&quot;??\ _€_-;_-@_-"/>
    <numFmt numFmtId="175" formatCode="#,##0.000"/>
    <numFmt numFmtId="176" formatCode="&quot;$&quot;#,##0.00"/>
    <numFmt numFmtId="177" formatCode="#,##0.0"/>
    <numFmt numFmtId="178" formatCode="0.0%"/>
    <numFmt numFmtId="179" formatCode="_(* #,##0.000_);_(* \(#,##0.000\);_(* &quot;-&quot;??_);_(@_)"/>
    <numFmt numFmtId="180" formatCode="0.0000"/>
    <numFmt numFmtId="181" formatCode="&quot;$&quot;#,##0"/>
    <numFmt numFmtId="182" formatCode="&quot;$&quot;#,##0.000"/>
    <numFmt numFmtId="183" formatCode="[$$-409]#,##0.000"/>
    <numFmt numFmtId="184" formatCode="#,##0.0000"/>
    <numFmt numFmtId="185" formatCode="[$$-409]#,##0.00"/>
    <numFmt numFmtId="186" formatCode="[$$-409]#,##0"/>
    <numFmt numFmtId="187" formatCode="0.0000%"/>
    <numFmt numFmtId="188" formatCode="_-* #,##0.000_-;\-* #,##0.000_-;_-* &quot;-&quot;??_-;_-@_-"/>
    <numFmt numFmtId="189" formatCode="_-* #,##0.000000_-;\-* #,##0.000000_-;_-* &quot;-&quot;??_-;_-@_-"/>
    <numFmt numFmtId="190" formatCode="0.000%"/>
    <numFmt numFmtId="191" formatCode="_-* #,##0.0000_-;\-* #,##0.0000_-;_-* &quot;-&quot;??_-;_-@_-"/>
    <numFmt numFmtId="192" formatCode="_(* #,##0.0000_);_(* \(#,##0.0000\);_(* &quot;-&quot;??_);_(@_)"/>
    <numFmt numFmtId="193" formatCode="_-* #,##0.0_-;\-* #,##0.0_-;_-* &quot;-&quot;??_-;_-@_-"/>
    <numFmt numFmtId="194" formatCode="_-* #,##0.00000_-;\-* #,##0.00000_-;_-* &quot;-&quot;??_-;_-@_-"/>
    <numFmt numFmtId="195" formatCode="[$$-409]#,##0_ ;\-[$$-409]#,##0\ "/>
    <numFmt numFmtId="196" formatCode="#,##0_ ;\-#,##0\ "/>
  </numFmts>
  <fonts count="80">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sz val="10"/>
      <color theme="1"/>
      <name val="Arial"/>
      <family val="2"/>
    </font>
    <font>
      <b/>
      <sz val="10"/>
      <color theme="1"/>
      <name val="Arial"/>
      <family val="2"/>
    </font>
    <font>
      <u/>
      <sz val="10"/>
      <color theme="10"/>
      <name val="Arial"/>
      <family val="2"/>
    </font>
    <font>
      <sz val="10"/>
      <color rgb="FF0000FF"/>
      <name val="Arial"/>
      <family val="2"/>
    </font>
    <font>
      <b/>
      <sz val="10"/>
      <color rgb="FF0000FF"/>
      <name val="Arial"/>
      <family val="2"/>
    </font>
    <font>
      <sz val="10"/>
      <name val="Arial"/>
      <family val="2"/>
    </font>
    <font>
      <sz val="11"/>
      <color rgb="FF9C0006"/>
      <name val="Calibri"/>
      <family val="2"/>
      <scheme val="minor"/>
    </font>
    <font>
      <sz val="11"/>
      <color rgb="FF9C5700"/>
      <name val="Calibri"/>
      <family val="2"/>
      <scheme val="minor"/>
    </font>
    <font>
      <sz val="11"/>
      <color rgb="FFFF0000"/>
      <name val="Calibri"/>
      <family val="2"/>
      <scheme val="minor"/>
    </font>
    <font>
      <b/>
      <sz val="11"/>
      <name val="Calibri"/>
      <family val="2"/>
    </font>
    <font>
      <b/>
      <sz val="9"/>
      <color rgb="FF5C2718"/>
      <name val="Eurostile-Reg"/>
    </font>
    <font>
      <sz val="9"/>
      <color rgb="FF5C2718"/>
      <name val="Eurostile-Reg"/>
    </font>
    <font>
      <sz val="8"/>
      <color rgb="FF222222"/>
      <name val="Arial"/>
      <family val="2"/>
    </font>
    <font>
      <u/>
      <sz val="11"/>
      <color theme="10"/>
      <name val="Calibri"/>
      <family val="2"/>
    </font>
    <font>
      <b/>
      <sz val="14"/>
      <color theme="1"/>
      <name val="Calibri"/>
      <family val="2"/>
      <scheme val="minor"/>
    </font>
    <font>
      <sz val="11"/>
      <color rgb="FF002060"/>
      <name val="Calibri"/>
      <family val="2"/>
      <scheme val="minor"/>
    </font>
    <font>
      <b/>
      <sz val="9"/>
      <color rgb="FF002060"/>
      <name val="Eurostile-Reg"/>
    </font>
    <font>
      <b/>
      <sz val="11"/>
      <color rgb="FF002060"/>
      <name val="Calibri"/>
      <family val="2"/>
      <scheme val="minor"/>
    </font>
    <font>
      <b/>
      <sz val="9"/>
      <color rgb="FFC00000"/>
      <name val="Eurostile-Reg"/>
    </font>
    <font>
      <b/>
      <sz val="11"/>
      <color rgb="FFFF0000"/>
      <name val="Calibri"/>
      <family val="2"/>
      <scheme val="minor"/>
    </font>
    <font>
      <sz val="18"/>
      <color rgb="FFC00000"/>
      <name val="Calibri"/>
      <family val="2"/>
      <scheme val="minor"/>
    </font>
    <font>
      <b/>
      <sz val="16"/>
      <color rgb="FF002060"/>
      <name val="Calibri"/>
      <family val="2"/>
      <scheme val="minor"/>
    </font>
    <font>
      <b/>
      <sz val="10"/>
      <color rgb="FF9C0006"/>
      <name val="Arial"/>
      <family val="2"/>
    </font>
    <font>
      <b/>
      <sz val="10"/>
      <color rgb="FF9C6500"/>
      <name val="Arial"/>
      <family val="2"/>
    </font>
    <font>
      <b/>
      <sz val="11"/>
      <color rgb="FF002060"/>
      <name val="Eurostile-Reg"/>
    </font>
    <font>
      <b/>
      <sz val="14"/>
      <color rgb="FF002060"/>
      <name val="Arial"/>
      <family val="2"/>
    </font>
    <font>
      <sz val="9"/>
      <color rgb="FF002060"/>
      <name val="Calibri"/>
      <family val="2"/>
      <scheme val="minor"/>
    </font>
    <font>
      <b/>
      <sz val="9"/>
      <color rgb="FF002060"/>
      <name val="Calibri"/>
      <family val="2"/>
      <scheme val="minor"/>
    </font>
    <font>
      <b/>
      <sz val="10"/>
      <color rgb="FF002060"/>
      <name val="Arial"/>
      <family val="2"/>
    </font>
    <font>
      <sz val="11"/>
      <color rgb="FF2E2E2E"/>
      <name val="Calibri"/>
      <family val="2"/>
      <scheme val="minor"/>
    </font>
    <font>
      <sz val="11"/>
      <color rgb="FF006100"/>
      <name val="Calibri"/>
      <family val="2"/>
      <scheme val="minor"/>
    </font>
    <font>
      <sz val="9"/>
      <color rgb="FF000000"/>
      <name val="Segoe UI"/>
      <family val="2"/>
    </font>
    <font>
      <b/>
      <sz val="11"/>
      <color rgb="FF006100"/>
      <name val="Calibri"/>
      <family val="2"/>
      <scheme val="minor"/>
    </font>
    <font>
      <b/>
      <sz val="11"/>
      <color rgb="FF0070C0"/>
      <name val="Calibri"/>
      <family val="2"/>
      <scheme val="minor"/>
    </font>
    <font>
      <b/>
      <sz val="12"/>
      <color rgb="FF000000"/>
      <name val="Segoe UI"/>
      <family val="2"/>
    </font>
    <font>
      <b/>
      <u/>
      <sz val="12"/>
      <color rgb="FF000000"/>
      <name val="Segoe UI"/>
      <family val="2"/>
    </font>
    <font>
      <sz val="12"/>
      <color rgb="FF000000"/>
      <name val="Segoe UI"/>
      <family val="2"/>
    </font>
    <font>
      <sz val="11"/>
      <name val="Calibri"/>
      <family val="2"/>
      <scheme val="minor"/>
    </font>
    <font>
      <sz val="11"/>
      <color theme="4" tint="-0.249977111117893"/>
      <name val="Calibri"/>
      <family val="2"/>
      <scheme val="minor"/>
    </font>
    <font>
      <sz val="11"/>
      <color rgb="FF000000"/>
      <name val="Calibri"/>
      <family val="2"/>
    </font>
    <font>
      <b/>
      <sz val="10"/>
      <name val="Arial"/>
      <family val="2"/>
    </font>
    <font>
      <sz val="10"/>
      <color indexed="12"/>
      <name val="Arial"/>
      <family val="2"/>
    </font>
    <font>
      <sz val="10"/>
      <color rgb="FFFF0000"/>
      <name val="Arial"/>
      <family val="2"/>
    </font>
    <font>
      <sz val="5"/>
      <name val="Arial"/>
      <family val="2"/>
    </font>
    <font>
      <i/>
      <sz val="5"/>
      <name val="Arial"/>
      <family val="2"/>
    </font>
    <font>
      <i/>
      <sz val="10"/>
      <name val="Arial"/>
      <family val="2"/>
    </font>
    <font>
      <sz val="5"/>
      <color rgb="FFFF0000"/>
      <name val="Arial"/>
      <family val="2"/>
    </font>
    <font>
      <b/>
      <sz val="10"/>
      <color rgb="FFFF0000"/>
      <name val="Arial"/>
      <family val="2"/>
    </font>
    <font>
      <b/>
      <sz val="9"/>
      <color rgb="FF000000"/>
      <name val="Segoe UI"/>
      <family val="2"/>
    </font>
    <font>
      <i/>
      <sz val="10"/>
      <color rgb="FFFF0000"/>
      <name val="Arial"/>
      <family val="2"/>
    </font>
    <font>
      <sz val="8"/>
      <name val="Arial"/>
      <family val="2"/>
    </font>
    <font>
      <sz val="10"/>
      <name val="Arial"/>
      <family val="2"/>
    </font>
    <font>
      <i/>
      <sz val="13"/>
      <color rgb="FF222222"/>
      <name val="Times New Roman"/>
      <family val="1"/>
    </font>
    <font>
      <vertAlign val="subscript"/>
      <sz val="10"/>
      <color rgb="FF222222"/>
      <name val="Times New Roman"/>
      <family val="1"/>
    </font>
    <font>
      <sz val="13"/>
      <color rgb="FF222222"/>
      <name val="Times New Roman"/>
      <family val="1"/>
    </font>
    <font>
      <b/>
      <sz val="14"/>
      <color rgb="FF00B050"/>
      <name val="Calibri"/>
      <family val="2"/>
      <scheme val="minor"/>
    </font>
    <font>
      <sz val="10"/>
      <color rgb="FF00B050"/>
      <name val="Arial"/>
      <family val="2"/>
    </font>
    <font>
      <sz val="10"/>
      <color rgb="FF00B0F0"/>
      <name val="Arial"/>
      <family val="2"/>
    </font>
    <font>
      <sz val="11"/>
      <name val="Calibri"/>
      <family val="2"/>
    </font>
    <font>
      <sz val="10"/>
      <color rgb="FF000000"/>
      <name val="Arial"/>
      <family val="2"/>
    </font>
    <font>
      <i/>
      <sz val="14"/>
      <color rgb="FF222222"/>
      <name val="Times New Roman"/>
      <family val="1"/>
    </font>
    <font>
      <i/>
      <vertAlign val="subscript"/>
      <sz val="14"/>
      <color rgb="FF222222"/>
      <name val="Times New Roman"/>
      <family val="1"/>
    </font>
    <font>
      <b/>
      <sz val="11"/>
      <color rgb="FF00B050"/>
      <name val="Calibri"/>
      <family val="2"/>
      <scheme val="minor"/>
    </font>
    <font>
      <b/>
      <sz val="10"/>
      <color rgb="FF00B050"/>
      <name val="Arial"/>
      <family val="2"/>
    </font>
    <font>
      <b/>
      <sz val="11"/>
      <color rgb="FF00B050"/>
      <name val="Calibri"/>
      <family val="2"/>
    </font>
    <font>
      <b/>
      <sz val="16"/>
      <color theme="1"/>
      <name val="Arial"/>
      <family val="2"/>
    </font>
    <font>
      <b/>
      <sz val="16"/>
      <color theme="1"/>
      <name val="Calibri"/>
      <family val="2"/>
      <scheme val="minor"/>
    </font>
    <font>
      <sz val="8"/>
      <name val="Arial"/>
      <family val="2"/>
    </font>
  </fonts>
  <fills count="24">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C7CE"/>
      </patternFill>
    </fill>
    <fill>
      <patternFill patternType="solid">
        <fgColor rgb="FFFFEB9C"/>
      </patternFill>
    </fill>
    <fill>
      <patternFill patternType="solid">
        <fgColor rgb="FFC6EFCE"/>
      </patternFill>
    </fill>
    <fill>
      <patternFill patternType="solid">
        <fgColor theme="0" tint="-4.9989318521683403E-2"/>
        <bgColor indexed="64"/>
      </patternFill>
    </fill>
    <fill>
      <patternFill patternType="solid">
        <fgColor theme="0" tint="-4.9989318521683403E-2"/>
        <bgColor rgb="FF000000"/>
      </patternFill>
    </fill>
    <fill>
      <patternFill patternType="solid">
        <fgColor theme="3" tint="0.79998168889431442"/>
        <bgColor indexed="64"/>
      </patternFill>
    </fill>
    <fill>
      <patternFill patternType="solid">
        <fgColor rgb="FFFFC000"/>
        <bgColor indexed="64"/>
      </patternFill>
    </fill>
    <fill>
      <patternFill patternType="solid">
        <fgColor rgb="FF92D050"/>
        <bgColor indexed="64"/>
      </patternFill>
    </fill>
    <fill>
      <patternFill patternType="solid">
        <fgColor indexed="41"/>
        <bgColor indexed="64"/>
      </patternFill>
    </fill>
    <fill>
      <patternFill patternType="solid">
        <fgColor indexed="42"/>
        <bgColor indexed="64"/>
      </patternFill>
    </fill>
    <fill>
      <patternFill patternType="solid">
        <fgColor theme="8" tint="0.59999389629810485"/>
        <bgColor indexed="64"/>
      </patternFill>
    </fill>
    <fill>
      <patternFill patternType="solid">
        <fgColor rgb="FF00B0F0"/>
        <bgColor indexed="64"/>
      </patternFill>
    </fill>
    <fill>
      <patternFill patternType="solid">
        <fgColor rgb="FFFFFF00"/>
        <bgColor indexed="64"/>
      </patternFill>
    </fill>
    <fill>
      <patternFill patternType="solid">
        <fgColor theme="8"/>
        <bgColor indexed="64"/>
      </patternFill>
    </fill>
    <fill>
      <patternFill patternType="solid">
        <fgColor theme="4" tint="0.59999389629810485"/>
        <bgColor indexed="64"/>
      </patternFill>
    </fill>
    <fill>
      <patternFill patternType="solid">
        <fgColor theme="6" tint="0.59999389629810485"/>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rgb="FF00B050"/>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D6E6F7"/>
      </left>
      <right style="thin">
        <color rgb="FFD6E6F7"/>
      </right>
      <top style="thin">
        <color rgb="FFD6E6F7"/>
      </top>
      <bottom style="thin">
        <color rgb="FFD6E6F7"/>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
      <left/>
      <right/>
      <top style="thin">
        <color indexed="64"/>
      </top>
      <bottom style="medium">
        <color indexed="64"/>
      </bottom>
      <diagonal/>
    </border>
    <border>
      <left style="thin">
        <color rgb="FFD6E6F7"/>
      </left>
      <right style="thin">
        <color rgb="FFD6E6F7"/>
      </right>
      <top style="thin">
        <color rgb="FFD6E6F7"/>
      </top>
      <bottom style="thin">
        <color indexed="64"/>
      </bottom>
      <diagonal/>
    </border>
    <border>
      <left style="thin">
        <color indexed="64"/>
      </left>
      <right/>
      <top/>
      <bottom/>
      <diagonal/>
    </border>
    <border>
      <left/>
      <right style="thin">
        <color indexed="64"/>
      </right>
      <top/>
      <bottom/>
      <diagonal/>
    </border>
    <border>
      <left/>
      <right/>
      <top/>
      <bottom style="double">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medium">
        <color indexed="64"/>
      </left>
      <right style="thick">
        <color indexed="64"/>
      </right>
      <top/>
      <bottom/>
      <diagonal/>
    </border>
    <border>
      <left/>
      <right style="thick">
        <color indexed="64"/>
      </right>
      <top/>
      <bottom/>
      <diagonal/>
    </border>
    <border>
      <left/>
      <right style="thick">
        <color indexed="64"/>
      </right>
      <top style="thin">
        <color indexed="64"/>
      </top>
      <bottom/>
      <diagonal/>
    </border>
    <border>
      <left style="thin">
        <color rgb="FFD6E6F7"/>
      </left>
      <right/>
      <top style="thin">
        <color rgb="FFD6E6F7"/>
      </top>
      <bottom style="thin">
        <color rgb="FFD6E6F7"/>
      </bottom>
      <diagonal/>
    </border>
    <border>
      <left style="medium">
        <color indexed="64"/>
      </left>
      <right style="thick">
        <color indexed="64"/>
      </right>
      <top style="thin">
        <color rgb="FFD6E6F7"/>
      </top>
      <bottom style="thin">
        <color rgb="FFD6E6F7"/>
      </bottom>
      <diagonal/>
    </border>
    <border>
      <left style="double">
        <color rgb="FF3F3F3F"/>
      </left>
      <right style="thick">
        <color indexed="64"/>
      </right>
      <top style="double">
        <color rgb="FF3F3F3F"/>
      </top>
      <bottom style="double">
        <color rgb="FF3F3F3F"/>
      </bottom>
      <diagonal/>
    </border>
    <border>
      <left style="medium">
        <color indexed="64"/>
      </left>
      <right style="medium">
        <color indexed="64"/>
      </right>
      <top style="medium">
        <color indexed="64"/>
      </top>
      <bottom style="medium">
        <color indexed="64"/>
      </bottom>
      <diagonal/>
    </border>
    <border>
      <left style="double">
        <color rgb="FF3F3F3F"/>
      </left>
      <right style="double">
        <color rgb="FF3F3F3F"/>
      </right>
      <top/>
      <bottom style="double">
        <color rgb="FF3F3F3F"/>
      </bottom>
      <diagonal/>
    </border>
    <border>
      <left style="double">
        <color rgb="FF3F3F3F"/>
      </left>
      <right style="thick">
        <color indexed="64"/>
      </right>
      <top/>
      <bottom style="double">
        <color rgb="FF3F3F3F"/>
      </bottom>
      <diagonal/>
    </border>
    <border>
      <left style="medium">
        <color indexed="64"/>
      </left>
      <right/>
      <top style="thin">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style="thin">
        <color indexed="64"/>
      </left>
      <right style="thick">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right style="thick">
        <color indexed="64"/>
      </right>
      <top style="thick">
        <color indexed="64"/>
      </top>
      <bottom style="thick">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s>
  <cellStyleXfs count="33">
    <xf numFmtId="0" fontId="0" fillId="0" borderId="0"/>
    <xf numFmtId="164" fontId="10" fillId="0" borderId="0" applyFont="0" applyFill="0" applyBorder="0" applyAlignment="0" applyProtection="0"/>
    <xf numFmtId="0" fontId="10" fillId="0" borderId="0"/>
    <xf numFmtId="0" fontId="9" fillId="0" borderId="0"/>
    <xf numFmtId="43" fontId="9" fillId="0" borderId="0" applyFont="0" applyFill="0" applyBorder="0" applyAlignment="0" applyProtection="0"/>
    <xf numFmtId="9" fontId="9" fillId="0" borderId="0" applyFont="0" applyFill="0" applyBorder="0" applyAlignment="0" applyProtection="0"/>
    <xf numFmtId="0" fontId="14" fillId="0" borderId="0" applyNumberFormat="0" applyFill="0" applyBorder="0" applyAlignment="0" applyProtection="0"/>
    <xf numFmtId="9" fontId="17" fillId="0" borderId="0" applyFont="0" applyFill="0" applyBorder="0" applyAlignment="0" applyProtection="0"/>
    <xf numFmtId="0" fontId="18" fillId="4" borderId="0" applyNumberFormat="0" applyBorder="0" applyAlignment="0" applyProtection="0"/>
    <xf numFmtId="0" fontId="19" fillId="5" borderId="0" applyNumberFormat="0" applyBorder="0" applyAlignment="0" applyProtection="0"/>
    <xf numFmtId="0" fontId="8" fillId="0" borderId="0"/>
    <xf numFmtId="0" fontId="25" fillId="0" borderId="0" applyNumberFormat="0" applyFill="0" applyBorder="0" applyAlignment="0" applyProtection="0">
      <alignment vertical="top"/>
      <protection locked="0"/>
    </xf>
    <xf numFmtId="0" fontId="42" fillId="6" borderId="0" applyNumberFormat="0" applyBorder="0" applyAlignment="0" applyProtection="0"/>
    <xf numFmtId="0" fontId="7" fillId="0" borderId="0"/>
    <xf numFmtId="174" fontId="7" fillId="0" borderId="0" applyFont="0" applyFill="0" applyBorder="0" applyAlignment="0" applyProtection="0"/>
    <xf numFmtId="9" fontId="7" fillId="0" borderId="0" applyFont="0" applyFill="0" applyBorder="0" applyAlignment="0" applyProtection="0"/>
    <xf numFmtId="0" fontId="6" fillId="0" borderId="0"/>
    <xf numFmtId="43" fontId="6" fillId="0" borderId="0" applyFont="0" applyFill="0" applyBorder="0" applyAlignment="0" applyProtection="0"/>
    <xf numFmtId="0" fontId="5" fillId="0" borderId="0"/>
    <xf numFmtId="164" fontId="5" fillId="0" borderId="0" applyFont="0" applyFill="0" applyBorder="0" applyAlignment="0" applyProtection="0"/>
    <xf numFmtId="43" fontId="10" fillId="0" borderId="0" applyFont="0" applyFill="0" applyBorder="0" applyAlignment="0" applyProtection="0"/>
    <xf numFmtId="44" fontId="10" fillId="0" borderId="0" applyFont="0" applyFill="0" applyBorder="0" applyAlignment="0" applyProtection="0"/>
    <xf numFmtId="9" fontId="10" fillId="0" borderId="0" applyFont="0" applyFill="0" applyBorder="0" applyAlignment="0" applyProtection="0"/>
    <xf numFmtId="0" fontId="4" fillId="0" borderId="0"/>
    <xf numFmtId="9" fontId="4" fillId="0" borderId="0" applyFont="0" applyFill="0" applyBorder="0" applyAlignment="0" applyProtection="0"/>
    <xf numFmtId="174" fontId="4" fillId="0" borderId="0" applyFont="0" applyFill="0" applyBorder="0" applyAlignment="0" applyProtection="0"/>
    <xf numFmtId="0" fontId="3" fillId="0" borderId="0"/>
    <xf numFmtId="0" fontId="10" fillId="0" borderId="0"/>
    <xf numFmtId="9" fontId="10" fillId="0" borderId="0" applyFont="0" applyFill="0" applyBorder="0" applyAlignment="0" applyProtection="0"/>
    <xf numFmtId="44" fontId="63" fillId="0" borderId="0" applyFont="0" applyFill="0" applyBorder="0" applyAlignment="0" applyProtection="0"/>
    <xf numFmtId="0" fontId="2" fillId="0" borderId="0"/>
    <xf numFmtId="164" fontId="2" fillId="0" borderId="0" applyFont="0" applyFill="0" applyBorder="0" applyAlignment="0" applyProtection="0"/>
    <xf numFmtId="0" fontId="1" fillId="0" borderId="0"/>
  </cellStyleXfs>
  <cellXfs count="929">
    <xf numFmtId="0" fontId="0" fillId="0" borderId="0" xfId="0"/>
    <xf numFmtId="0" fontId="0" fillId="0" borderId="0" xfId="0" applyAlignment="1">
      <alignment wrapText="1"/>
    </xf>
    <xf numFmtId="0" fontId="10" fillId="0" borderId="0" xfId="0" applyFont="1"/>
    <xf numFmtId="164" fontId="0" fillId="0" borderId="0" xfId="1" applyFont="1"/>
    <xf numFmtId="0" fontId="9" fillId="0" borderId="0" xfId="3"/>
    <xf numFmtId="0" fontId="12" fillId="0" borderId="0" xfId="3" applyFont="1"/>
    <xf numFmtId="0" fontId="9" fillId="0" borderId="0" xfId="3" applyAlignment="1">
      <alignment wrapText="1"/>
    </xf>
    <xf numFmtId="0" fontId="12" fillId="0" borderId="0" xfId="3" applyFont="1" applyAlignment="1">
      <alignment vertical="top" wrapText="1"/>
    </xf>
    <xf numFmtId="0" fontId="11" fillId="0" borderId="0" xfId="3" applyFont="1" applyAlignment="1">
      <alignment wrapText="1"/>
    </xf>
    <xf numFmtId="0" fontId="13" fillId="2" borderId="0" xfId="3" applyFont="1" applyFill="1" applyAlignment="1">
      <alignment vertical="top" wrapText="1"/>
    </xf>
    <xf numFmtId="0" fontId="12" fillId="3" borderId="0" xfId="3" applyFont="1" applyFill="1" applyAlignment="1">
      <alignment vertical="top" wrapText="1"/>
    </xf>
    <xf numFmtId="0" fontId="11" fillId="0" borderId="0" xfId="3" applyFont="1"/>
    <xf numFmtId="43" fontId="11" fillId="0" borderId="0" xfId="4" applyFont="1"/>
    <xf numFmtId="43" fontId="9" fillId="0" borderId="0" xfId="3" applyNumberFormat="1"/>
    <xf numFmtId="43" fontId="11" fillId="0" borderId="0" xfId="3" applyNumberFormat="1" applyFont="1"/>
    <xf numFmtId="0" fontId="14" fillId="0" borderId="0" xfId="6"/>
    <xf numFmtId="165" fontId="0" fillId="0" borderId="0" xfId="1" applyNumberFormat="1" applyFont="1"/>
    <xf numFmtId="0" fontId="0" fillId="0" borderId="1" xfId="0" applyBorder="1" applyAlignment="1">
      <alignment wrapText="1"/>
    </xf>
    <xf numFmtId="0" fontId="0" fillId="0" borderId="1" xfId="0" applyBorder="1"/>
    <xf numFmtId="165" fontId="0" fillId="0" borderId="1" xfId="1" applyNumberFormat="1" applyFont="1" applyBorder="1"/>
    <xf numFmtId="1" fontId="0" fillId="0" borderId="1" xfId="0" applyNumberFormat="1" applyBorder="1"/>
    <xf numFmtId="43" fontId="0" fillId="0" borderId="1" xfId="0" applyNumberFormat="1" applyBorder="1"/>
    <xf numFmtId="43" fontId="0" fillId="0" borderId="1" xfId="1" applyNumberFormat="1" applyFont="1" applyBorder="1"/>
    <xf numFmtId="164" fontId="0" fillId="0" borderId="0" xfId="1" applyFont="1" applyAlignment="1">
      <alignment horizontal="center"/>
    </xf>
    <xf numFmtId="166" fontId="0" fillId="0" borderId="1" xfId="0" applyNumberFormat="1" applyBorder="1"/>
    <xf numFmtId="4" fontId="0" fillId="0" borderId="0" xfId="0" applyNumberFormat="1"/>
    <xf numFmtId="4" fontId="0" fillId="0" borderId="0" xfId="1" applyNumberFormat="1" applyFont="1"/>
    <xf numFmtId="0" fontId="0" fillId="0" borderId="0" xfId="0" applyAlignment="1">
      <alignment horizontal="center"/>
    </xf>
    <xf numFmtId="167" fontId="0" fillId="0" borderId="0" xfId="1" applyNumberFormat="1" applyFont="1"/>
    <xf numFmtId="0" fontId="0" fillId="0" borderId="0" xfId="1" applyNumberFormat="1" applyFont="1"/>
    <xf numFmtId="43" fontId="0" fillId="0" borderId="0" xfId="1" applyNumberFormat="1" applyFont="1"/>
    <xf numFmtId="164" fontId="0" fillId="3" borderId="0" xfId="1" applyFont="1" applyFill="1"/>
    <xf numFmtId="43" fontId="0" fillId="3" borderId="0" xfId="1" applyNumberFormat="1" applyFont="1" applyFill="1"/>
    <xf numFmtId="0" fontId="10" fillId="0" borderId="0" xfId="0" applyFont="1" applyAlignment="1">
      <alignment wrapText="1"/>
    </xf>
    <xf numFmtId="0" fontId="9" fillId="0" borderId="0" xfId="3" applyAlignment="1">
      <alignment vertical="top"/>
    </xf>
    <xf numFmtId="0" fontId="9" fillId="0" borderId="0" xfId="3" applyAlignment="1">
      <alignment vertical="top" wrapText="1"/>
    </xf>
    <xf numFmtId="0" fontId="12" fillId="0" borderId="1" xfId="3" applyFont="1" applyBorder="1" applyAlignment="1">
      <alignment vertical="top" wrapText="1"/>
    </xf>
    <xf numFmtId="0" fontId="10" fillId="0" borderId="1" xfId="0" applyFont="1" applyBorder="1" applyAlignment="1">
      <alignment vertical="top" wrapText="1"/>
    </xf>
    <xf numFmtId="164" fontId="12" fillId="0" borderId="1" xfId="1" applyFont="1" applyBorder="1" applyAlignment="1">
      <alignment vertical="top" wrapText="1"/>
    </xf>
    <xf numFmtId="0" fontId="12" fillId="0" borderId="1" xfId="3" applyFont="1" applyBorder="1" applyAlignment="1">
      <alignment horizontal="right" vertical="top" wrapText="1"/>
    </xf>
    <xf numFmtId="0" fontId="10" fillId="0" borderId="1" xfId="0" applyFont="1" applyBorder="1" applyAlignment="1">
      <alignment horizontal="right" wrapText="1"/>
    </xf>
    <xf numFmtId="0" fontId="12" fillId="0" borderId="1" xfId="3" applyFont="1" applyBorder="1" applyAlignment="1">
      <alignment horizontal="right" wrapText="1"/>
    </xf>
    <xf numFmtId="164" fontId="12" fillId="0" borderId="1" xfId="1" applyFont="1" applyBorder="1" applyAlignment="1">
      <alignment wrapText="1"/>
    </xf>
    <xf numFmtId="164" fontId="12" fillId="0" borderId="1" xfId="1" applyFont="1" applyBorder="1"/>
    <xf numFmtId="164" fontId="13" fillId="0" borderId="1" xfId="1" applyFont="1" applyBorder="1" applyAlignment="1">
      <alignment wrapText="1"/>
    </xf>
    <xf numFmtId="164" fontId="15" fillId="0" borderId="1" xfId="1" applyFont="1" applyBorder="1"/>
    <xf numFmtId="164" fontId="16" fillId="0" borderId="1" xfId="1" applyFont="1" applyBorder="1" applyAlignment="1">
      <alignment wrapText="1"/>
    </xf>
    <xf numFmtId="43" fontId="0" fillId="0" borderId="0" xfId="0" applyNumberFormat="1"/>
    <xf numFmtId="0" fontId="10" fillId="0" borderId="1" xfId="0" applyFont="1" applyBorder="1" applyAlignment="1">
      <alignment wrapText="1"/>
    </xf>
    <xf numFmtId="0" fontId="10" fillId="0" borderId="1" xfId="0" applyFont="1" applyBorder="1"/>
    <xf numFmtId="164" fontId="0" fillId="0" borderId="0" xfId="1" applyFont="1" applyFill="1"/>
    <xf numFmtId="164" fontId="0" fillId="0" borderId="0" xfId="1" applyFont="1" applyFill="1" applyAlignment="1">
      <alignment horizontal="center"/>
    </xf>
    <xf numFmtId="0" fontId="11" fillId="0" borderId="0" xfId="10" applyFont="1"/>
    <xf numFmtId="0" fontId="23" fillId="0" borderId="1" xfId="10" applyFont="1" applyBorder="1" applyAlignment="1">
      <alignment vertical="center" wrapText="1"/>
    </xf>
    <xf numFmtId="0" fontId="8" fillId="0" borderId="1" xfId="10" applyBorder="1" applyAlignment="1">
      <alignment wrapText="1"/>
    </xf>
    <xf numFmtId="0" fontId="8" fillId="0" borderId="1" xfId="10" applyBorder="1"/>
    <xf numFmtId="0" fontId="8" fillId="0" borderId="0" xfId="10"/>
    <xf numFmtId="0" fontId="8" fillId="0" borderId="0" xfId="10" applyAlignment="1">
      <alignment wrapText="1"/>
    </xf>
    <xf numFmtId="0" fontId="24" fillId="0" borderId="0" xfId="10" applyFont="1"/>
    <xf numFmtId="0" fontId="25" fillId="0" borderId="0" xfId="11" applyAlignment="1" applyProtection="1"/>
    <xf numFmtId="43" fontId="8" fillId="0" borderId="1" xfId="10" applyNumberFormat="1" applyBorder="1" applyAlignment="1">
      <alignment wrapText="1"/>
    </xf>
    <xf numFmtId="0" fontId="23" fillId="0" borderId="3" xfId="10" applyFont="1" applyBorder="1" applyAlignment="1">
      <alignment vertical="center" wrapText="1"/>
    </xf>
    <xf numFmtId="0" fontId="8" fillId="0" borderId="3" xfId="10" applyBorder="1" applyAlignment="1">
      <alignment wrapText="1"/>
    </xf>
    <xf numFmtId="0" fontId="11" fillId="0" borderId="3" xfId="10" applyFont="1" applyBorder="1" applyAlignment="1">
      <alignment wrapText="1"/>
    </xf>
    <xf numFmtId="0" fontId="8" fillId="0" borderId="2" xfId="10" applyBorder="1" applyAlignment="1">
      <alignment wrapText="1"/>
    </xf>
    <xf numFmtId="43" fontId="8" fillId="0" borderId="0" xfId="10" applyNumberFormat="1" applyAlignment="1">
      <alignment wrapText="1"/>
    </xf>
    <xf numFmtId="0" fontId="20" fillId="0" borderId="0" xfId="10" applyFont="1" applyAlignment="1">
      <alignment wrapText="1"/>
    </xf>
    <xf numFmtId="0" fontId="26" fillId="0" borderId="0" xfId="10" applyFont="1"/>
    <xf numFmtId="0" fontId="23" fillId="0" borderId="4" xfId="10" applyFont="1" applyBorder="1" applyAlignment="1">
      <alignment vertical="center" wrapText="1"/>
    </xf>
    <xf numFmtId="0" fontId="22" fillId="0" borderId="6" xfId="10" applyFont="1" applyBorder="1" applyAlignment="1">
      <alignment vertical="center" wrapText="1"/>
    </xf>
    <xf numFmtId="0" fontId="11" fillId="0" borderId="2" xfId="10" applyFont="1" applyBorder="1" applyAlignment="1">
      <alignment wrapText="1"/>
    </xf>
    <xf numFmtId="0" fontId="11" fillId="0" borderId="2" xfId="10" applyFont="1" applyBorder="1" applyAlignment="1">
      <alignment vertical="top" wrapText="1"/>
    </xf>
    <xf numFmtId="0" fontId="11" fillId="0" borderId="7" xfId="10" applyFont="1" applyBorder="1" applyAlignment="1">
      <alignment vertical="top" wrapText="1"/>
    </xf>
    <xf numFmtId="0" fontId="23" fillId="0" borderId="8" xfId="10" applyFont="1" applyBorder="1" applyAlignment="1">
      <alignment vertical="center" wrapText="1"/>
    </xf>
    <xf numFmtId="164" fontId="11" fillId="0" borderId="9" xfId="1" applyFont="1" applyBorder="1" applyAlignment="1">
      <alignment wrapText="1"/>
    </xf>
    <xf numFmtId="0" fontId="22" fillId="0" borderId="6" xfId="10" applyFont="1" applyBorder="1" applyAlignment="1">
      <alignment vertical="center"/>
    </xf>
    <xf numFmtId="0" fontId="11" fillId="0" borderId="2" xfId="10" applyFont="1" applyBorder="1" applyAlignment="1">
      <alignment vertical="top"/>
    </xf>
    <xf numFmtId="0" fontId="11" fillId="0" borderId="2" xfId="10" applyFont="1" applyBorder="1"/>
    <xf numFmtId="1" fontId="8" fillId="0" borderId="1" xfId="10" applyNumberFormat="1" applyBorder="1" applyAlignment="1">
      <alignment wrapText="1"/>
    </xf>
    <xf numFmtId="0" fontId="22" fillId="0" borderId="0" xfId="10" applyFont="1" applyAlignment="1">
      <alignment vertical="center"/>
    </xf>
    <xf numFmtId="0" fontId="28" fillId="0" borderId="0" xfId="10" applyFont="1" applyAlignment="1">
      <alignment vertical="center"/>
    </xf>
    <xf numFmtId="0" fontId="11" fillId="0" borderId="9" xfId="10" applyFont="1" applyBorder="1" applyAlignment="1">
      <alignment wrapText="1"/>
    </xf>
    <xf numFmtId="0" fontId="30" fillId="0" borderId="0" xfId="10" applyFont="1" applyAlignment="1">
      <alignment vertical="center"/>
    </xf>
    <xf numFmtId="164" fontId="31" fillId="0" borderId="0" xfId="1" applyFont="1" applyBorder="1" applyAlignment="1">
      <alignment wrapText="1"/>
    </xf>
    <xf numFmtId="1" fontId="8" fillId="0" borderId="3" xfId="10" applyNumberFormat="1" applyBorder="1" applyAlignment="1">
      <alignment wrapText="1"/>
    </xf>
    <xf numFmtId="165" fontId="29" fillId="0" borderId="1" xfId="1" applyNumberFormat="1" applyFont="1" applyBorder="1" applyAlignment="1">
      <alignment wrapText="1"/>
    </xf>
    <xf numFmtId="0" fontId="27" fillId="0" borderId="0" xfId="10" applyFont="1"/>
    <xf numFmtId="165" fontId="29" fillId="0" borderId="0" xfId="1" applyNumberFormat="1" applyFont="1" applyBorder="1" applyAlignment="1">
      <alignment wrapText="1"/>
    </xf>
    <xf numFmtId="0" fontId="8" fillId="0" borderId="5" xfId="10" applyBorder="1"/>
    <xf numFmtId="0" fontId="23" fillId="0" borderId="6" xfId="10" applyFont="1" applyBorder="1" applyAlignment="1">
      <alignment vertical="center" wrapText="1"/>
    </xf>
    <xf numFmtId="0" fontId="27" fillId="0" borderId="1" xfId="10" applyFont="1" applyBorder="1"/>
    <xf numFmtId="166" fontId="0" fillId="0" borderId="0" xfId="0" applyNumberFormat="1"/>
    <xf numFmtId="0" fontId="35" fillId="5" borderId="1" xfId="9" applyFont="1" applyBorder="1"/>
    <xf numFmtId="0" fontId="12" fillId="0" borderId="12" xfId="0" applyFont="1" applyBorder="1"/>
    <xf numFmtId="0" fontId="12" fillId="0" borderId="1" xfId="0" applyFont="1" applyBorder="1"/>
    <xf numFmtId="0" fontId="35" fillId="5" borderId="12" xfId="9" applyFont="1" applyBorder="1"/>
    <xf numFmtId="167" fontId="35" fillId="5" borderId="13" xfId="9" applyNumberFormat="1" applyFont="1" applyBorder="1"/>
    <xf numFmtId="2" fontId="12" fillId="0" borderId="1" xfId="0" applyNumberFormat="1" applyFont="1" applyBorder="1"/>
    <xf numFmtId="43" fontId="12" fillId="0" borderId="1" xfId="0" applyNumberFormat="1" applyFont="1" applyBorder="1"/>
    <xf numFmtId="43" fontId="35" fillId="5" borderId="1" xfId="9" applyNumberFormat="1" applyFont="1" applyBorder="1" applyAlignment="1">
      <alignment horizontal="right"/>
    </xf>
    <xf numFmtId="169" fontId="35" fillId="5" borderId="1" xfId="9" applyNumberFormat="1" applyFont="1" applyBorder="1"/>
    <xf numFmtId="165" fontId="33" fillId="0" borderId="0" xfId="1" applyNumberFormat="1" applyFont="1" applyBorder="1" applyAlignment="1">
      <alignment horizontal="center" wrapText="1"/>
    </xf>
    <xf numFmtId="166" fontId="12" fillId="0" borderId="13" xfId="0" applyNumberFormat="1" applyFont="1" applyBorder="1" applyAlignment="1">
      <alignment horizontal="right"/>
    </xf>
    <xf numFmtId="0" fontId="35" fillId="0" borderId="0" xfId="9" applyFont="1" applyFill="1" applyBorder="1"/>
    <xf numFmtId="43" fontId="35" fillId="0" borderId="0" xfId="9" applyNumberFormat="1" applyFont="1" applyFill="1" applyBorder="1" applyAlignment="1">
      <alignment horizontal="right"/>
    </xf>
    <xf numFmtId="169" fontId="35" fillId="0" borderId="0" xfId="9" applyNumberFormat="1" applyFont="1" applyFill="1" applyBorder="1"/>
    <xf numFmtId="0" fontId="36" fillId="0" borderId="0" xfId="10" applyFont="1" applyAlignment="1">
      <alignment vertical="center"/>
    </xf>
    <xf numFmtId="164" fontId="37" fillId="0" borderId="0" xfId="1" applyFont="1" applyFill="1" applyBorder="1"/>
    <xf numFmtId="0" fontId="38" fillId="0" borderId="1" xfId="10" applyFont="1" applyBorder="1" applyAlignment="1">
      <alignment vertical="center"/>
    </xf>
    <xf numFmtId="0" fontId="39" fillId="0" borderId="1" xfId="10" applyFont="1" applyBorder="1" applyAlignment="1">
      <alignment vertical="center"/>
    </xf>
    <xf numFmtId="0" fontId="40" fillId="0" borderId="0" xfId="9" applyFont="1" applyFill="1" applyBorder="1"/>
    <xf numFmtId="164" fontId="40" fillId="0" borderId="0" xfId="1" applyFont="1" applyFill="1" applyBorder="1"/>
    <xf numFmtId="165" fontId="27" fillId="0" borderId="1" xfId="1" applyNumberFormat="1" applyFont="1" applyBorder="1" applyAlignment="1">
      <alignment wrapText="1"/>
    </xf>
    <xf numFmtId="165" fontId="8" fillId="0" borderId="1" xfId="10" applyNumberFormat="1" applyBorder="1" applyAlignment="1">
      <alignment wrapText="1"/>
    </xf>
    <xf numFmtId="165" fontId="0" fillId="0" borderId="0" xfId="0" applyNumberFormat="1"/>
    <xf numFmtId="0" fontId="10" fillId="0" borderId="0" xfId="0" applyFont="1" applyAlignment="1">
      <alignment vertical="top"/>
    </xf>
    <xf numFmtId="164" fontId="24" fillId="0" borderId="0" xfId="1" applyFont="1"/>
    <xf numFmtId="43" fontId="24" fillId="0" borderId="0" xfId="10" applyNumberFormat="1" applyFont="1"/>
    <xf numFmtId="164" fontId="24" fillId="0" borderId="0" xfId="1" applyFont="1" applyAlignment="1">
      <alignment wrapText="1"/>
    </xf>
    <xf numFmtId="0" fontId="24" fillId="0" borderId="0" xfId="10" applyFont="1" applyAlignment="1">
      <alignment wrapText="1"/>
    </xf>
    <xf numFmtId="0" fontId="11" fillId="7" borderId="0" xfId="13" applyFont="1" applyFill="1"/>
    <xf numFmtId="0" fontId="43" fillId="8" borderId="18" xfId="13" applyFont="1" applyFill="1" applyBorder="1" applyAlignment="1">
      <alignment horizontal="justify" vertical="center"/>
    </xf>
    <xf numFmtId="0" fontId="7" fillId="0" borderId="0" xfId="13"/>
    <xf numFmtId="0" fontId="11" fillId="0" borderId="0" xfId="13" applyFont="1"/>
    <xf numFmtId="171" fontId="7" fillId="0" borderId="0" xfId="13" applyNumberFormat="1" applyAlignment="1">
      <alignment horizontal="center" vertical="center"/>
    </xf>
    <xf numFmtId="172" fontId="7" fillId="0" borderId="0" xfId="13" applyNumberFormat="1" applyAlignment="1">
      <alignment horizontal="center" vertical="center"/>
    </xf>
    <xf numFmtId="0" fontId="11" fillId="9" borderId="0" xfId="13" applyFont="1" applyFill="1"/>
    <xf numFmtId="0" fontId="7" fillId="9" borderId="0" xfId="13" applyFill="1" applyAlignment="1">
      <alignment horizontal="center" vertical="center"/>
    </xf>
    <xf numFmtId="172" fontId="0" fillId="0" borderId="0" xfId="14" applyNumberFormat="1" applyFont="1" applyFill="1" applyBorder="1" applyAlignment="1" applyProtection="1">
      <alignment horizontal="center" vertical="center"/>
    </xf>
    <xf numFmtId="0" fontId="7" fillId="9" borderId="0" xfId="13" applyFill="1"/>
    <xf numFmtId="9" fontId="0" fillId="0" borderId="0" xfId="15" applyFont="1" applyFill="1" applyBorder="1" applyAlignment="1" applyProtection="1">
      <alignment horizontal="center" vertical="center"/>
    </xf>
    <xf numFmtId="0" fontId="20" fillId="0" borderId="0" xfId="13" applyFont="1"/>
    <xf numFmtId="174" fontId="0" fillId="0" borderId="0" xfId="14" applyFont="1" applyFill="1" applyBorder="1" applyAlignment="1" applyProtection="1">
      <alignment horizontal="center" vertical="center"/>
    </xf>
    <xf numFmtId="172" fontId="0" fillId="10" borderId="0" xfId="14" applyNumberFormat="1" applyFont="1" applyFill="1" applyBorder="1" applyAlignment="1" applyProtection="1">
      <alignment horizontal="center" vertical="center"/>
    </xf>
    <xf numFmtId="174" fontId="0" fillId="0" borderId="0" xfId="14" applyFont="1" applyFill="1" applyBorder="1" applyAlignment="1" applyProtection="1"/>
    <xf numFmtId="0" fontId="44" fillId="6" borderId="17" xfId="12" applyNumberFormat="1" applyFont="1" applyBorder="1" applyAlignment="1" applyProtection="1"/>
    <xf numFmtId="176" fontId="7" fillId="0" borderId="0" xfId="13" applyNumberFormat="1"/>
    <xf numFmtId="176" fontId="44" fillId="6" borderId="17" xfId="12" applyNumberFormat="1" applyFont="1" applyBorder="1" applyAlignment="1" applyProtection="1"/>
    <xf numFmtId="167" fontId="12" fillId="0" borderId="5" xfId="4" applyNumberFormat="1" applyFont="1" applyBorder="1"/>
    <xf numFmtId="0" fontId="35" fillId="5" borderId="1" xfId="9" applyFont="1" applyBorder="1" applyAlignment="1">
      <alignment horizontal="left" wrapText="1"/>
    </xf>
    <xf numFmtId="0" fontId="35" fillId="5" borderId="5" xfId="9" applyFont="1" applyBorder="1" applyAlignment="1">
      <alignment horizontal="left" vertical="top"/>
    </xf>
    <xf numFmtId="43" fontId="8" fillId="0" borderId="1" xfId="10" applyNumberFormat="1" applyBorder="1"/>
    <xf numFmtId="165" fontId="12" fillId="0" borderId="1" xfId="1" applyNumberFormat="1" applyFont="1" applyBorder="1" applyAlignment="1">
      <alignment horizontal="right"/>
    </xf>
    <xf numFmtId="0" fontId="34" fillId="0" borderId="0" xfId="8" applyFont="1" applyFill="1" applyBorder="1" applyAlignment="1"/>
    <xf numFmtId="0" fontId="35" fillId="5" borderId="2" xfId="9" applyFont="1" applyBorder="1" applyAlignment="1">
      <alignment horizontal="left" wrapText="1"/>
    </xf>
    <xf numFmtId="0" fontId="34" fillId="4" borderId="1" xfId="8" applyFont="1" applyBorder="1" applyAlignment="1"/>
    <xf numFmtId="172" fontId="11" fillId="0" borderId="0" xfId="13" applyNumberFormat="1" applyFont="1"/>
    <xf numFmtId="0" fontId="18" fillId="0" borderId="0" xfId="8" applyFill="1" applyBorder="1"/>
    <xf numFmtId="177" fontId="18" fillId="0" borderId="0" xfId="8" applyNumberFormat="1" applyFill="1" applyBorder="1"/>
    <xf numFmtId="0" fontId="45" fillId="0" borderId="0" xfId="13" applyFont="1"/>
    <xf numFmtId="164" fontId="7" fillId="0" borderId="0" xfId="1" applyFont="1" applyFill="1" applyBorder="1" applyAlignment="1" applyProtection="1"/>
    <xf numFmtId="0" fontId="11" fillId="3" borderId="0" xfId="13" applyFont="1" applyFill="1"/>
    <xf numFmtId="0" fontId="7" fillId="3" borderId="0" xfId="13" applyFill="1"/>
    <xf numFmtId="0" fontId="11" fillId="3" borderId="21" xfId="13" applyFont="1" applyFill="1" applyBorder="1"/>
    <xf numFmtId="0" fontId="11" fillId="3" borderId="20" xfId="13" applyFont="1" applyFill="1" applyBorder="1"/>
    <xf numFmtId="0" fontId="43" fillId="3" borderId="0" xfId="13" applyFont="1" applyFill="1" applyAlignment="1">
      <alignment horizontal="justify" vertical="center"/>
    </xf>
    <xf numFmtId="0" fontId="47" fillId="3" borderId="0" xfId="13" applyFont="1" applyFill="1" applyAlignment="1">
      <alignment vertical="center"/>
    </xf>
    <xf numFmtId="0" fontId="11" fillId="11" borderId="0" xfId="13" applyFont="1" applyFill="1"/>
    <xf numFmtId="0" fontId="48" fillId="3" borderId="0" xfId="13" applyFont="1" applyFill="1" applyAlignment="1">
      <alignment vertical="center"/>
    </xf>
    <xf numFmtId="0" fontId="46" fillId="3" borderId="0" xfId="13" applyFont="1" applyFill="1" applyAlignment="1">
      <alignment vertical="center"/>
    </xf>
    <xf numFmtId="168" fontId="43" fillId="3" borderId="0" xfId="13" applyNumberFormat="1" applyFont="1" applyFill="1" applyAlignment="1">
      <alignment horizontal="justify" vertical="center"/>
    </xf>
    <xf numFmtId="171" fontId="7" fillId="3" borderId="21" xfId="13" applyNumberFormat="1" applyFill="1" applyBorder="1" applyAlignment="1">
      <alignment horizontal="center" vertical="center"/>
    </xf>
    <xf numFmtId="0" fontId="20" fillId="3" borderId="0" xfId="13" applyFont="1" applyFill="1"/>
    <xf numFmtId="171" fontId="7" fillId="3" borderId="0" xfId="13" applyNumberFormat="1" applyFill="1" applyAlignment="1">
      <alignment horizontal="center" vertical="center"/>
    </xf>
    <xf numFmtId="9" fontId="20" fillId="3" borderId="0" xfId="7" applyFont="1" applyFill="1" applyBorder="1" applyAlignment="1" applyProtection="1"/>
    <xf numFmtId="9" fontId="49" fillId="3" borderId="0" xfId="7" applyFont="1" applyFill="1" applyBorder="1" applyAlignment="1" applyProtection="1"/>
    <xf numFmtId="9" fontId="20" fillId="3" borderId="21" xfId="7" applyFont="1" applyFill="1" applyBorder="1" applyAlignment="1" applyProtection="1"/>
    <xf numFmtId="172" fontId="7" fillId="3" borderId="0" xfId="13" applyNumberFormat="1" applyFill="1" applyAlignment="1">
      <alignment horizontal="center" vertical="center"/>
    </xf>
    <xf numFmtId="172" fontId="11" fillId="3" borderId="0" xfId="13" applyNumberFormat="1" applyFont="1" applyFill="1" applyAlignment="1">
      <alignment horizontal="center" vertical="center"/>
    </xf>
    <xf numFmtId="0" fontId="7" fillId="3" borderId="21" xfId="13" applyFill="1" applyBorder="1"/>
    <xf numFmtId="172" fontId="7" fillId="3" borderId="21" xfId="13" applyNumberFormat="1" applyFill="1" applyBorder="1" applyAlignment="1">
      <alignment horizontal="center" vertical="center"/>
    </xf>
    <xf numFmtId="173" fontId="7" fillId="3" borderId="0" xfId="13" applyNumberFormat="1" applyFill="1" applyAlignment="1">
      <alignment horizontal="center" vertical="center"/>
    </xf>
    <xf numFmtId="172" fontId="11" fillId="3" borderId="0" xfId="13" applyNumberFormat="1" applyFont="1" applyFill="1"/>
    <xf numFmtId="0" fontId="11" fillId="11" borderId="0" xfId="13" applyFont="1" applyFill="1" applyAlignment="1">
      <alignment wrapText="1"/>
    </xf>
    <xf numFmtId="170" fontId="7" fillId="3" borderId="0" xfId="13" applyNumberFormat="1" applyFill="1" applyAlignment="1">
      <alignment horizontal="center" vertical="center"/>
    </xf>
    <xf numFmtId="170" fontId="7" fillId="3" borderId="21" xfId="13" applyNumberFormat="1" applyFill="1" applyBorder="1" applyAlignment="1">
      <alignment horizontal="center" vertical="center"/>
    </xf>
    <xf numFmtId="3" fontId="7" fillId="3" borderId="0" xfId="13" applyNumberFormat="1" applyFill="1"/>
    <xf numFmtId="172" fontId="0" fillId="3" borderId="0" xfId="14" applyNumberFormat="1" applyFont="1" applyFill="1" applyBorder="1" applyAlignment="1" applyProtection="1">
      <alignment horizontal="center" vertical="center"/>
    </xf>
    <xf numFmtId="0" fontId="42" fillId="3" borderId="1" xfId="12" applyFill="1" applyBorder="1"/>
    <xf numFmtId="0" fontId="0" fillId="3" borderId="1" xfId="0" applyFill="1" applyBorder="1"/>
    <xf numFmtId="177" fontId="0" fillId="3" borderId="1" xfId="0" applyNumberFormat="1" applyFill="1" applyBorder="1"/>
    <xf numFmtId="0" fontId="20" fillId="3" borderId="1" xfId="12" applyFont="1" applyFill="1" applyBorder="1"/>
    <xf numFmtId="0" fontId="49" fillId="3" borderId="1" xfId="8" applyFont="1" applyFill="1" applyBorder="1"/>
    <xf numFmtId="177" fontId="49" fillId="3" borderId="1" xfId="8" applyNumberFormat="1" applyFont="1" applyFill="1" applyBorder="1"/>
    <xf numFmtId="0" fontId="20" fillId="3" borderId="21" xfId="13" applyFont="1" applyFill="1" applyBorder="1"/>
    <xf numFmtId="0" fontId="42" fillId="3" borderId="0" xfId="12" applyFill="1" applyBorder="1"/>
    <xf numFmtId="0" fontId="0" fillId="3" borderId="0" xfId="0" applyFill="1"/>
    <xf numFmtId="177" fontId="0" fillId="3" borderId="0" xfId="0" applyNumberFormat="1" applyFill="1"/>
    <xf numFmtId="0" fontId="18" fillId="3" borderId="0" xfId="8" applyFill="1" applyBorder="1"/>
    <xf numFmtId="177" fontId="18" fillId="3" borderId="0" xfId="8" applyNumberFormat="1" applyFill="1" applyBorder="1"/>
    <xf numFmtId="0" fontId="42" fillId="0" borderId="0" xfId="12" applyFill="1" applyBorder="1"/>
    <xf numFmtId="177" fontId="0" fillId="0" borderId="0" xfId="0" applyNumberFormat="1"/>
    <xf numFmtId="3" fontId="50" fillId="3" borderId="0" xfId="13" applyNumberFormat="1" applyFont="1" applyFill="1"/>
    <xf numFmtId="43" fontId="43" fillId="3" borderId="0" xfId="13" applyNumberFormat="1" applyFont="1" applyFill="1" applyAlignment="1">
      <alignment horizontal="justify" vertical="center"/>
    </xf>
    <xf numFmtId="2" fontId="43" fillId="3" borderId="0" xfId="13" applyNumberFormat="1" applyFont="1" applyFill="1" applyAlignment="1">
      <alignment horizontal="justify" vertical="center"/>
    </xf>
    <xf numFmtId="0" fontId="43" fillId="8" borderId="23" xfId="13" applyFont="1" applyFill="1" applyBorder="1" applyAlignment="1">
      <alignment horizontal="justify" vertical="center"/>
    </xf>
    <xf numFmtId="171" fontId="7" fillId="3" borderId="0" xfId="13" applyNumberFormat="1" applyFill="1"/>
    <xf numFmtId="0" fontId="7" fillId="3" borderId="20" xfId="13" applyFill="1" applyBorder="1"/>
    <xf numFmtId="172" fontId="7" fillId="3" borderId="0" xfId="13" applyNumberFormat="1" applyFill="1"/>
    <xf numFmtId="170" fontId="7" fillId="3" borderId="0" xfId="13" applyNumberFormat="1" applyFill="1"/>
    <xf numFmtId="164" fontId="49" fillId="3" borderId="0" xfId="1" applyFont="1" applyFill="1" applyBorder="1"/>
    <xf numFmtId="164" fontId="0" fillId="3" borderId="0" xfId="1" applyFont="1" applyFill="1" applyBorder="1" applyAlignment="1" applyProtection="1">
      <alignment horizontal="center" vertical="center"/>
    </xf>
    <xf numFmtId="174" fontId="0" fillId="3" borderId="0" xfId="14" applyFont="1" applyFill="1" applyBorder="1" applyAlignment="1" applyProtection="1">
      <alignment horizontal="center" vertical="center"/>
    </xf>
    <xf numFmtId="0" fontId="45" fillId="3" borderId="0" xfId="13" applyFont="1" applyFill="1"/>
    <xf numFmtId="174" fontId="0" fillId="3" borderId="0" xfId="14" applyFont="1" applyFill="1" applyBorder="1" applyAlignment="1" applyProtection="1"/>
    <xf numFmtId="0" fontId="44" fillId="3" borderId="17" xfId="12" applyNumberFormat="1" applyFont="1" applyFill="1" applyBorder="1" applyAlignment="1" applyProtection="1"/>
    <xf numFmtId="176" fontId="44" fillId="3" borderId="17" xfId="12" applyNumberFormat="1" applyFont="1" applyFill="1" applyBorder="1" applyAlignment="1" applyProtection="1"/>
    <xf numFmtId="176" fontId="7" fillId="3" borderId="0" xfId="13" applyNumberFormat="1" applyFill="1"/>
    <xf numFmtId="168" fontId="0" fillId="3" borderId="0" xfId="0" applyNumberFormat="1" applyFill="1"/>
    <xf numFmtId="179" fontId="11" fillId="0" borderId="0" xfId="4" applyNumberFormat="1" applyFont="1"/>
    <xf numFmtId="0" fontId="51" fillId="0" borderId="0" xfId="0" applyFont="1" applyAlignment="1">
      <alignment horizontal="justify" vertical="center"/>
    </xf>
    <xf numFmtId="8" fontId="9" fillId="0" borderId="0" xfId="3" applyNumberFormat="1"/>
    <xf numFmtId="0" fontId="52" fillId="12" borderId="9" xfId="2" applyFont="1" applyFill="1" applyBorder="1"/>
    <xf numFmtId="0" fontId="52" fillId="12" borderId="21" xfId="2" applyFont="1" applyFill="1" applyBorder="1"/>
    <xf numFmtId="0" fontId="52" fillId="12" borderId="8" xfId="2" applyFont="1" applyFill="1" applyBorder="1"/>
    <xf numFmtId="0" fontId="10" fillId="3" borderId="0" xfId="2" applyFill="1"/>
    <xf numFmtId="0" fontId="10" fillId="12" borderId="24" xfId="2" applyFill="1" applyBorder="1" applyAlignment="1">
      <alignment horizontal="left" indent="1"/>
    </xf>
    <xf numFmtId="0" fontId="10" fillId="12" borderId="0" xfId="2" applyFill="1" applyAlignment="1">
      <alignment horizontal="left" indent="1"/>
    </xf>
    <xf numFmtId="0" fontId="10" fillId="12" borderId="25" xfId="2" applyFill="1" applyBorder="1" applyAlignment="1">
      <alignment horizontal="left" indent="1"/>
    </xf>
    <xf numFmtId="176" fontId="10" fillId="13" borderId="1" xfId="2" applyNumberFormat="1" applyFill="1" applyBorder="1" applyAlignment="1" applyProtection="1">
      <alignment horizontal="center"/>
      <protection locked="0"/>
    </xf>
    <xf numFmtId="176" fontId="10" fillId="3" borderId="0" xfId="2" applyNumberFormat="1" applyFill="1"/>
    <xf numFmtId="176" fontId="10" fillId="13" borderId="3" xfId="2" applyNumberFormat="1" applyFill="1" applyBorder="1" applyAlignment="1" applyProtection="1">
      <alignment horizontal="center"/>
      <protection locked="0"/>
    </xf>
    <xf numFmtId="170" fontId="10" fillId="3" borderId="0" xfId="20" applyNumberFormat="1" applyFont="1" applyFill="1"/>
    <xf numFmtId="176" fontId="10" fillId="13" borderId="2" xfId="2" applyNumberFormat="1" applyFill="1" applyBorder="1" applyAlignment="1" applyProtection="1">
      <alignment horizontal="center"/>
      <protection locked="0"/>
    </xf>
    <xf numFmtId="179" fontId="10" fillId="3" borderId="0" xfId="2" applyNumberFormat="1" applyFill="1"/>
    <xf numFmtId="0" fontId="10" fillId="12" borderId="0" xfId="2" applyFill="1" applyAlignment="1">
      <alignment horizontal="center"/>
    </xf>
    <xf numFmtId="10" fontId="10" fillId="13" borderId="3" xfId="2" applyNumberFormat="1" applyFill="1" applyBorder="1" applyAlignment="1" applyProtection="1">
      <alignment horizontal="center"/>
      <protection locked="0"/>
    </xf>
    <xf numFmtId="10" fontId="10" fillId="13" borderId="19" xfId="2" applyNumberFormat="1" applyFill="1" applyBorder="1" applyAlignment="1" applyProtection="1">
      <alignment horizontal="center"/>
      <protection locked="0"/>
    </xf>
    <xf numFmtId="0" fontId="10" fillId="13" borderId="2" xfId="2" applyFill="1" applyBorder="1" applyAlignment="1" applyProtection="1">
      <alignment horizontal="center"/>
      <protection locked="0"/>
    </xf>
    <xf numFmtId="181" fontId="53" fillId="3" borderId="0" xfId="2" applyNumberFormat="1" applyFont="1" applyFill="1" applyAlignment="1">
      <alignment horizontal="center"/>
    </xf>
    <xf numFmtId="182" fontId="10" fillId="13" borderId="1" xfId="2" applyNumberFormat="1" applyFill="1" applyBorder="1" applyAlignment="1" applyProtection="1">
      <alignment horizontal="center"/>
      <protection locked="0"/>
    </xf>
    <xf numFmtId="183" fontId="0" fillId="12" borderId="1" xfId="21" applyNumberFormat="1" applyFont="1" applyFill="1" applyBorder="1" applyAlignment="1" applyProtection="1">
      <alignment horizontal="center" vertical="center"/>
    </xf>
    <xf numFmtId="0" fontId="10" fillId="3" borderId="0" xfId="2" applyFill="1" applyAlignment="1">
      <alignment horizontal="left"/>
    </xf>
    <xf numFmtId="0" fontId="52" fillId="3" borderId="0" xfId="2" applyFont="1" applyFill="1" applyAlignment="1">
      <alignment horizontal="left"/>
    </xf>
    <xf numFmtId="1" fontId="10" fillId="3" borderId="0" xfId="2" applyNumberFormat="1" applyFill="1"/>
    <xf numFmtId="0" fontId="10" fillId="3" borderId="0" xfId="2" applyFill="1" applyAlignment="1">
      <alignment horizontal="right"/>
    </xf>
    <xf numFmtId="181" fontId="10" fillId="3" borderId="0" xfId="2" applyNumberFormat="1" applyFill="1" applyAlignment="1">
      <alignment horizontal="right"/>
    </xf>
    <xf numFmtId="166" fontId="10" fillId="13" borderId="3" xfId="2" applyNumberFormat="1" applyFill="1" applyBorder="1" applyAlignment="1" applyProtection="1">
      <alignment horizontal="center"/>
      <protection locked="0"/>
    </xf>
    <xf numFmtId="10" fontId="10" fillId="13" borderId="2" xfId="2" applyNumberFormat="1" applyFill="1" applyBorder="1" applyAlignment="1" applyProtection="1">
      <alignment horizontal="center"/>
      <protection locked="0"/>
    </xf>
    <xf numFmtId="0" fontId="10" fillId="12" borderId="7" xfId="2" applyFill="1" applyBorder="1" applyAlignment="1">
      <alignment horizontal="left" indent="1"/>
    </xf>
    <xf numFmtId="0" fontId="10" fillId="12" borderId="20" xfId="2" applyFill="1" applyBorder="1" applyAlignment="1">
      <alignment horizontal="center"/>
    </xf>
    <xf numFmtId="176" fontId="10" fillId="12" borderId="1" xfId="22" applyNumberFormat="1" applyFill="1" applyBorder="1" applyAlignment="1">
      <alignment horizontal="center"/>
    </xf>
    <xf numFmtId="0" fontId="10" fillId="12" borderId="1" xfId="2" applyFill="1" applyBorder="1" applyAlignment="1">
      <alignment horizontal="left" indent="1"/>
    </xf>
    <xf numFmtId="2" fontId="10" fillId="13" borderId="1" xfId="2" applyNumberFormat="1" applyFill="1" applyBorder="1" applyAlignment="1" applyProtection="1">
      <alignment horizontal="center"/>
      <protection locked="0"/>
    </xf>
    <xf numFmtId="0" fontId="10" fillId="12" borderId="1" xfId="2" applyFill="1" applyBorder="1" applyAlignment="1">
      <alignment horizontal="center"/>
    </xf>
    <xf numFmtId="0" fontId="10" fillId="12" borderId="2" xfId="2" applyFill="1" applyBorder="1" applyAlignment="1">
      <alignment horizontal="left" indent="1"/>
    </xf>
    <xf numFmtId="3" fontId="10" fillId="12" borderId="15" xfId="22" applyNumberFormat="1" applyFill="1" applyBorder="1" applyAlignment="1">
      <alignment horizontal="center"/>
    </xf>
    <xf numFmtId="0" fontId="10" fillId="12" borderId="2" xfId="2" applyFill="1" applyBorder="1" applyAlignment="1">
      <alignment horizontal="center"/>
    </xf>
    <xf numFmtId="184" fontId="10" fillId="12" borderId="15" xfId="22" applyNumberFormat="1" applyFill="1" applyBorder="1" applyAlignment="1">
      <alignment horizontal="center"/>
    </xf>
    <xf numFmtId="0" fontId="10" fillId="12" borderId="3" xfId="2" applyFill="1" applyBorder="1" applyAlignment="1">
      <alignment horizontal="left" indent="1"/>
    </xf>
    <xf numFmtId="0" fontId="10" fillId="12" borderId="3" xfId="2" applyFill="1" applyBorder="1" applyAlignment="1">
      <alignment horizontal="center"/>
    </xf>
    <xf numFmtId="0" fontId="10" fillId="12" borderId="19" xfId="2" applyFill="1" applyBorder="1" applyAlignment="1">
      <alignment horizontal="left" indent="1"/>
    </xf>
    <xf numFmtId="0" fontId="10" fillId="12" borderId="19" xfId="2" applyFill="1" applyBorder="1" applyAlignment="1">
      <alignment horizontal="center"/>
    </xf>
    <xf numFmtId="0" fontId="54" fillId="13" borderId="25" xfId="2" applyFont="1" applyFill="1" applyBorder="1" applyAlignment="1" applyProtection="1">
      <alignment horizontal="center"/>
      <protection locked="0"/>
    </xf>
    <xf numFmtId="0" fontId="10" fillId="13" borderId="6" xfId="2" applyFill="1" applyBorder="1" applyAlignment="1" applyProtection="1">
      <alignment horizontal="center"/>
      <protection locked="0"/>
    </xf>
    <xf numFmtId="185" fontId="0" fillId="12" borderId="0" xfId="21" applyNumberFormat="1" applyFont="1" applyFill="1" applyBorder="1" applyAlignment="1" applyProtection="1">
      <alignment horizontal="right" vertical="center"/>
    </xf>
    <xf numFmtId="0" fontId="52" fillId="12" borderId="22" xfId="2" applyFont="1" applyFill="1" applyBorder="1" applyAlignment="1">
      <alignment horizontal="left" indent="2"/>
    </xf>
    <xf numFmtId="185" fontId="52" fillId="12" borderId="22" xfId="21" applyNumberFormat="1" applyFont="1" applyFill="1" applyBorder="1" applyAlignment="1" applyProtection="1">
      <alignment horizontal="right" vertical="center"/>
    </xf>
    <xf numFmtId="0" fontId="52" fillId="12" borderId="22" xfId="2" applyFont="1" applyFill="1" applyBorder="1" applyAlignment="1">
      <alignment horizontal="center"/>
    </xf>
    <xf numFmtId="4" fontId="0" fillId="12" borderId="1" xfId="22" applyNumberFormat="1" applyFont="1" applyFill="1" applyBorder="1" applyAlignment="1">
      <alignment horizontal="center"/>
    </xf>
    <xf numFmtId="185" fontId="0" fillId="12" borderId="1" xfId="21" applyNumberFormat="1" applyFont="1" applyFill="1" applyBorder="1" applyAlignment="1" applyProtection="1">
      <alignment horizontal="center" vertical="center"/>
    </xf>
    <xf numFmtId="0" fontId="52" fillId="12" borderId="26" xfId="2" applyFont="1" applyFill="1" applyBorder="1"/>
    <xf numFmtId="0" fontId="52" fillId="12" borderId="26" xfId="2" applyFont="1" applyFill="1" applyBorder="1" applyAlignment="1">
      <alignment horizontal="center"/>
    </xf>
    <xf numFmtId="0" fontId="10" fillId="12" borderId="0" xfId="2" applyFill="1" applyAlignment="1">
      <alignment horizontal="left"/>
    </xf>
    <xf numFmtId="185" fontId="0" fillId="12" borderId="0" xfId="21" applyNumberFormat="1" applyFont="1" applyFill="1" applyBorder="1" applyAlignment="1" applyProtection="1">
      <alignment horizontal="center" vertical="center"/>
    </xf>
    <xf numFmtId="3" fontId="10" fillId="12" borderId="0" xfId="22" applyNumberFormat="1" applyFill="1" applyBorder="1" applyAlignment="1">
      <alignment horizontal="center"/>
    </xf>
    <xf numFmtId="4" fontId="0" fillId="12" borderId="0" xfId="22" applyNumberFormat="1" applyFont="1" applyFill="1" applyBorder="1" applyAlignment="1">
      <alignment horizontal="center"/>
    </xf>
    <xf numFmtId="4" fontId="10" fillId="12" borderId="0" xfId="22" applyNumberFormat="1" applyFill="1" applyBorder="1" applyAlignment="1">
      <alignment horizontal="center"/>
    </xf>
    <xf numFmtId="0" fontId="52" fillId="12" borderId="5" xfId="2" applyFont="1" applyFill="1" applyBorder="1" applyAlignment="1">
      <alignment horizontal="center" vertical="center"/>
    </xf>
    <xf numFmtId="0" fontId="52" fillId="12" borderId="15" xfId="2" applyFont="1" applyFill="1" applyBorder="1" applyAlignment="1">
      <alignment horizontal="center" vertical="center" wrapText="1"/>
    </xf>
    <xf numFmtId="1" fontId="52" fillId="12" borderId="15" xfId="22" applyNumberFormat="1" applyFont="1" applyFill="1" applyBorder="1" applyAlignment="1">
      <alignment horizontal="center"/>
    </xf>
    <xf numFmtId="0" fontId="55" fillId="12" borderId="5" xfId="2" applyFont="1" applyFill="1" applyBorder="1" applyAlignment="1">
      <alignment horizontal="center" vertical="center"/>
    </xf>
    <xf numFmtId="4" fontId="55" fillId="12" borderId="15" xfId="22" applyNumberFormat="1" applyFont="1" applyFill="1" applyBorder="1" applyAlignment="1">
      <alignment horizontal="center"/>
    </xf>
    <xf numFmtId="3" fontId="55" fillId="12" borderId="15" xfId="22" applyNumberFormat="1" applyFont="1" applyFill="1" applyBorder="1" applyAlignment="1">
      <alignment horizontal="center"/>
    </xf>
    <xf numFmtId="3" fontId="55" fillId="12" borderId="4" xfId="22" applyNumberFormat="1" applyFont="1" applyFill="1" applyBorder="1" applyAlignment="1">
      <alignment horizontal="center"/>
    </xf>
    <xf numFmtId="0" fontId="10" fillId="3" borderId="0" xfId="2" applyFill="1" applyAlignment="1">
      <alignment horizontal="center" wrapText="1"/>
    </xf>
    <xf numFmtId="0" fontId="10" fillId="12" borderId="1" xfId="2" applyFill="1" applyBorder="1" applyAlignment="1">
      <alignment horizontal="left" vertical="center" indent="1"/>
    </xf>
    <xf numFmtId="3" fontId="10" fillId="12" borderId="5" xfId="22" applyNumberFormat="1" applyFill="1" applyBorder="1" applyAlignment="1">
      <alignment horizontal="center"/>
    </xf>
    <xf numFmtId="3" fontId="10" fillId="12" borderId="4" xfId="22" applyNumberFormat="1" applyFill="1" applyBorder="1" applyAlignment="1">
      <alignment horizontal="center"/>
    </xf>
    <xf numFmtId="0" fontId="10" fillId="12" borderId="5" xfId="2" applyFill="1" applyBorder="1" applyAlignment="1">
      <alignment horizontal="left" vertical="center" indent="1"/>
    </xf>
    <xf numFmtId="3" fontId="10" fillId="0" borderId="0" xfId="22" applyNumberFormat="1" applyFill="1" applyBorder="1" applyAlignment="1">
      <alignment horizontal="center"/>
    </xf>
    <xf numFmtId="0" fontId="10" fillId="0" borderId="0" xfId="2"/>
    <xf numFmtId="3" fontId="10" fillId="3" borderId="0" xfId="2" applyNumberFormat="1" applyFill="1"/>
    <xf numFmtId="0" fontId="52" fillId="12" borderId="5" xfId="2" applyFont="1" applyFill="1" applyBorder="1"/>
    <xf numFmtId="0" fontId="52" fillId="12" borderId="3" xfId="2" applyFont="1" applyFill="1" applyBorder="1" applyAlignment="1">
      <alignment horizontal="center" vertical="center" wrapText="1"/>
    </xf>
    <xf numFmtId="181" fontId="10" fillId="3" borderId="0" xfId="2" applyNumberFormat="1" applyFill="1"/>
    <xf numFmtId="0" fontId="10" fillId="12" borderId="3" xfId="2" applyFill="1" applyBorder="1" applyAlignment="1">
      <alignment horizontal="left" vertical="center" indent="1"/>
    </xf>
    <xf numFmtId="4" fontId="0" fillId="12" borderId="9" xfId="22" applyNumberFormat="1" applyFont="1" applyFill="1" applyBorder="1" applyAlignment="1">
      <alignment horizontal="center"/>
    </xf>
    <xf numFmtId="185" fontId="0" fillId="12" borderId="9" xfId="21" applyNumberFormat="1" applyFont="1" applyFill="1" applyBorder="1" applyAlignment="1" applyProtection="1">
      <alignment horizontal="right" vertical="center"/>
    </xf>
    <xf numFmtId="185" fontId="0" fillId="12" borderId="21" xfId="21" applyNumberFormat="1" applyFont="1" applyFill="1" applyBorder="1" applyAlignment="1" applyProtection="1">
      <alignment horizontal="right" vertical="center"/>
    </xf>
    <xf numFmtId="185" fontId="0" fillId="12" borderId="8" xfId="21" applyNumberFormat="1" applyFont="1" applyFill="1" applyBorder="1" applyAlignment="1" applyProtection="1">
      <alignment horizontal="right" vertical="center"/>
    </xf>
    <xf numFmtId="0" fontId="10" fillId="12" borderId="19" xfId="2" applyFill="1" applyBorder="1" applyAlignment="1">
      <alignment horizontal="left" vertical="center" indent="1"/>
    </xf>
    <xf numFmtId="4" fontId="0" fillId="12" borderId="24" xfId="22" applyNumberFormat="1" applyFont="1" applyFill="1" applyBorder="1" applyAlignment="1">
      <alignment horizontal="center"/>
    </xf>
    <xf numFmtId="185" fontId="0" fillId="12" borderId="25" xfId="21" applyNumberFormat="1" applyFont="1" applyFill="1" applyBorder="1" applyAlignment="1" applyProtection="1">
      <alignment horizontal="right" vertical="center"/>
    </xf>
    <xf numFmtId="0" fontId="10" fillId="12" borderId="2" xfId="2" applyFill="1" applyBorder="1" applyAlignment="1">
      <alignment horizontal="left" vertical="center" indent="1"/>
    </xf>
    <xf numFmtId="4" fontId="0" fillId="12" borderId="7" xfId="22" applyNumberFormat="1" applyFont="1" applyFill="1" applyBorder="1" applyAlignment="1">
      <alignment horizontal="center"/>
    </xf>
    <xf numFmtId="185" fontId="0" fillId="12" borderId="7" xfId="21" applyNumberFormat="1" applyFont="1" applyFill="1" applyBorder="1" applyAlignment="1" applyProtection="1">
      <alignment horizontal="right" vertical="center"/>
    </xf>
    <xf numFmtId="185" fontId="0" fillId="12" borderId="20" xfId="21" applyNumberFormat="1" applyFont="1" applyFill="1" applyBorder="1" applyAlignment="1" applyProtection="1">
      <alignment horizontal="right" vertical="center"/>
    </xf>
    <xf numFmtId="185" fontId="0" fillId="12" borderId="6" xfId="21" applyNumberFormat="1" applyFont="1" applyFill="1" applyBorder="1" applyAlignment="1" applyProtection="1">
      <alignment horizontal="right" vertical="center"/>
    </xf>
    <xf numFmtId="0" fontId="52" fillId="12" borderId="2" xfId="2" applyFont="1" applyFill="1" applyBorder="1" applyAlignment="1">
      <alignment horizontal="left" vertical="center"/>
    </xf>
    <xf numFmtId="4" fontId="52" fillId="12" borderId="7" xfId="22" applyNumberFormat="1" applyFont="1" applyFill="1" applyBorder="1" applyAlignment="1">
      <alignment horizontal="center"/>
    </xf>
    <xf numFmtId="185" fontId="52" fillId="12" borderId="7" xfId="21" applyNumberFormat="1" applyFont="1" applyFill="1" applyBorder="1" applyAlignment="1" applyProtection="1">
      <alignment horizontal="right" vertical="center"/>
    </xf>
    <xf numFmtId="185" fontId="52" fillId="12" borderId="20" xfId="21" applyNumberFormat="1" applyFont="1" applyFill="1" applyBorder="1" applyAlignment="1" applyProtection="1">
      <alignment horizontal="right" vertical="center"/>
    </xf>
    <xf numFmtId="185" fontId="52" fillId="12" borderId="6" xfId="21" applyNumberFormat="1" applyFont="1" applyFill="1" applyBorder="1" applyAlignment="1" applyProtection="1">
      <alignment horizontal="right" vertical="center"/>
    </xf>
    <xf numFmtId="0" fontId="52" fillId="3" borderId="0" xfId="2" applyFont="1" applyFill="1" applyAlignment="1">
      <alignment horizontal="center" wrapText="1"/>
    </xf>
    <xf numFmtId="181" fontId="52" fillId="3" borderId="0" xfId="2" applyNumberFormat="1" applyFont="1" applyFill="1"/>
    <xf numFmtId="186" fontId="0" fillId="12" borderId="3" xfId="21" applyNumberFormat="1" applyFont="1" applyFill="1" applyBorder="1" applyAlignment="1" applyProtection="1">
      <alignment horizontal="center" vertical="center"/>
    </xf>
    <xf numFmtId="186" fontId="0" fillId="12" borderId="2" xfId="21" applyNumberFormat="1" applyFont="1" applyFill="1" applyBorder="1" applyAlignment="1" applyProtection="1">
      <alignment horizontal="center" vertical="center"/>
    </xf>
    <xf numFmtId="0" fontId="52" fillId="12" borderId="2" xfId="2" applyFont="1" applyFill="1" applyBorder="1" applyAlignment="1">
      <alignment horizontal="left" vertical="center" indent="1"/>
    </xf>
    <xf numFmtId="186" fontId="52" fillId="12" borderId="2" xfId="21" applyNumberFormat="1" applyFont="1" applyFill="1" applyBorder="1" applyAlignment="1" applyProtection="1">
      <alignment horizontal="center" vertical="center"/>
    </xf>
    <xf numFmtId="3" fontId="55" fillId="12" borderId="5" xfId="22" applyNumberFormat="1" applyFont="1" applyFill="1" applyBorder="1" applyAlignment="1">
      <alignment horizontal="center"/>
    </xf>
    <xf numFmtId="3" fontId="58" fillId="12" borderId="4" xfId="22" applyNumberFormat="1" applyFont="1" applyFill="1" applyBorder="1" applyAlignment="1">
      <alignment horizontal="center"/>
    </xf>
    <xf numFmtId="0" fontId="52" fillId="12" borderId="1" xfId="2" applyFont="1" applyFill="1" applyBorder="1" applyAlignment="1">
      <alignment horizontal="center" vertical="center" wrapText="1"/>
    </xf>
    <xf numFmtId="0" fontId="10" fillId="13" borderId="1" xfId="2" applyFill="1" applyBorder="1" applyAlignment="1" applyProtection="1">
      <alignment horizontal="center"/>
      <protection locked="0"/>
    </xf>
    <xf numFmtId="181" fontId="54" fillId="3" borderId="0" xfId="2" applyNumberFormat="1" applyFont="1" applyFill="1"/>
    <xf numFmtId="4" fontId="0" fillId="12" borderId="5" xfId="22" applyNumberFormat="1" applyFont="1" applyFill="1" applyBorder="1" applyAlignment="1">
      <alignment horizontal="center"/>
    </xf>
    <xf numFmtId="186" fontId="0" fillId="12" borderId="5" xfId="21" applyNumberFormat="1" applyFont="1" applyFill="1" applyBorder="1" applyAlignment="1" applyProtection="1">
      <alignment horizontal="center" vertical="center"/>
    </xf>
    <xf numFmtId="186" fontId="0" fillId="12" borderId="15" xfId="21" applyNumberFormat="1" applyFont="1" applyFill="1" applyBorder="1" applyAlignment="1" applyProtection="1">
      <alignment horizontal="center" vertical="center"/>
    </xf>
    <xf numFmtId="186" fontId="54" fillId="12" borderId="4" xfId="21" applyNumberFormat="1" applyFont="1" applyFill="1" applyBorder="1" applyAlignment="1" applyProtection="1">
      <alignment horizontal="center" vertical="center"/>
    </xf>
    <xf numFmtId="0" fontId="52" fillId="12" borderId="1" xfId="2" applyFont="1" applyFill="1" applyBorder="1" applyAlignment="1">
      <alignment horizontal="left" vertical="center" indent="1"/>
    </xf>
    <xf numFmtId="185" fontId="52" fillId="12" borderId="5" xfId="21" applyNumberFormat="1" applyFont="1" applyFill="1" applyBorder="1" applyAlignment="1" applyProtection="1">
      <alignment horizontal="right" vertical="center"/>
    </xf>
    <xf numFmtId="185" fontId="52" fillId="12" borderId="15" xfId="21" applyNumberFormat="1" applyFont="1" applyFill="1" applyBorder="1" applyAlignment="1" applyProtection="1">
      <alignment horizontal="right" vertical="center"/>
    </xf>
    <xf numFmtId="185" fontId="52" fillId="12" borderId="4" xfId="21" applyNumberFormat="1" applyFont="1" applyFill="1" applyBorder="1" applyAlignment="1" applyProtection="1">
      <alignment horizontal="right" vertical="center"/>
    </xf>
    <xf numFmtId="185" fontId="52" fillId="3" borderId="0" xfId="2" applyNumberFormat="1" applyFont="1" applyFill="1"/>
    <xf numFmtId="4" fontId="52" fillId="12" borderId="1" xfId="22" applyNumberFormat="1" applyFont="1" applyFill="1" applyBorder="1" applyAlignment="1">
      <alignment horizontal="center"/>
    </xf>
    <xf numFmtId="0" fontId="59" fillId="3" borderId="0" xfId="2" applyFont="1" applyFill="1"/>
    <xf numFmtId="0" fontId="52" fillId="3" borderId="0" xfId="2" applyFont="1" applyFill="1"/>
    <xf numFmtId="185" fontId="0" fillId="12" borderId="1" xfId="21" applyNumberFormat="1" applyFont="1" applyFill="1" applyBorder="1" applyAlignment="1" applyProtection="1">
      <alignment horizontal="right" vertical="center"/>
    </xf>
    <xf numFmtId="177" fontId="10" fillId="12" borderId="5" xfId="22" applyNumberFormat="1" applyFill="1" applyBorder="1" applyAlignment="1">
      <alignment horizontal="right"/>
    </xf>
    <xf numFmtId="177" fontId="10" fillId="12" borderId="15" xfId="22" applyNumberFormat="1" applyFill="1" applyBorder="1" applyAlignment="1">
      <alignment horizontal="right"/>
    </xf>
    <xf numFmtId="177" fontId="10" fillId="12" borderId="4" xfId="22" applyNumberFormat="1" applyFill="1" applyBorder="1" applyAlignment="1">
      <alignment horizontal="right"/>
    </xf>
    <xf numFmtId="0" fontId="57" fillId="3" borderId="0" xfId="2" applyFont="1" applyFill="1"/>
    <xf numFmtId="4" fontId="0" fillId="12" borderId="2" xfId="22" applyNumberFormat="1" applyFont="1" applyFill="1" applyBorder="1" applyAlignment="1">
      <alignment horizontal="center"/>
    </xf>
    <xf numFmtId="0" fontId="57" fillId="12" borderId="2" xfId="2" applyFont="1" applyFill="1" applyBorder="1" applyAlignment="1">
      <alignment horizontal="left" vertical="center" indent="1"/>
    </xf>
    <xf numFmtId="4" fontId="57" fillId="12" borderId="2" xfId="22" applyNumberFormat="1" applyFont="1" applyFill="1" applyBorder="1" applyAlignment="1">
      <alignment horizontal="center"/>
    </xf>
    <xf numFmtId="185" fontId="57" fillId="12" borderId="7" xfId="21" applyNumberFormat="1" applyFont="1" applyFill="1" applyBorder="1" applyAlignment="1" applyProtection="1">
      <alignment horizontal="right" vertical="center"/>
    </xf>
    <xf numFmtId="185" fontId="57" fillId="12" borderId="20" xfId="21" applyNumberFormat="1" applyFont="1" applyFill="1" applyBorder="1" applyAlignment="1" applyProtection="1">
      <alignment horizontal="right" vertical="center"/>
    </xf>
    <xf numFmtId="185" fontId="57" fillId="12" borderId="6" xfId="21" applyNumberFormat="1" applyFont="1" applyFill="1" applyBorder="1" applyAlignment="1" applyProtection="1">
      <alignment horizontal="right" vertical="center"/>
    </xf>
    <xf numFmtId="0" fontId="57" fillId="3" borderId="0" xfId="2" applyFont="1" applyFill="1" applyAlignment="1">
      <alignment horizontal="left"/>
    </xf>
    <xf numFmtId="0" fontId="57" fillId="3" borderId="0" xfId="2" applyFont="1" applyFill="1" applyAlignment="1">
      <alignment horizontal="center" wrapText="1"/>
    </xf>
    <xf numFmtId="176" fontId="57" fillId="3" borderId="0" xfId="2" applyNumberFormat="1" applyFont="1" applyFill="1"/>
    <xf numFmtId="175" fontId="10" fillId="12" borderId="5" xfId="22" applyNumberFormat="1" applyFill="1" applyBorder="1" applyAlignment="1">
      <alignment horizontal="center"/>
    </xf>
    <xf numFmtId="175" fontId="10" fillId="12" borderId="15" xfId="22" applyNumberFormat="1" applyFill="1" applyBorder="1" applyAlignment="1">
      <alignment horizontal="center"/>
    </xf>
    <xf numFmtId="175" fontId="10" fillId="12" borderId="4" xfId="22" applyNumberFormat="1" applyFill="1" applyBorder="1" applyAlignment="1">
      <alignment horizontal="center"/>
    </xf>
    <xf numFmtId="4" fontId="10" fillId="12" borderId="2" xfId="22" applyNumberFormat="1" applyFill="1" applyBorder="1" applyAlignment="1">
      <alignment horizontal="center"/>
    </xf>
    <xf numFmtId="0" fontId="10" fillId="3" borderId="0" xfId="2" applyFill="1" applyAlignment="1">
      <alignment horizontal="center"/>
    </xf>
    <xf numFmtId="0" fontId="52" fillId="12" borderId="1" xfId="2" applyFont="1" applyFill="1" applyBorder="1"/>
    <xf numFmtId="185" fontId="0" fillId="12" borderId="5" xfId="21" applyNumberFormat="1" applyFont="1" applyFill="1" applyBorder="1" applyAlignment="1" applyProtection="1">
      <alignment horizontal="right" vertical="center"/>
    </xf>
    <xf numFmtId="185" fontId="0" fillId="12" borderId="15" xfId="21" applyNumberFormat="1" applyFont="1" applyFill="1" applyBorder="1" applyAlignment="1" applyProtection="1">
      <alignment horizontal="right" vertical="center"/>
    </xf>
    <xf numFmtId="185" fontId="0" fillId="12" borderId="4" xfId="21" applyNumberFormat="1" applyFont="1" applyFill="1" applyBorder="1" applyAlignment="1" applyProtection="1">
      <alignment horizontal="right" vertical="center"/>
    </xf>
    <xf numFmtId="0" fontId="52" fillId="12" borderId="5" xfId="2" applyFont="1" applyFill="1" applyBorder="1" applyAlignment="1">
      <alignment horizontal="left" indent="2"/>
    </xf>
    <xf numFmtId="185" fontId="52" fillId="12" borderId="2" xfId="21" applyNumberFormat="1" applyFont="1" applyFill="1" applyBorder="1" applyAlignment="1" applyProtection="1">
      <alignment horizontal="center" vertical="center"/>
    </xf>
    <xf numFmtId="185" fontId="0" fillId="0" borderId="0" xfId="21" applyNumberFormat="1" applyFont="1" applyFill="1" applyBorder="1" applyAlignment="1" applyProtection="1">
      <alignment horizontal="right" vertical="center"/>
    </xf>
    <xf numFmtId="0" fontId="52" fillId="12" borderId="5" xfId="2" applyFont="1" applyFill="1" applyBorder="1" applyAlignment="1">
      <alignment horizontal="left"/>
    </xf>
    <xf numFmtId="0" fontId="10" fillId="12" borderId="5" xfId="2" applyFill="1" applyBorder="1" applyAlignment="1">
      <alignment horizontal="left" indent="1"/>
    </xf>
    <xf numFmtId="0" fontId="10" fillId="12" borderId="1" xfId="2" applyFill="1" applyBorder="1" applyAlignment="1">
      <alignment horizontal="center" vertical="center" wrapText="1"/>
    </xf>
    <xf numFmtId="185" fontId="0" fillId="12" borderId="3" xfId="21" applyNumberFormat="1" applyFont="1" applyFill="1" applyBorder="1" applyAlignment="1" applyProtection="1">
      <alignment horizontal="center" vertical="center"/>
    </xf>
    <xf numFmtId="0" fontId="52" fillId="12" borderId="3" xfId="2" applyFont="1" applyFill="1" applyBorder="1"/>
    <xf numFmtId="4" fontId="0" fillId="12" borderId="3" xfId="22" applyNumberFormat="1" applyFont="1" applyFill="1" applyBorder="1" applyAlignment="1">
      <alignment horizontal="center"/>
    </xf>
    <xf numFmtId="0" fontId="52" fillId="12" borderId="5" xfId="2" applyFont="1" applyFill="1" applyBorder="1" applyAlignment="1">
      <alignment horizontal="left" vertical="center" indent="2"/>
    </xf>
    <xf numFmtId="0" fontId="10" fillId="12" borderId="9" xfId="2" applyFill="1" applyBorder="1" applyAlignment="1">
      <alignment horizontal="left" indent="1"/>
    </xf>
    <xf numFmtId="0" fontId="10" fillId="12" borderId="9" xfId="2" applyFill="1" applyBorder="1" applyAlignment="1">
      <alignment horizontal="left" vertical="center" indent="1"/>
    </xf>
    <xf numFmtId="0" fontId="10" fillId="12" borderId="24" xfId="2" applyFill="1" applyBorder="1" applyAlignment="1">
      <alignment horizontal="left" vertical="center" indent="1"/>
    </xf>
    <xf numFmtId="4" fontId="0" fillId="12" borderId="19" xfId="22" applyNumberFormat="1" applyFont="1" applyFill="1" applyBorder="1" applyAlignment="1">
      <alignment horizontal="center"/>
    </xf>
    <xf numFmtId="0" fontId="10" fillId="12" borderId="7" xfId="2" applyFill="1" applyBorder="1" applyAlignment="1">
      <alignment horizontal="left" vertical="center" indent="1"/>
    </xf>
    <xf numFmtId="0" fontId="10" fillId="12" borderId="7" xfId="2" applyFill="1" applyBorder="1" applyAlignment="1">
      <alignment horizontal="left" vertical="center" indent="2"/>
    </xf>
    <xf numFmtId="4" fontId="52" fillId="12" borderId="2" xfId="22" applyNumberFormat="1" applyFont="1" applyFill="1" applyBorder="1" applyAlignment="1">
      <alignment horizontal="center"/>
    </xf>
    <xf numFmtId="0" fontId="52" fillId="12" borderId="2" xfId="2" applyFont="1" applyFill="1" applyBorder="1" applyAlignment="1">
      <alignment horizontal="left" vertical="center" indent="2"/>
    </xf>
    <xf numFmtId="0" fontId="57" fillId="12" borderId="1" xfId="2" applyFont="1" applyFill="1" applyBorder="1" applyAlignment="1">
      <alignment horizontal="left" vertical="center" indent="2"/>
    </xf>
    <xf numFmtId="185" fontId="57" fillId="12" borderId="5" xfId="21" applyNumberFormat="1" applyFont="1" applyFill="1" applyBorder="1" applyAlignment="1" applyProtection="1">
      <alignment horizontal="right" vertical="center"/>
    </xf>
    <xf numFmtId="185" fontId="57" fillId="12" borderId="15" xfId="21" applyNumberFormat="1" applyFont="1" applyFill="1" applyBorder="1" applyAlignment="1" applyProtection="1">
      <alignment horizontal="right" vertical="center"/>
    </xf>
    <xf numFmtId="185" fontId="57" fillId="12" borderId="4" xfId="21" applyNumberFormat="1" applyFont="1" applyFill="1" applyBorder="1" applyAlignment="1" applyProtection="1">
      <alignment horizontal="right" vertical="center"/>
    </xf>
    <xf numFmtId="0" fontId="57" fillId="0" borderId="0" xfId="2" applyFont="1"/>
    <xf numFmtId="185" fontId="57" fillId="0" borderId="0" xfId="21" applyNumberFormat="1" applyFont="1" applyFill="1" applyBorder="1" applyAlignment="1" applyProtection="1">
      <alignment horizontal="right" vertical="center"/>
    </xf>
    <xf numFmtId="178" fontId="0" fillId="12" borderId="1" xfId="22" applyNumberFormat="1" applyFont="1" applyFill="1" applyBorder="1" applyAlignment="1" applyProtection="1">
      <alignment horizontal="center" vertical="center"/>
    </xf>
    <xf numFmtId="185" fontId="0" fillId="12" borderId="2" xfId="21" applyNumberFormat="1" applyFont="1" applyFill="1" applyBorder="1" applyAlignment="1" applyProtection="1">
      <alignment horizontal="center" vertical="center"/>
    </xf>
    <xf numFmtId="180" fontId="10" fillId="13" borderId="19" xfId="2" applyNumberFormat="1" applyFill="1" applyBorder="1" applyAlignment="1" applyProtection="1">
      <alignment horizontal="center"/>
      <protection locked="0"/>
    </xf>
    <xf numFmtId="187" fontId="10" fillId="13" borderId="2" xfId="2" applyNumberFormat="1" applyFill="1" applyBorder="1" applyAlignment="1" applyProtection="1">
      <alignment horizontal="center"/>
      <protection locked="0"/>
    </xf>
    <xf numFmtId="0" fontId="52" fillId="12" borderId="0" xfId="2" applyFont="1" applyFill="1"/>
    <xf numFmtId="0" fontId="10" fillId="12" borderId="24" xfId="2" applyFill="1" applyBorder="1"/>
    <xf numFmtId="170" fontId="10" fillId="12" borderId="25" xfId="2" applyNumberFormat="1" applyFill="1" applyBorder="1"/>
    <xf numFmtId="168" fontId="10" fillId="12" borderId="25" xfId="2" applyNumberFormat="1" applyFill="1" applyBorder="1"/>
    <xf numFmtId="168" fontId="52" fillId="13" borderId="1" xfId="2" applyNumberFormat="1" applyFont="1" applyFill="1" applyBorder="1" applyAlignment="1" applyProtection="1">
      <alignment horizontal="right"/>
      <protection locked="0"/>
    </xf>
    <xf numFmtId="0" fontId="10" fillId="13" borderId="19" xfId="2" applyFill="1" applyBorder="1" applyAlignment="1" applyProtection="1">
      <alignment horizontal="center"/>
      <protection locked="0"/>
    </xf>
    <xf numFmtId="164" fontId="10" fillId="12" borderId="25" xfId="1" applyFont="1" applyFill="1" applyBorder="1" applyAlignment="1">
      <alignment horizontal="left" indent="1"/>
    </xf>
    <xf numFmtId="164" fontId="10" fillId="12" borderId="25" xfId="1" applyFont="1" applyFill="1" applyBorder="1" applyAlignment="1">
      <alignment horizontal="center"/>
    </xf>
    <xf numFmtId="176" fontId="10" fillId="13" borderId="25" xfId="2" applyNumberFormat="1" applyFill="1" applyBorder="1" applyAlignment="1" applyProtection="1">
      <alignment horizontal="center"/>
      <protection locked="0"/>
    </xf>
    <xf numFmtId="0" fontId="4" fillId="0" borderId="0" xfId="23"/>
    <xf numFmtId="0" fontId="11" fillId="3" borderId="0" xfId="23" applyFont="1" applyFill="1"/>
    <xf numFmtId="0" fontId="43" fillId="3" borderId="0" xfId="23" applyFont="1" applyFill="1" applyAlignment="1">
      <alignment horizontal="justify" vertical="center"/>
    </xf>
    <xf numFmtId="0" fontId="4" fillId="0" borderId="29" xfId="23" applyBorder="1"/>
    <xf numFmtId="0" fontId="4" fillId="3" borderId="0" xfId="23" applyFill="1"/>
    <xf numFmtId="0" fontId="4" fillId="3" borderId="29" xfId="23" applyFill="1" applyBorder="1"/>
    <xf numFmtId="0" fontId="11" fillId="3" borderId="21" xfId="23" applyFont="1" applyFill="1" applyBorder="1"/>
    <xf numFmtId="2" fontId="43" fillId="3" borderId="1" xfId="23" applyNumberFormat="1" applyFont="1" applyFill="1" applyBorder="1" applyAlignment="1">
      <alignment horizontal="right" vertical="center"/>
    </xf>
    <xf numFmtId="0" fontId="4" fillId="0" borderId="1" xfId="23" applyBorder="1"/>
    <xf numFmtId="0" fontId="4" fillId="3" borderId="30" xfId="23" applyFill="1" applyBorder="1"/>
    <xf numFmtId="0" fontId="11" fillId="3" borderId="20" xfId="23" applyFont="1" applyFill="1" applyBorder="1"/>
    <xf numFmtId="164" fontId="43" fillId="3" borderId="1" xfId="1" applyFont="1" applyFill="1" applyBorder="1" applyAlignment="1">
      <alignment horizontal="right" vertical="center"/>
    </xf>
    <xf numFmtId="0" fontId="47" fillId="3" borderId="30" xfId="23" applyFont="1" applyFill="1" applyBorder="1" applyAlignment="1">
      <alignment vertical="center"/>
    </xf>
    <xf numFmtId="0" fontId="11" fillId="11" borderId="0" xfId="23" applyFont="1" applyFill="1"/>
    <xf numFmtId="0" fontId="43" fillId="3" borderId="1" xfId="23" applyFont="1" applyFill="1" applyBorder="1" applyAlignment="1">
      <alignment horizontal="justify" vertical="center"/>
    </xf>
    <xf numFmtId="0" fontId="43" fillId="3" borderId="29" xfId="23" applyFont="1" applyFill="1" applyBorder="1" applyAlignment="1">
      <alignment horizontal="justify" vertical="center"/>
    </xf>
    <xf numFmtId="0" fontId="20" fillId="3" borderId="1" xfId="23" applyFont="1" applyFill="1" applyBorder="1"/>
    <xf numFmtId="171" fontId="4" fillId="3" borderId="1" xfId="23" applyNumberFormat="1" applyFill="1" applyBorder="1" applyAlignment="1">
      <alignment horizontal="center" vertical="center"/>
    </xf>
    <xf numFmtId="171" fontId="4" fillId="3" borderId="31" xfId="23" applyNumberFormat="1" applyFill="1" applyBorder="1" applyAlignment="1">
      <alignment horizontal="center" vertical="center"/>
    </xf>
    <xf numFmtId="171" fontId="4" fillId="3" borderId="30" xfId="23" applyNumberFormat="1" applyFill="1" applyBorder="1" applyAlignment="1">
      <alignment horizontal="center" vertical="center"/>
    </xf>
    <xf numFmtId="9" fontId="49" fillId="3" borderId="1" xfId="22" applyFont="1" applyFill="1" applyBorder="1" applyAlignment="1" applyProtection="1"/>
    <xf numFmtId="9" fontId="20" fillId="3" borderId="0" xfId="22" applyFont="1" applyFill="1" applyBorder="1" applyAlignment="1" applyProtection="1"/>
    <xf numFmtId="171" fontId="4" fillId="3" borderId="0" xfId="23" applyNumberFormat="1" applyFill="1" applyAlignment="1">
      <alignment horizontal="center" vertical="center"/>
    </xf>
    <xf numFmtId="171" fontId="4" fillId="3" borderId="29" xfId="23" applyNumberFormat="1" applyFill="1" applyBorder="1" applyAlignment="1">
      <alignment horizontal="center" vertical="center"/>
    </xf>
    <xf numFmtId="0" fontId="43" fillId="8" borderId="18" xfId="23" applyFont="1" applyFill="1" applyBorder="1" applyAlignment="1">
      <alignment horizontal="justify" vertical="center"/>
    </xf>
    <xf numFmtId="0" fontId="60" fillId="8" borderId="18" xfId="23" applyFont="1" applyFill="1" applyBorder="1" applyAlignment="1">
      <alignment horizontal="justify" vertical="center"/>
    </xf>
    <xf numFmtId="0" fontId="43" fillId="8" borderId="32" xfId="23" applyFont="1" applyFill="1" applyBorder="1" applyAlignment="1">
      <alignment horizontal="justify" vertical="center"/>
    </xf>
    <xf numFmtId="0" fontId="43" fillId="8" borderId="33" xfId="23" applyFont="1" applyFill="1" applyBorder="1" applyAlignment="1">
      <alignment horizontal="justify" vertical="center"/>
    </xf>
    <xf numFmtId="0" fontId="4" fillId="3" borderId="21" xfId="23" applyFill="1" applyBorder="1"/>
    <xf numFmtId="9" fontId="20" fillId="3" borderId="1" xfId="22" applyFont="1" applyFill="1" applyBorder="1" applyAlignment="1" applyProtection="1"/>
    <xf numFmtId="0" fontId="20" fillId="0" borderId="1" xfId="23" applyFont="1" applyBorder="1"/>
    <xf numFmtId="171" fontId="4" fillId="0" borderId="1" xfId="23" applyNumberFormat="1" applyBorder="1" applyAlignment="1">
      <alignment horizontal="center" vertical="center"/>
    </xf>
    <xf numFmtId="171" fontId="4" fillId="0" borderId="30" xfId="23" applyNumberFormat="1" applyBorder="1" applyAlignment="1">
      <alignment horizontal="center" vertical="center"/>
    </xf>
    <xf numFmtId="0" fontId="4" fillId="3" borderId="1" xfId="23" applyFill="1" applyBorder="1"/>
    <xf numFmtId="172" fontId="4" fillId="3" borderId="1" xfId="23" applyNumberFormat="1" applyFill="1" applyBorder="1" applyAlignment="1">
      <alignment horizontal="center" vertical="center"/>
    </xf>
    <xf numFmtId="172" fontId="4" fillId="3" borderId="31" xfId="23" applyNumberFormat="1" applyFill="1" applyBorder="1" applyAlignment="1">
      <alignment horizontal="center" vertical="center"/>
    </xf>
    <xf numFmtId="43" fontId="4" fillId="3" borderId="1" xfId="23" applyNumberFormat="1" applyFill="1" applyBorder="1" applyAlignment="1">
      <alignment horizontal="center" vertical="center"/>
    </xf>
    <xf numFmtId="172" fontId="4" fillId="3" borderId="30" xfId="23" applyNumberFormat="1" applyFill="1" applyBorder="1" applyAlignment="1">
      <alignment horizontal="center" vertical="center"/>
    </xf>
    <xf numFmtId="172" fontId="11" fillId="3" borderId="30" xfId="23" applyNumberFormat="1" applyFont="1" applyFill="1" applyBorder="1" applyAlignment="1">
      <alignment horizontal="center" vertical="center"/>
    </xf>
    <xf numFmtId="170" fontId="4" fillId="3" borderId="1" xfId="23" applyNumberFormat="1" applyFill="1" applyBorder="1" applyAlignment="1">
      <alignment horizontal="center" vertical="center"/>
    </xf>
    <xf numFmtId="172" fontId="0" fillId="3" borderId="1" xfId="25" applyNumberFormat="1" applyFont="1" applyFill="1" applyBorder="1" applyAlignment="1" applyProtection="1">
      <alignment horizontal="center" vertical="center"/>
    </xf>
    <xf numFmtId="176" fontId="44" fillId="6" borderId="34" xfId="12" applyNumberFormat="1" applyFont="1" applyBorder="1" applyAlignment="1" applyProtection="1"/>
    <xf numFmtId="172" fontId="11" fillId="3" borderId="3" xfId="23" applyNumberFormat="1" applyFont="1" applyFill="1" applyBorder="1"/>
    <xf numFmtId="172" fontId="11" fillId="3" borderId="3" xfId="23" applyNumberFormat="1" applyFont="1" applyFill="1" applyBorder="1" applyAlignment="1">
      <alignment horizontal="center" vertical="center"/>
    </xf>
    <xf numFmtId="0" fontId="44" fillId="6" borderId="36" xfId="12" applyNumberFormat="1" applyFont="1" applyBorder="1" applyAlignment="1" applyProtection="1"/>
    <xf numFmtId="0" fontId="4" fillId="3" borderId="39" xfId="23" applyFill="1" applyBorder="1"/>
    <xf numFmtId="0" fontId="11" fillId="11" borderId="39" xfId="23" applyFont="1" applyFill="1" applyBorder="1"/>
    <xf numFmtId="0" fontId="4" fillId="0" borderId="39" xfId="23" applyBorder="1"/>
    <xf numFmtId="0" fontId="11" fillId="9" borderId="39" xfId="23" applyFont="1" applyFill="1" applyBorder="1"/>
    <xf numFmtId="0" fontId="4" fillId="3" borderId="2" xfId="23" applyFill="1" applyBorder="1"/>
    <xf numFmtId="170" fontId="4" fillId="3" borderId="2" xfId="23" applyNumberFormat="1" applyFill="1" applyBorder="1" applyAlignment="1">
      <alignment horizontal="center" vertical="center"/>
    </xf>
    <xf numFmtId="0" fontId="11" fillId="11" borderId="40" xfId="23" applyFont="1" applyFill="1" applyBorder="1" applyAlignment="1">
      <alignment wrapText="1"/>
    </xf>
    <xf numFmtId="0" fontId="4" fillId="3" borderId="41" xfId="23" applyFill="1" applyBorder="1"/>
    <xf numFmtId="0" fontId="60" fillId="8" borderId="35" xfId="23" applyFont="1" applyFill="1" applyBorder="1" applyAlignment="1">
      <alignment horizontal="justify" vertical="center"/>
    </xf>
    <xf numFmtId="0" fontId="60" fillId="8" borderId="41" xfId="23" applyFont="1" applyFill="1" applyBorder="1" applyAlignment="1">
      <alignment horizontal="justify" vertical="center"/>
    </xf>
    <xf numFmtId="0" fontId="4" fillId="3" borderId="1" xfId="23" applyFill="1" applyBorder="1" applyAlignment="1">
      <alignment horizontal="center" vertical="center"/>
    </xf>
    <xf numFmtId="9" fontId="0" fillId="3" borderId="1" xfId="24" applyFont="1" applyFill="1" applyBorder="1" applyAlignment="1" applyProtection="1">
      <alignment horizontal="center" vertical="center"/>
    </xf>
    <xf numFmtId="174" fontId="0" fillId="3" borderId="1" xfId="25" applyFont="1" applyFill="1" applyBorder="1" applyAlignment="1" applyProtection="1">
      <alignment horizontal="center" vertical="center"/>
    </xf>
    <xf numFmtId="165" fontId="0" fillId="0" borderId="12" xfId="1" applyNumberFormat="1" applyFont="1" applyBorder="1"/>
    <xf numFmtId="165" fontId="0" fillId="0" borderId="47" xfId="1" applyNumberFormat="1" applyFont="1" applyFill="1" applyBorder="1"/>
    <xf numFmtId="165" fontId="0" fillId="0" borderId="45" xfId="0" applyNumberFormat="1" applyBorder="1"/>
    <xf numFmtId="0" fontId="52" fillId="11" borderId="48" xfId="0" applyFont="1" applyFill="1" applyBorder="1" applyAlignment="1">
      <alignment horizontal="center" vertical="center" wrapText="1"/>
    </xf>
    <xf numFmtId="0" fontId="52" fillId="11" borderId="49" xfId="0" applyFont="1" applyFill="1" applyBorder="1" applyAlignment="1">
      <alignment horizontal="center" wrapText="1"/>
    </xf>
    <xf numFmtId="0" fontId="52" fillId="11" borderId="50" xfId="0" applyFont="1" applyFill="1" applyBorder="1" applyAlignment="1">
      <alignment horizontal="center" wrapText="1"/>
    </xf>
    <xf numFmtId="165" fontId="0" fillId="0" borderId="42" xfId="1" applyNumberFormat="1" applyFont="1" applyBorder="1"/>
    <xf numFmtId="165" fontId="0" fillId="0" borderId="43" xfId="1" applyNumberFormat="1" applyFont="1" applyBorder="1"/>
    <xf numFmtId="165" fontId="0" fillId="0" borderId="51" xfId="1" applyNumberFormat="1" applyFont="1" applyBorder="1"/>
    <xf numFmtId="165" fontId="0" fillId="0" borderId="5" xfId="1" applyNumberFormat="1" applyFont="1" applyBorder="1"/>
    <xf numFmtId="165" fontId="0" fillId="0" borderId="52" xfId="0" applyNumberFormat="1" applyBorder="1"/>
    <xf numFmtId="43" fontId="4" fillId="0" borderId="0" xfId="23" applyNumberFormat="1"/>
    <xf numFmtId="165" fontId="0" fillId="0" borderId="44" xfId="7" applyNumberFormat="1" applyFont="1" applyBorder="1"/>
    <xf numFmtId="165" fontId="0" fillId="0" borderId="46" xfId="7" applyNumberFormat="1" applyFont="1" applyBorder="1"/>
    <xf numFmtId="0" fontId="54" fillId="0" borderId="0" xfId="0" applyFont="1"/>
    <xf numFmtId="0" fontId="45" fillId="0" borderId="53" xfId="23" applyFont="1" applyBorder="1"/>
    <xf numFmtId="0" fontId="4" fillId="0" borderId="54" xfId="23" applyBorder="1"/>
    <xf numFmtId="172" fontId="0" fillId="10" borderId="55" xfId="25" applyNumberFormat="1" applyFont="1" applyFill="1" applyBorder="1" applyAlignment="1" applyProtection="1">
      <alignment horizontal="center" vertical="center"/>
    </xf>
    <xf numFmtId="172" fontId="0" fillId="10" borderId="56" xfId="25" applyNumberFormat="1" applyFont="1" applyFill="1" applyBorder="1" applyAlignment="1" applyProtection="1">
      <alignment horizontal="center" vertical="center"/>
    </xf>
    <xf numFmtId="172" fontId="0" fillId="10" borderId="57" xfId="25" applyNumberFormat="1" applyFont="1" applyFill="1" applyBorder="1" applyAlignment="1" applyProtection="1">
      <alignment horizontal="center" vertical="center"/>
    </xf>
    <xf numFmtId="164" fontId="42" fillId="3" borderId="1" xfId="1" applyFont="1" applyFill="1" applyBorder="1"/>
    <xf numFmtId="43" fontId="42" fillId="3" borderId="1" xfId="12" applyNumberFormat="1" applyFill="1" applyBorder="1"/>
    <xf numFmtId="3" fontId="4" fillId="0" borderId="0" xfId="23" applyNumberFormat="1"/>
    <xf numFmtId="43" fontId="43" fillId="3" borderId="0" xfId="13" applyNumberFormat="1" applyFont="1" applyFill="1" applyAlignment="1">
      <alignment horizontal="right" vertical="center"/>
    </xf>
    <xf numFmtId="168" fontId="43" fillId="3" borderId="0" xfId="13" applyNumberFormat="1" applyFont="1" applyFill="1" applyAlignment="1">
      <alignment horizontal="right" vertical="center"/>
    </xf>
    <xf numFmtId="164" fontId="43" fillId="3" borderId="0" xfId="1" applyFont="1" applyFill="1" applyBorder="1" applyAlignment="1">
      <alignment horizontal="right" vertical="center"/>
    </xf>
    <xf numFmtId="0" fontId="3" fillId="0" borderId="0" xfId="26"/>
    <xf numFmtId="4" fontId="3" fillId="0" borderId="0" xfId="26" applyNumberFormat="1"/>
    <xf numFmtId="170" fontId="4" fillId="0" borderId="0" xfId="23" applyNumberFormat="1"/>
    <xf numFmtId="0" fontId="10" fillId="3" borderId="0" xfId="27" applyFill="1"/>
    <xf numFmtId="0" fontId="54" fillId="3" borderId="0" xfId="27" applyFont="1" applyFill="1"/>
    <xf numFmtId="176" fontId="10" fillId="3" borderId="0" xfId="27" applyNumberFormat="1" applyFill="1"/>
    <xf numFmtId="181" fontId="53" fillId="3" borderId="0" xfId="27" applyNumberFormat="1" applyFont="1" applyFill="1" applyAlignment="1">
      <alignment horizontal="center"/>
    </xf>
    <xf numFmtId="0" fontId="10" fillId="3" borderId="0" xfId="27" applyFill="1" applyAlignment="1">
      <alignment horizontal="left"/>
    </xf>
    <xf numFmtId="0" fontId="52" fillId="3" borderId="0" xfId="27" applyFont="1" applyFill="1" applyAlignment="1">
      <alignment horizontal="left"/>
    </xf>
    <xf numFmtId="0" fontId="54" fillId="3" borderId="0" xfId="27" applyFont="1" applyFill="1" applyAlignment="1">
      <alignment horizontal="left"/>
    </xf>
    <xf numFmtId="1" fontId="10" fillId="3" borderId="0" xfId="27" applyNumberFormat="1" applyFill="1"/>
    <xf numFmtId="0" fontId="10" fillId="3" borderId="0" xfId="27" applyFill="1" applyAlignment="1">
      <alignment horizontal="right"/>
    </xf>
    <xf numFmtId="181" fontId="10" fillId="3" borderId="0" xfId="27" applyNumberFormat="1" applyFill="1" applyAlignment="1">
      <alignment horizontal="right"/>
    </xf>
    <xf numFmtId="168" fontId="10" fillId="3" borderId="0" xfId="27" applyNumberFormat="1" applyFill="1"/>
    <xf numFmtId="0" fontId="10" fillId="3" borderId="0" xfId="27" applyFill="1" applyAlignment="1">
      <alignment horizontal="center" wrapText="1"/>
    </xf>
    <xf numFmtId="3" fontId="10" fillId="0" borderId="0" xfId="28" applyNumberFormat="1" applyFill="1" applyBorder="1" applyAlignment="1">
      <alignment horizontal="center"/>
    </xf>
    <xf numFmtId="0" fontId="10" fillId="0" borderId="0" xfId="27"/>
    <xf numFmtId="3" fontId="10" fillId="3" borderId="0" xfId="27" applyNumberFormat="1" applyFill="1"/>
    <xf numFmtId="181" fontId="10" fillId="3" borderId="0" xfId="27" applyNumberFormat="1" applyFill="1"/>
    <xf numFmtId="181" fontId="54" fillId="3" borderId="0" xfId="27" applyNumberFormat="1" applyFont="1" applyFill="1"/>
    <xf numFmtId="0" fontId="52" fillId="3" borderId="0" xfId="27" applyFont="1" applyFill="1" applyAlignment="1">
      <alignment horizontal="center" wrapText="1"/>
    </xf>
    <xf numFmtId="181" fontId="52" fillId="3" borderId="0" xfId="27" applyNumberFormat="1" applyFont="1" applyFill="1"/>
    <xf numFmtId="181" fontId="59" fillId="3" borderId="0" xfId="27" applyNumberFormat="1" applyFont="1" applyFill="1"/>
    <xf numFmtId="185" fontId="52" fillId="3" borderId="0" xfId="27" applyNumberFormat="1" applyFont="1" applyFill="1"/>
    <xf numFmtId="0" fontId="59" fillId="3" borderId="0" xfId="27" applyFont="1" applyFill="1"/>
    <xf numFmtId="0" fontId="52" fillId="3" borderId="0" xfId="27" applyFont="1" applyFill="1"/>
    <xf numFmtId="0" fontId="57" fillId="3" borderId="0" xfId="27" applyFont="1" applyFill="1"/>
    <xf numFmtId="0" fontId="57" fillId="3" borderId="0" xfId="27" applyFont="1" applyFill="1" applyAlignment="1">
      <alignment horizontal="left"/>
    </xf>
    <xf numFmtId="0" fontId="57" fillId="3" borderId="0" xfId="27" applyFont="1" applyFill="1" applyAlignment="1">
      <alignment horizontal="center" wrapText="1"/>
    </xf>
    <xf numFmtId="176" fontId="57" fillId="3" borderId="0" xfId="27" applyNumberFormat="1" applyFont="1" applyFill="1"/>
    <xf numFmtId="0" fontId="10" fillId="3" borderId="0" xfId="27" applyFill="1" applyAlignment="1">
      <alignment horizontal="center"/>
    </xf>
    <xf numFmtId="0" fontId="57" fillId="0" borderId="0" xfId="27" applyFont="1"/>
    <xf numFmtId="185" fontId="61" fillId="0" borderId="0" xfId="21" applyNumberFormat="1" applyFont="1" applyFill="1" applyBorder="1" applyAlignment="1" applyProtection="1">
      <alignment horizontal="right" vertical="center"/>
    </xf>
    <xf numFmtId="183" fontId="0" fillId="12" borderId="0" xfId="21" applyNumberFormat="1" applyFont="1" applyFill="1" applyBorder="1" applyAlignment="1" applyProtection="1">
      <alignment horizontal="right" vertical="center"/>
    </xf>
    <xf numFmtId="0" fontId="52" fillId="14" borderId="9" xfId="27" applyFont="1" applyFill="1" applyBorder="1"/>
    <xf numFmtId="0" fontId="52" fillId="14" borderId="21" xfId="27" applyFont="1" applyFill="1" applyBorder="1"/>
    <xf numFmtId="0" fontId="52" fillId="14" borderId="8" xfId="27" applyFont="1" applyFill="1" applyBorder="1"/>
    <xf numFmtId="0" fontId="10" fillId="14" borderId="24" xfId="27" applyFill="1" applyBorder="1" applyAlignment="1">
      <alignment horizontal="left" indent="1"/>
    </xf>
    <xf numFmtId="0" fontId="10" fillId="14" borderId="0" xfId="27" applyFill="1" applyAlignment="1">
      <alignment horizontal="left" indent="1"/>
    </xf>
    <xf numFmtId="0" fontId="10" fillId="14" borderId="25" xfId="27" applyFill="1" applyBorder="1" applyAlignment="1">
      <alignment horizontal="left" indent="1"/>
    </xf>
    <xf numFmtId="168" fontId="10" fillId="14" borderId="1" xfId="27" applyNumberFormat="1" applyFill="1" applyBorder="1" applyAlignment="1" applyProtection="1">
      <alignment horizontal="center"/>
      <protection locked="0"/>
    </xf>
    <xf numFmtId="176" fontId="10" fillId="14" borderId="1" xfId="27" applyNumberFormat="1" applyFill="1" applyBorder="1" applyAlignment="1" applyProtection="1">
      <alignment horizontal="center"/>
      <protection locked="0"/>
    </xf>
    <xf numFmtId="176" fontId="10" fillId="14" borderId="3" xfId="27" applyNumberFormat="1" applyFill="1" applyBorder="1" applyAlignment="1" applyProtection="1">
      <alignment horizontal="center"/>
      <protection locked="0"/>
    </xf>
    <xf numFmtId="176" fontId="10" fillId="14" borderId="19" xfId="27" applyNumberFormat="1" applyFill="1" applyBorder="1" applyAlignment="1" applyProtection="1">
      <alignment horizontal="center"/>
      <protection locked="0"/>
    </xf>
    <xf numFmtId="182" fontId="10" fillId="14" borderId="2" xfId="27" applyNumberFormat="1" applyFill="1" applyBorder="1" applyAlignment="1" applyProtection="1">
      <alignment horizontal="center"/>
      <protection locked="0"/>
    </xf>
    <xf numFmtId="0" fontId="10" fillId="14" borderId="0" xfId="27" applyFill="1" applyAlignment="1">
      <alignment horizontal="center"/>
    </xf>
    <xf numFmtId="10" fontId="10" fillId="14" borderId="3" xfId="27" applyNumberFormat="1" applyFill="1" applyBorder="1" applyAlignment="1" applyProtection="1">
      <alignment horizontal="center"/>
      <protection locked="0"/>
    </xf>
    <xf numFmtId="10" fontId="10" fillId="14" borderId="19" xfId="27" applyNumberFormat="1" applyFill="1" applyBorder="1" applyAlignment="1" applyProtection="1">
      <alignment horizontal="center"/>
      <protection locked="0"/>
    </xf>
    <xf numFmtId="0" fontId="10" fillId="14" borderId="2" xfId="27" applyFill="1" applyBorder="1" applyAlignment="1" applyProtection="1">
      <alignment horizontal="center"/>
      <protection locked="0"/>
    </xf>
    <xf numFmtId="182" fontId="10" fillId="14" borderId="1" xfId="27" applyNumberFormat="1" applyFill="1" applyBorder="1" applyAlignment="1" applyProtection="1">
      <alignment horizontal="center"/>
      <protection locked="0"/>
    </xf>
    <xf numFmtId="183" fontId="0" fillId="14" borderId="1" xfId="21" applyNumberFormat="1" applyFont="1" applyFill="1" applyBorder="1" applyAlignment="1" applyProtection="1">
      <alignment horizontal="center" vertical="center"/>
    </xf>
    <xf numFmtId="166" fontId="10" fillId="14" borderId="3" xfId="27" applyNumberFormat="1" applyFill="1" applyBorder="1" applyAlignment="1" applyProtection="1">
      <alignment horizontal="center"/>
      <protection locked="0"/>
    </xf>
    <xf numFmtId="166" fontId="10" fillId="14" borderId="19" xfId="27" applyNumberFormat="1" applyFill="1" applyBorder="1" applyAlignment="1" applyProtection="1">
      <alignment horizontal="center"/>
      <protection locked="0"/>
    </xf>
    <xf numFmtId="10" fontId="10" fillId="14" borderId="2" xfId="27" applyNumberFormat="1" applyFill="1" applyBorder="1" applyAlignment="1" applyProtection="1">
      <alignment horizontal="center"/>
      <protection locked="0"/>
    </xf>
    <xf numFmtId="0" fontId="10" fillId="14" borderId="7" xfId="27" applyFill="1" applyBorder="1" applyAlignment="1">
      <alignment horizontal="left" indent="1"/>
    </xf>
    <xf numFmtId="0" fontId="10" fillId="14" borderId="20" xfId="27" applyFill="1" applyBorder="1" applyAlignment="1">
      <alignment horizontal="center"/>
    </xf>
    <xf numFmtId="176" fontId="10" fillId="14" borderId="1" xfId="28" applyNumberFormat="1" applyFill="1" applyBorder="1" applyAlignment="1">
      <alignment horizontal="center"/>
    </xf>
    <xf numFmtId="0" fontId="10" fillId="14" borderId="1" xfId="27" applyFill="1" applyBorder="1" applyAlignment="1">
      <alignment horizontal="left" indent="1"/>
    </xf>
    <xf numFmtId="2" fontId="10" fillId="14" borderId="1" xfId="27" applyNumberFormat="1" applyFill="1" applyBorder="1" applyAlignment="1" applyProtection="1">
      <alignment horizontal="center"/>
      <protection locked="0"/>
    </xf>
    <xf numFmtId="0" fontId="10" fillId="14" borderId="1" xfId="27" applyFill="1" applyBorder="1" applyAlignment="1">
      <alignment horizontal="center"/>
    </xf>
    <xf numFmtId="0" fontId="10" fillId="14" borderId="2" xfId="27" applyFill="1" applyBorder="1" applyAlignment="1">
      <alignment horizontal="left" indent="1"/>
    </xf>
    <xf numFmtId="3" fontId="10" fillId="14" borderId="15" xfId="28" applyNumberFormat="1" applyFill="1" applyBorder="1" applyAlignment="1">
      <alignment horizontal="center"/>
    </xf>
    <xf numFmtId="0" fontId="10" fillId="14" borderId="2" xfId="27" applyFill="1" applyBorder="1" applyAlignment="1">
      <alignment horizontal="center"/>
    </xf>
    <xf numFmtId="184" fontId="10" fillId="14" borderId="15" xfId="28" applyNumberFormat="1" applyFill="1" applyBorder="1" applyAlignment="1">
      <alignment horizontal="center"/>
    </xf>
    <xf numFmtId="0" fontId="10" fillId="14" borderId="3" xfId="27" applyFill="1" applyBorder="1" applyAlignment="1">
      <alignment horizontal="left" indent="1"/>
    </xf>
    <xf numFmtId="0" fontId="10" fillId="14" borderId="3" xfId="27" applyFill="1" applyBorder="1" applyAlignment="1">
      <alignment horizontal="center"/>
    </xf>
    <xf numFmtId="0" fontId="10" fillId="14" borderId="19" xfId="27" applyFill="1" applyBorder="1" applyAlignment="1">
      <alignment horizontal="left" indent="1"/>
    </xf>
    <xf numFmtId="0" fontId="10" fillId="14" borderId="19" xfId="27" applyFill="1" applyBorder="1" applyAlignment="1">
      <alignment horizontal="center"/>
    </xf>
    <xf numFmtId="0" fontId="10" fillId="14" borderId="25" xfId="27" applyFill="1" applyBorder="1" applyAlignment="1" applyProtection="1">
      <alignment horizontal="center"/>
      <protection locked="0"/>
    </xf>
    <xf numFmtId="0" fontId="10" fillId="14" borderId="6" xfId="27" applyFill="1" applyBorder="1" applyAlignment="1" applyProtection="1">
      <alignment horizontal="center"/>
      <protection locked="0"/>
    </xf>
    <xf numFmtId="185" fontId="0" fillId="14" borderId="0" xfId="21" applyNumberFormat="1" applyFont="1" applyFill="1" applyBorder="1" applyAlignment="1" applyProtection="1">
      <alignment horizontal="right" vertical="center"/>
    </xf>
    <xf numFmtId="0" fontId="52" fillId="14" borderId="22" xfId="27" applyFont="1" applyFill="1" applyBorder="1" applyAlignment="1">
      <alignment horizontal="left" indent="2"/>
    </xf>
    <xf numFmtId="185" fontId="52" fillId="14" borderId="22" xfId="21" applyNumberFormat="1" applyFont="1" applyFill="1" applyBorder="1" applyAlignment="1" applyProtection="1">
      <alignment horizontal="right" vertical="center"/>
    </xf>
    <xf numFmtId="0" fontId="52" fillId="14" borderId="22" xfId="27" applyFont="1" applyFill="1" applyBorder="1" applyAlignment="1">
      <alignment horizontal="center"/>
    </xf>
    <xf numFmtId="4" fontId="0" fillId="14" borderId="1" xfId="28" applyNumberFormat="1" applyFont="1" applyFill="1" applyBorder="1" applyAlignment="1">
      <alignment horizontal="center"/>
    </xf>
    <xf numFmtId="185" fontId="0" fillId="14" borderId="1" xfId="21" applyNumberFormat="1" applyFont="1" applyFill="1" applyBorder="1" applyAlignment="1" applyProtection="1">
      <alignment horizontal="center" vertical="center"/>
    </xf>
    <xf numFmtId="0" fontId="52" fillId="14" borderId="26" xfId="27" applyFont="1" applyFill="1" applyBorder="1"/>
    <xf numFmtId="0" fontId="52" fillId="14" borderId="26" xfId="27" applyFont="1" applyFill="1" applyBorder="1" applyAlignment="1">
      <alignment horizontal="center"/>
    </xf>
    <xf numFmtId="0" fontId="10" fillId="14" borderId="0" xfId="27" applyFill="1" applyAlignment="1">
      <alignment horizontal="left"/>
    </xf>
    <xf numFmtId="185" fontId="0" fillId="14" borderId="0" xfId="21" applyNumberFormat="1" applyFont="1" applyFill="1" applyBorder="1" applyAlignment="1" applyProtection="1">
      <alignment horizontal="center" vertical="center"/>
    </xf>
    <xf numFmtId="3" fontId="10" fillId="14" borderId="0" xfId="28" applyNumberFormat="1" applyFill="1" applyBorder="1" applyAlignment="1">
      <alignment horizontal="center"/>
    </xf>
    <xf numFmtId="4" fontId="0" fillId="14" borderId="0" xfId="28" applyNumberFormat="1" applyFont="1" applyFill="1" applyBorder="1" applyAlignment="1">
      <alignment horizontal="center"/>
    </xf>
    <xf numFmtId="4" fontId="10" fillId="14" borderId="0" xfId="28" applyNumberFormat="1" applyFill="1" applyBorder="1" applyAlignment="1">
      <alignment horizontal="center"/>
    </xf>
    <xf numFmtId="0" fontId="52" fillId="14" borderId="5" xfId="27" applyFont="1" applyFill="1" applyBorder="1" applyAlignment="1">
      <alignment horizontal="center" vertical="center"/>
    </xf>
    <xf numFmtId="0" fontId="52" fillId="14" borderId="15" xfId="27" applyFont="1" applyFill="1" applyBorder="1" applyAlignment="1">
      <alignment horizontal="center" vertical="center" wrapText="1"/>
    </xf>
    <xf numFmtId="1" fontId="52" fillId="14" borderId="15" xfId="28" applyNumberFormat="1" applyFont="1" applyFill="1" applyBorder="1" applyAlignment="1">
      <alignment horizontal="center"/>
    </xf>
    <xf numFmtId="0" fontId="55" fillId="14" borderId="5" xfId="27" applyFont="1" applyFill="1" applyBorder="1" applyAlignment="1">
      <alignment horizontal="center" vertical="center"/>
    </xf>
    <xf numFmtId="4" fontId="55" fillId="14" borderId="15" xfId="28" applyNumberFormat="1" applyFont="1" applyFill="1" applyBorder="1" applyAlignment="1">
      <alignment horizontal="center"/>
    </xf>
    <xf numFmtId="3" fontId="55" fillId="14" borderId="15" xfId="28" applyNumberFormat="1" applyFont="1" applyFill="1" applyBorder="1" applyAlignment="1">
      <alignment horizontal="center"/>
    </xf>
    <xf numFmtId="3" fontId="55" fillId="14" borderId="4" xfId="28" applyNumberFormat="1" applyFont="1" applyFill="1" applyBorder="1" applyAlignment="1">
      <alignment horizontal="center"/>
    </xf>
    <xf numFmtId="0" fontId="10" fillId="14" borderId="1" xfId="27" applyFill="1" applyBorder="1" applyAlignment="1">
      <alignment horizontal="left" vertical="center" indent="1"/>
    </xf>
    <xf numFmtId="3" fontId="10" fillId="14" borderId="5" xfId="28" applyNumberFormat="1" applyFill="1" applyBorder="1" applyAlignment="1">
      <alignment horizontal="center"/>
    </xf>
    <xf numFmtId="3" fontId="10" fillId="14" borderId="4" xfId="28" applyNumberFormat="1" applyFill="1" applyBorder="1" applyAlignment="1">
      <alignment horizontal="center"/>
    </xf>
    <xf numFmtId="0" fontId="10" fillId="14" borderId="5" xfId="27" applyFill="1" applyBorder="1" applyAlignment="1">
      <alignment horizontal="left" vertical="center" indent="1"/>
    </xf>
    <xf numFmtId="0" fontId="52" fillId="14" borderId="5" xfId="27" applyFont="1" applyFill="1" applyBorder="1"/>
    <xf numFmtId="0" fontId="52" fillId="14" borderId="3" xfId="27" applyFont="1" applyFill="1" applyBorder="1" applyAlignment="1">
      <alignment horizontal="center" vertical="center" wrapText="1"/>
    </xf>
    <xf numFmtId="0" fontId="52" fillId="14" borderId="9" xfId="27" applyFont="1" applyFill="1" applyBorder="1" applyAlignment="1">
      <alignment horizontal="center" vertical="center" wrapText="1"/>
    </xf>
    <xf numFmtId="0" fontId="10" fillId="14" borderId="3" xfId="27" applyFill="1" applyBorder="1" applyAlignment="1">
      <alignment horizontal="left" vertical="center" indent="1"/>
    </xf>
    <xf numFmtId="4" fontId="0" fillId="14" borderId="9" xfId="28" applyNumberFormat="1" applyFont="1" applyFill="1" applyBorder="1" applyAlignment="1">
      <alignment horizontal="center"/>
    </xf>
    <xf numFmtId="185" fontId="0" fillId="14" borderId="9" xfId="21" applyNumberFormat="1" applyFont="1" applyFill="1" applyBorder="1" applyAlignment="1" applyProtection="1">
      <alignment horizontal="right" vertical="center"/>
    </xf>
    <xf numFmtId="185" fontId="0" fillId="14" borderId="21" xfId="21" applyNumberFormat="1" applyFont="1" applyFill="1" applyBorder="1" applyAlignment="1" applyProtection="1">
      <alignment horizontal="right" vertical="center"/>
    </xf>
    <xf numFmtId="185" fontId="0" fillId="14" borderId="8" xfId="21" applyNumberFormat="1" applyFont="1" applyFill="1" applyBorder="1" applyAlignment="1" applyProtection="1">
      <alignment horizontal="right" vertical="center"/>
    </xf>
    <xf numFmtId="0" fontId="10" fillId="14" borderId="19" xfId="27" applyFill="1" applyBorder="1" applyAlignment="1">
      <alignment horizontal="left" vertical="center" indent="1"/>
    </xf>
    <xf numFmtId="4" fontId="0" fillId="14" borderId="24" xfId="28" applyNumberFormat="1" applyFont="1" applyFill="1" applyBorder="1" applyAlignment="1">
      <alignment horizontal="center"/>
    </xf>
    <xf numFmtId="185" fontId="0" fillId="14" borderId="24" xfId="21" applyNumberFormat="1" applyFont="1" applyFill="1" applyBorder="1" applyAlignment="1" applyProtection="1">
      <alignment horizontal="right" vertical="center"/>
    </xf>
    <xf numFmtId="185" fontId="0" fillId="14" borderId="25" xfId="21" applyNumberFormat="1" applyFont="1" applyFill="1" applyBorder="1" applyAlignment="1" applyProtection="1">
      <alignment horizontal="right" vertical="center"/>
    </xf>
    <xf numFmtId="0" fontId="10" fillId="14" borderId="2" xfId="27" applyFill="1" applyBorder="1" applyAlignment="1">
      <alignment horizontal="left" vertical="center" indent="1"/>
    </xf>
    <xf numFmtId="4" fontId="0" fillId="14" borderId="7" xfId="28" applyNumberFormat="1" applyFont="1" applyFill="1" applyBorder="1" applyAlignment="1">
      <alignment horizontal="center"/>
    </xf>
    <xf numFmtId="185" fontId="0" fillId="14" borderId="7" xfId="21" applyNumberFormat="1" applyFont="1" applyFill="1" applyBorder="1" applyAlignment="1" applyProtection="1">
      <alignment horizontal="right" vertical="center"/>
    </xf>
    <xf numFmtId="185" fontId="0" fillId="14" borderId="20" xfId="21" applyNumberFormat="1" applyFont="1" applyFill="1" applyBorder="1" applyAlignment="1" applyProtection="1">
      <alignment horizontal="right" vertical="center"/>
    </xf>
    <xf numFmtId="185" fontId="0" fillId="14" borderId="6" xfId="21" applyNumberFormat="1" applyFont="1" applyFill="1" applyBorder="1" applyAlignment="1" applyProtection="1">
      <alignment horizontal="right" vertical="center"/>
    </xf>
    <xf numFmtId="0" fontId="52" fillId="14" borderId="2" xfId="27" applyFont="1" applyFill="1" applyBorder="1" applyAlignment="1">
      <alignment horizontal="left" vertical="center"/>
    </xf>
    <xf numFmtId="4" fontId="52" fillId="14" borderId="7" xfId="28" applyNumberFormat="1" applyFont="1" applyFill="1" applyBorder="1" applyAlignment="1">
      <alignment horizontal="center"/>
    </xf>
    <xf numFmtId="185" fontId="52" fillId="14" borderId="7" xfId="21" applyNumberFormat="1" applyFont="1" applyFill="1" applyBorder="1" applyAlignment="1" applyProtection="1">
      <alignment horizontal="right" vertical="center"/>
    </xf>
    <xf numFmtId="185" fontId="52" fillId="14" borderId="20" xfId="21" applyNumberFormat="1" applyFont="1" applyFill="1" applyBorder="1" applyAlignment="1" applyProtection="1">
      <alignment horizontal="right" vertical="center"/>
    </xf>
    <xf numFmtId="185" fontId="52" fillId="14" borderId="6" xfId="21" applyNumberFormat="1" applyFont="1" applyFill="1" applyBorder="1" applyAlignment="1" applyProtection="1">
      <alignment horizontal="right" vertical="center"/>
    </xf>
    <xf numFmtId="186" fontId="0" fillId="14" borderId="3" xfId="21" applyNumberFormat="1" applyFont="1" applyFill="1" applyBorder="1" applyAlignment="1" applyProtection="1">
      <alignment horizontal="center" vertical="center"/>
    </xf>
    <xf numFmtId="186" fontId="0" fillId="14" borderId="2" xfId="21" applyNumberFormat="1" applyFont="1" applyFill="1" applyBorder="1" applyAlignment="1" applyProtection="1">
      <alignment horizontal="center" vertical="center"/>
    </xf>
    <xf numFmtId="0" fontId="52" fillId="14" borderId="2" xfId="27" applyFont="1" applyFill="1" applyBorder="1" applyAlignment="1">
      <alignment horizontal="left" vertical="center" indent="1"/>
    </xf>
    <xf numFmtId="186" fontId="52" fillId="14" borderId="2" xfId="21" applyNumberFormat="1" applyFont="1" applyFill="1" applyBorder="1" applyAlignment="1" applyProtection="1">
      <alignment horizontal="center" vertical="center"/>
    </xf>
    <xf numFmtId="3" fontId="55" fillId="14" borderId="5" xfId="28" applyNumberFormat="1" applyFont="1" applyFill="1" applyBorder="1" applyAlignment="1">
      <alignment horizontal="center"/>
    </xf>
    <xf numFmtId="0" fontId="52" fillId="14" borderId="1" xfId="27" applyFont="1" applyFill="1" applyBorder="1" applyAlignment="1">
      <alignment horizontal="center" vertical="center" wrapText="1"/>
    </xf>
    <xf numFmtId="0" fontId="10" fillId="14" borderId="1" xfId="27" applyFill="1" applyBorder="1" applyAlignment="1" applyProtection="1">
      <alignment horizontal="center"/>
      <protection locked="0"/>
    </xf>
    <xf numFmtId="4" fontId="0" fillId="14" borderId="5" xfId="28" applyNumberFormat="1" applyFont="1" applyFill="1" applyBorder="1" applyAlignment="1">
      <alignment horizontal="center"/>
    </xf>
    <xf numFmtId="186" fontId="0" fillId="14" borderId="5" xfId="21" applyNumberFormat="1" applyFont="1" applyFill="1" applyBorder="1" applyAlignment="1" applyProtection="1">
      <alignment horizontal="center" vertical="center"/>
    </xf>
    <xf numFmtId="186" fontId="0" fillId="14" borderId="15" xfId="21" applyNumberFormat="1" applyFont="1" applyFill="1" applyBorder="1" applyAlignment="1" applyProtection="1">
      <alignment horizontal="center" vertical="center"/>
    </xf>
    <xf numFmtId="186" fontId="0" fillId="14" borderId="4" xfId="21" applyNumberFormat="1" applyFont="1" applyFill="1" applyBorder="1" applyAlignment="1" applyProtection="1">
      <alignment horizontal="center" vertical="center"/>
    </xf>
    <xf numFmtId="0" fontId="52" fillId="14" borderId="1" xfId="27" applyFont="1" applyFill="1" applyBorder="1" applyAlignment="1">
      <alignment horizontal="left" vertical="center" indent="1"/>
    </xf>
    <xf numFmtId="185" fontId="52" fillId="14" borderId="5" xfId="21" applyNumberFormat="1" applyFont="1" applyFill="1" applyBorder="1" applyAlignment="1" applyProtection="1">
      <alignment horizontal="right" vertical="center"/>
    </xf>
    <xf numFmtId="185" fontId="52" fillId="14" borderId="15" xfId="21" applyNumberFormat="1" applyFont="1" applyFill="1" applyBorder="1" applyAlignment="1" applyProtection="1">
      <alignment horizontal="right" vertical="center"/>
    </xf>
    <xf numFmtId="185" fontId="52" fillId="14" borderId="4" xfId="21" applyNumberFormat="1" applyFont="1" applyFill="1" applyBorder="1" applyAlignment="1" applyProtection="1">
      <alignment horizontal="right" vertical="center"/>
    </xf>
    <xf numFmtId="4" fontId="52" fillId="14" borderId="1" xfId="28" applyNumberFormat="1" applyFont="1" applyFill="1" applyBorder="1" applyAlignment="1">
      <alignment horizontal="center"/>
    </xf>
    <xf numFmtId="185" fontId="0" fillId="14" borderId="1" xfId="21" applyNumberFormat="1" applyFont="1" applyFill="1" applyBorder="1" applyAlignment="1" applyProtection="1">
      <alignment horizontal="right" vertical="center"/>
    </xf>
    <xf numFmtId="177" fontId="10" fillId="14" borderId="5" xfId="28" applyNumberFormat="1" applyFill="1" applyBorder="1" applyAlignment="1">
      <alignment horizontal="right"/>
    </xf>
    <xf numFmtId="177" fontId="10" fillId="14" borderId="15" xfId="28" applyNumberFormat="1" applyFill="1" applyBorder="1" applyAlignment="1">
      <alignment horizontal="right"/>
    </xf>
    <xf numFmtId="177" fontId="10" fillId="14" borderId="4" xfId="28" applyNumberFormat="1" applyFill="1" applyBorder="1" applyAlignment="1">
      <alignment horizontal="right"/>
    </xf>
    <xf numFmtId="4" fontId="0" fillId="14" borderId="2" xfId="28" applyNumberFormat="1" applyFont="1" applyFill="1" applyBorder="1" applyAlignment="1">
      <alignment horizontal="center"/>
    </xf>
    <xf numFmtId="0" fontId="57" fillId="14" borderId="2" xfId="27" applyFont="1" applyFill="1" applyBorder="1" applyAlignment="1">
      <alignment horizontal="left" vertical="center" indent="1"/>
    </xf>
    <xf numFmtId="4" fontId="57" fillId="14" borderId="2" xfId="28" applyNumberFormat="1" applyFont="1" applyFill="1" applyBorder="1" applyAlignment="1">
      <alignment horizontal="center"/>
    </xf>
    <xf numFmtId="185" fontId="57" fillId="14" borderId="7" xfId="21" applyNumberFormat="1" applyFont="1" applyFill="1" applyBorder="1" applyAlignment="1" applyProtection="1">
      <alignment horizontal="right" vertical="center"/>
    </xf>
    <xf numFmtId="185" fontId="57" fillId="14" borderId="20" xfId="21" applyNumberFormat="1" applyFont="1" applyFill="1" applyBorder="1" applyAlignment="1" applyProtection="1">
      <alignment horizontal="right" vertical="center"/>
    </xf>
    <xf numFmtId="185" fontId="57" fillId="14" borderId="6" xfId="21" applyNumberFormat="1" applyFont="1" applyFill="1" applyBorder="1" applyAlignment="1" applyProtection="1">
      <alignment horizontal="right" vertical="center"/>
    </xf>
    <xf numFmtId="175" fontId="10" fillId="14" borderId="15" xfId="28" applyNumberFormat="1" applyFill="1" applyBorder="1" applyAlignment="1">
      <alignment horizontal="center"/>
    </xf>
    <xf numFmtId="175" fontId="10" fillId="14" borderId="4" xfId="28" applyNumberFormat="1" applyFill="1" applyBorder="1" applyAlignment="1">
      <alignment horizontal="center"/>
    </xf>
    <xf numFmtId="4" fontId="10" fillId="14" borderId="2" xfId="28" applyNumberFormat="1" applyFill="1" applyBorder="1" applyAlignment="1">
      <alignment horizontal="center"/>
    </xf>
    <xf numFmtId="0" fontId="52" fillId="14" borderId="1" xfId="27" applyFont="1" applyFill="1" applyBorder="1"/>
    <xf numFmtId="185" fontId="0" fillId="14" borderId="5" xfId="21" applyNumberFormat="1" applyFont="1" applyFill="1" applyBorder="1" applyAlignment="1" applyProtection="1">
      <alignment horizontal="right" vertical="center"/>
    </xf>
    <xf numFmtId="185" fontId="0" fillId="14" borderId="15" xfId="21" applyNumberFormat="1" applyFont="1" applyFill="1" applyBorder="1" applyAlignment="1" applyProtection="1">
      <alignment horizontal="right" vertical="center"/>
    </xf>
    <xf numFmtId="185" fontId="0" fillId="14" borderId="4" xfId="21" applyNumberFormat="1" applyFont="1" applyFill="1" applyBorder="1" applyAlignment="1" applyProtection="1">
      <alignment horizontal="right" vertical="center"/>
    </xf>
    <xf numFmtId="0" fontId="52" fillId="14" borderId="5" xfId="27" applyFont="1" applyFill="1" applyBorder="1" applyAlignment="1">
      <alignment horizontal="left" indent="2"/>
    </xf>
    <xf numFmtId="185" fontId="52" fillId="14" borderId="2" xfId="21" applyNumberFormat="1" applyFont="1" applyFill="1" applyBorder="1" applyAlignment="1" applyProtection="1">
      <alignment horizontal="center" vertical="center"/>
    </xf>
    <xf numFmtId="0" fontId="52" fillId="14" borderId="5" xfId="27" applyFont="1" applyFill="1" applyBorder="1" applyAlignment="1">
      <alignment horizontal="left"/>
    </xf>
    <xf numFmtId="0" fontId="10" fillId="14" borderId="5" xfId="27" applyFill="1" applyBorder="1" applyAlignment="1">
      <alignment horizontal="left" indent="1"/>
    </xf>
    <xf numFmtId="0" fontId="10" fillId="14" borderId="1" xfId="27" applyFill="1" applyBorder="1" applyAlignment="1">
      <alignment horizontal="center" vertical="center" wrapText="1"/>
    </xf>
    <xf numFmtId="185" fontId="0" fillId="14" borderId="3" xfId="21" applyNumberFormat="1" applyFont="1" applyFill="1" applyBorder="1" applyAlignment="1" applyProtection="1">
      <alignment horizontal="center" vertical="center"/>
    </xf>
    <xf numFmtId="0" fontId="52" fillId="14" borderId="3" xfId="27" applyFont="1" applyFill="1" applyBorder="1"/>
    <xf numFmtId="4" fontId="0" fillId="14" borderId="3" xfId="28" applyNumberFormat="1" applyFont="1" applyFill="1" applyBorder="1" applyAlignment="1">
      <alignment horizontal="center"/>
    </xf>
    <xf numFmtId="0" fontId="52" fillId="14" borderId="5" xfId="27" applyFont="1" applyFill="1" applyBorder="1" applyAlignment="1">
      <alignment horizontal="left" vertical="center" indent="2"/>
    </xf>
    <xf numFmtId="0" fontId="10" fillId="14" borderId="9" xfId="27" applyFill="1" applyBorder="1" applyAlignment="1">
      <alignment horizontal="left" indent="1"/>
    </xf>
    <xf numFmtId="0" fontId="10" fillId="14" borderId="9" xfId="27" applyFill="1" applyBorder="1" applyAlignment="1">
      <alignment horizontal="left" vertical="center" indent="1"/>
    </xf>
    <xf numFmtId="0" fontId="10" fillId="14" borderId="24" xfId="27" applyFill="1" applyBorder="1" applyAlignment="1">
      <alignment horizontal="left" vertical="center" indent="1"/>
    </xf>
    <xf numFmtId="4" fontId="0" fillId="14" borderId="19" xfId="28" applyNumberFormat="1" applyFont="1" applyFill="1" applyBorder="1" applyAlignment="1">
      <alignment horizontal="center"/>
    </xf>
    <xf numFmtId="0" fontId="10" fillId="14" borderId="7" xfId="27" applyFill="1" applyBorder="1" applyAlignment="1">
      <alignment horizontal="left" vertical="center" indent="1"/>
    </xf>
    <xf numFmtId="0" fontId="10" fillId="14" borderId="7" xfId="27" applyFill="1" applyBorder="1" applyAlignment="1">
      <alignment horizontal="left" vertical="center" indent="2"/>
    </xf>
    <xf numFmtId="4" fontId="52" fillId="14" borderId="2" xfId="28" applyNumberFormat="1" applyFont="1" applyFill="1" applyBorder="1" applyAlignment="1">
      <alignment horizontal="center"/>
    </xf>
    <xf numFmtId="0" fontId="52" fillId="14" borderId="2" xfId="27" applyFont="1" applyFill="1" applyBorder="1" applyAlignment="1">
      <alignment horizontal="left" vertical="center" indent="2"/>
    </xf>
    <xf numFmtId="0" fontId="57" fillId="14" borderId="1" xfId="27" applyFont="1" applyFill="1" applyBorder="1" applyAlignment="1">
      <alignment horizontal="left" vertical="center" indent="2"/>
    </xf>
    <xf numFmtId="185" fontId="57" fillId="14" borderId="5" xfId="21" applyNumberFormat="1" applyFont="1" applyFill="1" applyBorder="1" applyAlignment="1" applyProtection="1">
      <alignment horizontal="right" vertical="center"/>
    </xf>
    <xf numFmtId="185" fontId="57" fillId="14" borderId="15" xfId="21" applyNumberFormat="1" applyFont="1" applyFill="1" applyBorder="1" applyAlignment="1" applyProtection="1">
      <alignment horizontal="right" vertical="center"/>
    </xf>
    <xf numFmtId="185" fontId="57" fillId="14" borderId="4" xfId="21" applyNumberFormat="1" applyFont="1" applyFill="1" applyBorder="1" applyAlignment="1" applyProtection="1">
      <alignment horizontal="right" vertical="center"/>
    </xf>
    <xf numFmtId="178" fontId="0" fillId="14" borderId="1" xfId="28" applyNumberFormat="1" applyFont="1" applyFill="1" applyBorder="1" applyAlignment="1" applyProtection="1">
      <alignment horizontal="center" vertical="center"/>
    </xf>
    <xf numFmtId="185" fontId="0" fillId="14" borderId="2" xfId="21" applyNumberFormat="1" applyFont="1" applyFill="1" applyBorder="1" applyAlignment="1" applyProtection="1">
      <alignment horizontal="center" vertical="center"/>
    </xf>
    <xf numFmtId="0" fontId="25" fillId="0" borderId="0" xfId="11" applyAlignment="1" applyProtection="1">
      <alignment wrapText="1"/>
    </xf>
    <xf numFmtId="0" fontId="41" fillId="0" borderId="0" xfId="0" applyFont="1" applyAlignment="1">
      <alignment wrapText="1"/>
    </xf>
    <xf numFmtId="165" fontId="39" fillId="0" borderId="0" xfId="1" applyNumberFormat="1" applyFont="1" applyBorder="1" applyAlignment="1">
      <alignment horizontal="center" wrapText="1"/>
    </xf>
    <xf numFmtId="43" fontId="8" fillId="0" borderId="0" xfId="10" applyNumberFormat="1"/>
    <xf numFmtId="0" fontId="64" fillId="0" borderId="0" xfId="0" applyFont="1"/>
    <xf numFmtId="0" fontId="39" fillId="0" borderId="0" xfId="10" applyFont="1"/>
    <xf numFmtId="165" fontId="39" fillId="0" borderId="0" xfId="1" applyNumberFormat="1" applyFont="1" applyBorder="1" applyAlignment="1">
      <alignment horizontal="left" wrapText="1"/>
    </xf>
    <xf numFmtId="165" fontId="67" fillId="0" borderId="0" xfId="1" applyNumberFormat="1" applyFont="1" applyBorder="1" applyAlignment="1">
      <alignment horizontal="center" wrapText="1"/>
    </xf>
    <xf numFmtId="0" fontId="68" fillId="0" borderId="0" xfId="0" applyFont="1"/>
    <xf numFmtId="0" fontId="69" fillId="0" borderId="1" xfId="0" applyFont="1" applyBorder="1" applyAlignment="1">
      <alignment wrapText="1"/>
    </xf>
    <xf numFmtId="164" fontId="12" fillId="0" borderId="0" xfId="1" applyFont="1" applyBorder="1"/>
    <xf numFmtId="164" fontId="15" fillId="0" borderId="0" xfId="1" applyFont="1" applyBorder="1"/>
    <xf numFmtId="164" fontId="13" fillId="0" borderId="0" xfId="1" applyFont="1" applyBorder="1" applyAlignment="1">
      <alignment wrapText="1"/>
    </xf>
    <xf numFmtId="164" fontId="16" fillId="0" borderId="0" xfId="1" applyFont="1" applyBorder="1" applyAlignment="1">
      <alignment wrapText="1"/>
    </xf>
    <xf numFmtId="164" fontId="13" fillId="0" borderId="0" xfId="1" applyFont="1" applyBorder="1"/>
    <xf numFmtId="43" fontId="21" fillId="0" borderId="0" xfId="0" applyNumberFormat="1" applyFont="1" applyAlignment="1">
      <alignment horizontal="center" vertical="center"/>
    </xf>
    <xf numFmtId="0" fontId="70" fillId="0" borderId="0" xfId="0" applyFont="1"/>
    <xf numFmtId="0" fontId="70" fillId="0" borderId="0" xfId="0" applyFont="1" applyAlignment="1">
      <alignment horizontal="justify" vertical="center"/>
    </xf>
    <xf numFmtId="9" fontId="12" fillId="0" borderId="0" xfId="7" applyFont="1" applyBorder="1"/>
    <xf numFmtId="176" fontId="12" fillId="0" borderId="0" xfId="29" applyNumberFormat="1" applyFont="1" applyBorder="1"/>
    <xf numFmtId="176" fontId="12" fillId="0" borderId="0" xfId="1" applyNumberFormat="1" applyFont="1" applyBorder="1"/>
    <xf numFmtId="0" fontId="13" fillId="15" borderId="0" xfId="3" applyFont="1" applyFill="1" applyAlignment="1">
      <alignment vertical="top" wrapText="1"/>
    </xf>
    <xf numFmtId="164" fontId="12" fillId="15" borderId="0" xfId="1" applyFont="1" applyFill="1" applyBorder="1"/>
    <xf numFmtId="164" fontId="13" fillId="15" borderId="0" xfId="1" applyFont="1" applyFill="1" applyBorder="1" applyAlignment="1">
      <alignment wrapText="1"/>
    </xf>
    <xf numFmtId="164" fontId="16" fillId="15" borderId="0" xfId="1" applyFont="1" applyFill="1" applyBorder="1" applyAlignment="1">
      <alignment wrapText="1"/>
    </xf>
    <xf numFmtId="1" fontId="9" fillId="15" borderId="0" xfId="3" applyNumberFormat="1" applyFill="1" applyAlignment="1">
      <alignment wrapText="1"/>
    </xf>
    <xf numFmtId="1" fontId="9" fillId="15" borderId="0" xfId="3" applyNumberFormat="1" applyFill="1"/>
    <xf numFmtId="164" fontId="10" fillId="15" borderId="0" xfId="1" applyFont="1" applyFill="1" applyBorder="1"/>
    <xf numFmtId="188" fontId="12" fillId="0" borderId="0" xfId="1" applyNumberFormat="1" applyFont="1" applyBorder="1"/>
    <xf numFmtId="189" fontId="12" fillId="0" borderId="0" xfId="1" applyNumberFormat="1" applyFont="1" applyBorder="1"/>
    <xf numFmtId="10" fontId="12" fillId="0" borderId="0" xfId="7" applyNumberFormat="1" applyFont="1" applyBorder="1"/>
    <xf numFmtId="190" fontId="12" fillId="0" borderId="0" xfId="7" applyNumberFormat="1" applyFont="1" applyBorder="1"/>
    <xf numFmtId="0" fontId="13" fillId="11" borderId="0" xfId="3" applyFont="1" applyFill="1" applyAlignment="1">
      <alignment vertical="top" wrapText="1"/>
    </xf>
    <xf numFmtId="164" fontId="12" fillId="11" borderId="0" xfId="1" applyFont="1" applyFill="1" applyBorder="1"/>
    <xf numFmtId="164" fontId="10" fillId="11" borderId="0" xfId="1" applyFont="1" applyFill="1" applyBorder="1"/>
    <xf numFmtId="164" fontId="70" fillId="0" borderId="0" xfId="1" applyFont="1" applyAlignment="1">
      <alignment horizontal="justify" vertical="center"/>
    </xf>
    <xf numFmtId="0" fontId="10" fillId="10" borderId="40" xfId="0" applyFont="1" applyFill="1" applyBorder="1" applyAlignment="1">
      <alignment horizontal="left" vertical="center" indent="1"/>
    </xf>
    <xf numFmtId="0" fontId="71" fillId="0" borderId="0" xfId="0" applyFont="1" applyAlignment="1">
      <alignment vertical="center"/>
    </xf>
    <xf numFmtId="8" fontId="71" fillId="0" borderId="0" xfId="0" applyNumberFormat="1" applyFont="1" applyAlignment="1">
      <alignment horizontal="center" vertical="center"/>
    </xf>
    <xf numFmtId="0" fontId="71" fillId="10" borderId="58" xfId="0" applyFont="1" applyFill="1" applyBorder="1" applyAlignment="1">
      <alignment horizontal="left" vertical="center" indent="1"/>
    </xf>
    <xf numFmtId="8" fontId="71" fillId="10" borderId="1" xfId="0" applyNumberFormat="1" applyFont="1" applyFill="1" applyBorder="1" applyAlignment="1">
      <alignment horizontal="center" vertical="center"/>
    </xf>
    <xf numFmtId="0" fontId="12" fillId="15" borderId="0" xfId="3" applyFont="1" applyFill="1" applyAlignment="1">
      <alignment vertical="top" wrapText="1"/>
    </xf>
    <xf numFmtId="43" fontId="11" fillId="15" borderId="0" xfId="4" applyFont="1" applyFill="1"/>
    <xf numFmtId="43" fontId="11" fillId="15" borderId="0" xfId="3" applyNumberFormat="1" applyFont="1" applyFill="1"/>
    <xf numFmtId="191" fontId="12" fillId="0" borderId="0" xfId="1" applyNumberFormat="1" applyFont="1" applyBorder="1"/>
    <xf numFmtId="10" fontId="71" fillId="10" borderId="1" xfId="0" applyNumberFormat="1" applyFont="1" applyFill="1" applyBorder="1" applyAlignment="1">
      <alignment horizontal="center" vertical="center"/>
    </xf>
    <xf numFmtId="164" fontId="10" fillId="0" borderId="0" xfId="1" applyFont="1" applyBorder="1"/>
    <xf numFmtId="0" fontId="64" fillId="0" borderId="0" xfId="0" applyFont="1" applyAlignment="1">
      <alignment vertical="center"/>
    </xf>
    <xf numFmtId="0" fontId="73" fillId="0" borderId="0" xfId="0" applyFont="1" applyAlignment="1">
      <alignment vertical="center"/>
    </xf>
    <xf numFmtId="179" fontId="11" fillId="0" borderId="0" xfId="3" applyNumberFormat="1" applyFont="1"/>
    <xf numFmtId="192" fontId="11" fillId="0" borderId="0" xfId="3" applyNumberFormat="1" applyFont="1"/>
    <xf numFmtId="164" fontId="11" fillId="0" borderId="0" xfId="1" applyFont="1"/>
    <xf numFmtId="164" fontId="70" fillId="15" borderId="0" xfId="1" applyFont="1" applyFill="1" applyAlignment="1">
      <alignment horizontal="justify" vertical="center"/>
    </xf>
    <xf numFmtId="43" fontId="74" fillId="0" borderId="0" xfId="4" applyFont="1"/>
    <xf numFmtId="43" fontId="74" fillId="0" borderId="0" xfId="3" applyNumberFormat="1" applyFont="1"/>
    <xf numFmtId="0" fontId="75" fillId="0" borderId="0" xfId="3" applyFont="1" applyAlignment="1">
      <alignment vertical="top" wrapText="1"/>
    </xf>
    <xf numFmtId="164" fontId="76" fillId="0" borderId="0" xfId="1" applyFont="1" applyAlignment="1">
      <alignment horizontal="justify" vertical="center"/>
    </xf>
    <xf numFmtId="0" fontId="74" fillId="0" borderId="0" xfId="3" applyFont="1"/>
    <xf numFmtId="165" fontId="8" fillId="0" borderId="0" xfId="10" applyNumberFormat="1" applyAlignment="1">
      <alignment wrapText="1"/>
    </xf>
    <xf numFmtId="193" fontId="27" fillId="0" borderId="1" xfId="1" applyNumberFormat="1" applyFont="1" applyBorder="1" applyAlignment="1">
      <alignment wrapText="1"/>
    </xf>
    <xf numFmtId="193" fontId="8" fillId="0" borderId="1" xfId="10" applyNumberFormat="1" applyBorder="1" applyAlignment="1">
      <alignment wrapText="1"/>
    </xf>
    <xf numFmtId="170" fontId="29" fillId="0" borderId="0" xfId="1" applyNumberFormat="1" applyFont="1" applyBorder="1" applyAlignment="1">
      <alignment wrapText="1"/>
    </xf>
    <xf numFmtId="0" fontId="77" fillId="0" borderId="0" xfId="3" applyFont="1" applyAlignment="1">
      <alignment horizontal="center" vertical="top" wrapText="1"/>
    </xf>
    <xf numFmtId="43" fontId="78" fillId="0" borderId="0" xfId="4" applyFont="1"/>
    <xf numFmtId="0" fontId="10" fillId="3" borderId="0" xfId="27" applyFill="1" applyAlignment="1">
      <alignment wrapText="1"/>
    </xf>
    <xf numFmtId="0" fontId="10" fillId="14" borderId="25" xfId="27" applyFill="1" applyBorder="1" applyAlignment="1">
      <alignment horizontal="center"/>
    </xf>
    <xf numFmtId="0" fontId="10" fillId="3" borderId="1" xfId="27" applyFill="1" applyBorder="1"/>
    <xf numFmtId="176" fontId="10" fillId="3" borderId="1" xfId="27" applyNumberFormat="1" applyFill="1" applyBorder="1"/>
    <xf numFmtId="2" fontId="10" fillId="3" borderId="1" xfId="27" applyNumberFormat="1" applyFill="1" applyBorder="1"/>
    <xf numFmtId="10" fontId="0" fillId="14" borderId="19" xfId="28" applyNumberFormat="1" applyFont="1" applyFill="1" applyBorder="1" applyAlignment="1" applyProtection="1">
      <alignment horizontal="left" vertical="center"/>
    </xf>
    <xf numFmtId="10" fontId="0" fillId="14" borderId="1" xfId="28" applyNumberFormat="1" applyFont="1" applyFill="1" applyBorder="1" applyAlignment="1" applyProtection="1">
      <alignment horizontal="left" vertical="center"/>
    </xf>
    <xf numFmtId="9" fontId="0" fillId="14" borderId="2" xfId="28" applyFont="1" applyFill="1" applyBorder="1" applyAlignment="1" applyProtection="1">
      <alignment horizontal="left" vertical="center"/>
    </xf>
    <xf numFmtId="185" fontId="10" fillId="14" borderId="21" xfId="21" applyNumberFormat="1" applyFont="1" applyFill="1" applyBorder="1" applyAlignment="1" applyProtection="1">
      <alignment horizontal="right" vertical="center"/>
    </xf>
    <xf numFmtId="185" fontId="10" fillId="14" borderId="20" xfId="21" applyNumberFormat="1" applyFont="1" applyFill="1" applyBorder="1" applyAlignment="1" applyProtection="1">
      <alignment horizontal="right" vertical="center"/>
    </xf>
    <xf numFmtId="177" fontId="10" fillId="14" borderId="15" xfId="28" applyNumberFormat="1" applyFont="1" applyFill="1" applyBorder="1" applyAlignment="1">
      <alignment horizontal="right"/>
    </xf>
    <xf numFmtId="175" fontId="10" fillId="14" borderId="15" xfId="28" applyNumberFormat="1" applyFont="1" applyFill="1" applyBorder="1" applyAlignment="1">
      <alignment horizontal="center"/>
    </xf>
    <xf numFmtId="3" fontId="10" fillId="14" borderId="15" xfId="28" applyNumberFormat="1" applyFont="1" applyFill="1" applyBorder="1" applyAlignment="1">
      <alignment horizontal="center"/>
    </xf>
    <xf numFmtId="3" fontId="10" fillId="0" borderId="0" xfId="28" applyNumberFormat="1" applyFont="1" applyFill="1" applyBorder="1" applyAlignment="1">
      <alignment horizontal="center"/>
    </xf>
    <xf numFmtId="185" fontId="10" fillId="14" borderId="0" xfId="21" applyNumberFormat="1" applyFont="1" applyFill="1" applyBorder="1" applyAlignment="1" applyProtection="1">
      <alignment horizontal="right" vertical="center"/>
    </xf>
    <xf numFmtId="185" fontId="10" fillId="14" borderId="15" xfId="21" applyNumberFormat="1" applyFont="1" applyFill="1" applyBorder="1" applyAlignment="1" applyProtection="1">
      <alignment horizontal="right" vertical="center"/>
    </xf>
    <xf numFmtId="185" fontId="10" fillId="0" borderId="0" xfId="21" applyNumberFormat="1" applyFont="1" applyFill="1" applyBorder="1" applyAlignment="1" applyProtection="1">
      <alignment horizontal="right" vertical="center"/>
    </xf>
    <xf numFmtId="4" fontId="10" fillId="14" borderId="5" xfId="28" applyNumberFormat="1" applyFill="1" applyBorder="1" applyAlignment="1">
      <alignment horizontal="center"/>
    </xf>
    <xf numFmtId="10" fontId="0" fillId="12" borderId="19" xfId="22" applyNumberFormat="1" applyFont="1" applyFill="1" applyBorder="1" applyAlignment="1" applyProtection="1">
      <alignment horizontal="left" vertical="center"/>
    </xf>
    <xf numFmtId="10" fontId="0" fillId="12" borderId="1" xfId="22" applyNumberFormat="1" applyFont="1" applyFill="1" applyBorder="1" applyAlignment="1" applyProtection="1">
      <alignment horizontal="left" vertical="center"/>
    </xf>
    <xf numFmtId="9" fontId="0" fillId="12" borderId="2" xfId="22" applyFont="1" applyFill="1" applyBorder="1" applyAlignment="1" applyProtection="1">
      <alignment horizontal="left" vertical="center"/>
    </xf>
    <xf numFmtId="43" fontId="10" fillId="3" borderId="0" xfId="2" applyNumberFormat="1" applyFill="1"/>
    <xf numFmtId="0" fontId="11" fillId="16" borderId="0" xfId="13" applyFont="1" applyFill="1"/>
    <xf numFmtId="0" fontId="7" fillId="16" borderId="0" xfId="13" applyFill="1"/>
    <xf numFmtId="172" fontId="7" fillId="16" borderId="0" xfId="13" applyNumberFormat="1" applyFill="1" applyAlignment="1">
      <alignment horizontal="center" vertical="center"/>
    </xf>
    <xf numFmtId="165" fontId="0" fillId="16" borderId="5" xfId="1" applyNumberFormat="1" applyFont="1" applyFill="1" applyBorder="1"/>
    <xf numFmtId="165" fontId="0" fillId="16" borderId="52" xfId="0" applyNumberFormat="1" applyFill="1" applyBorder="1"/>
    <xf numFmtId="0" fontId="52" fillId="11" borderId="59" xfId="0" applyFont="1" applyFill="1" applyBorder="1" applyAlignment="1">
      <alignment horizontal="center" wrapText="1"/>
    </xf>
    <xf numFmtId="9" fontId="0" fillId="16" borderId="5" xfId="7" applyFont="1" applyFill="1" applyBorder="1"/>
    <xf numFmtId="9" fontId="0" fillId="16" borderId="52" xfId="7" applyFont="1" applyFill="1" applyBorder="1"/>
    <xf numFmtId="0" fontId="52" fillId="11" borderId="1" xfId="0" applyFont="1" applyFill="1" applyBorder="1" applyAlignment="1">
      <alignment horizontal="center" wrapText="1"/>
    </xf>
    <xf numFmtId="0" fontId="52" fillId="0" borderId="1" xfId="0" applyFont="1" applyBorder="1" applyAlignment="1">
      <alignment horizontal="center"/>
    </xf>
    <xf numFmtId="164" fontId="0" fillId="0" borderId="1" xfId="1" applyFont="1" applyBorder="1"/>
    <xf numFmtId="0" fontId="52" fillId="0" borderId="1" xfId="0" applyFont="1" applyBorder="1" applyAlignment="1">
      <alignment horizontal="center" wrapText="1"/>
    </xf>
    <xf numFmtId="0" fontId="14" fillId="0" borderId="1" xfId="6" applyBorder="1" applyAlignment="1">
      <alignment wrapText="1"/>
    </xf>
    <xf numFmtId="0" fontId="10" fillId="0" borderId="0" xfId="0" applyFont="1" applyAlignment="1">
      <alignment horizontal="center"/>
    </xf>
    <xf numFmtId="9" fontId="52" fillId="0" borderId="1" xfId="7" applyFont="1" applyFill="1" applyBorder="1" applyAlignment="1">
      <alignment horizontal="center" wrapText="1"/>
    </xf>
    <xf numFmtId="0" fontId="52" fillId="0" borderId="25" xfId="0" applyFont="1" applyBorder="1" applyAlignment="1">
      <alignment horizontal="center"/>
    </xf>
    <xf numFmtId="165" fontId="10" fillId="0" borderId="1" xfId="1" applyNumberFormat="1" applyFont="1" applyBorder="1"/>
    <xf numFmtId="43" fontId="0" fillId="16" borderId="1" xfId="1" applyNumberFormat="1" applyFont="1" applyFill="1" applyBorder="1"/>
    <xf numFmtId="1" fontId="0" fillId="16" borderId="1" xfId="0" applyNumberFormat="1" applyFill="1" applyBorder="1"/>
    <xf numFmtId="0" fontId="52" fillId="0" borderId="1" xfId="0" applyFont="1" applyBorder="1" applyAlignment="1">
      <alignment wrapText="1"/>
    </xf>
    <xf numFmtId="0" fontId="10" fillId="16" borderId="1" xfId="0" applyFont="1" applyFill="1" applyBorder="1"/>
    <xf numFmtId="4" fontId="0" fillId="0" borderId="1" xfId="0" applyNumberFormat="1" applyBorder="1"/>
    <xf numFmtId="165" fontId="0" fillId="16" borderId="1" xfId="1" applyNumberFormat="1" applyFont="1" applyFill="1" applyBorder="1"/>
    <xf numFmtId="4" fontId="0" fillId="0" borderId="1" xfId="1" applyNumberFormat="1" applyFont="1" applyBorder="1"/>
    <xf numFmtId="9" fontId="10" fillId="0" borderId="1" xfId="0" applyNumberFormat="1" applyFont="1" applyBorder="1" applyAlignment="1">
      <alignment wrapText="1"/>
    </xf>
    <xf numFmtId="1" fontId="29" fillId="0" borderId="1" xfId="10" applyNumberFormat="1" applyFont="1" applyBorder="1" applyAlignment="1">
      <alignment wrapText="1"/>
    </xf>
    <xf numFmtId="165" fontId="0" fillId="0" borderId="1" xfId="0" applyNumberFormat="1" applyBorder="1"/>
    <xf numFmtId="0" fontId="11" fillId="0" borderId="1" xfId="0" applyFont="1" applyBorder="1" applyAlignment="1">
      <alignment horizontal="center"/>
    </xf>
    <xf numFmtId="165" fontId="11" fillId="0" borderId="1" xfId="0" applyNumberFormat="1" applyFont="1" applyBorder="1" applyAlignment="1">
      <alignment horizontal="center"/>
    </xf>
    <xf numFmtId="164" fontId="4" fillId="0" borderId="0" xfId="23" applyNumberFormat="1"/>
    <xf numFmtId="0" fontId="4" fillId="3" borderId="1" xfId="23" applyFill="1" applyBorder="1" applyAlignment="1">
      <alignment horizontal="center" wrapText="1"/>
    </xf>
    <xf numFmtId="0" fontId="46" fillId="3" borderId="0" xfId="23" applyFont="1" applyFill="1" applyAlignment="1">
      <alignment vertical="center" wrapText="1"/>
    </xf>
    <xf numFmtId="0" fontId="11" fillId="17" borderId="38" xfId="23" applyFont="1" applyFill="1" applyBorder="1"/>
    <xf numFmtId="0" fontId="4" fillId="17" borderId="39" xfId="23" applyFill="1" applyBorder="1"/>
    <xf numFmtId="0" fontId="2" fillId="0" borderId="3" xfId="30" applyBorder="1"/>
    <xf numFmtId="0" fontId="2" fillId="0" borderId="3" xfId="30" applyBorder="1" applyAlignment="1">
      <alignment wrapText="1"/>
    </xf>
    <xf numFmtId="0" fontId="2" fillId="0" borderId="9" xfId="30" applyBorder="1" applyAlignment="1">
      <alignment wrapText="1"/>
    </xf>
    <xf numFmtId="0" fontId="2" fillId="0" borderId="1" xfId="30" applyBorder="1"/>
    <xf numFmtId="0" fontId="2" fillId="0" borderId="1" xfId="30" applyBorder="1" applyAlignment="1">
      <alignment wrapText="1"/>
    </xf>
    <xf numFmtId="0" fontId="2" fillId="0" borderId="0" xfId="30"/>
    <xf numFmtId="0" fontId="2" fillId="0" borderId="42" xfId="30" applyBorder="1"/>
    <xf numFmtId="165" fontId="0" fillId="0" borderId="43" xfId="31" applyNumberFormat="1" applyFont="1" applyBorder="1" applyAlignment="1">
      <alignment vertical="center"/>
    </xf>
    <xf numFmtId="165" fontId="0" fillId="0" borderId="43" xfId="31" applyNumberFormat="1" applyFont="1" applyBorder="1"/>
    <xf numFmtId="165" fontId="11" fillId="0" borderId="51" xfId="31" applyNumberFormat="1" applyFont="1" applyBorder="1"/>
    <xf numFmtId="0" fontId="2" fillId="0" borderId="1" xfId="30" applyBorder="1" applyAlignment="1">
      <alignment horizontal="right"/>
    </xf>
    <xf numFmtId="0" fontId="2" fillId="0" borderId="12" xfId="30" applyBorder="1" applyAlignment="1">
      <alignment wrapText="1"/>
    </xf>
    <xf numFmtId="165" fontId="0" fillId="0" borderId="1" xfId="31" applyNumberFormat="1" applyFont="1" applyBorder="1" applyAlignment="1">
      <alignment vertical="center"/>
    </xf>
    <xf numFmtId="165" fontId="0" fillId="0" borderId="1" xfId="31" applyNumberFormat="1" applyFont="1" applyBorder="1"/>
    <xf numFmtId="165" fontId="11" fillId="0" borderId="5" xfId="31" applyNumberFormat="1" applyFont="1" applyBorder="1"/>
    <xf numFmtId="165" fontId="11" fillId="18" borderId="46" xfId="31" applyNumberFormat="1" applyFont="1" applyFill="1" applyBorder="1"/>
    <xf numFmtId="0" fontId="2" fillId="0" borderId="42" xfId="30" applyBorder="1" applyAlignment="1">
      <alignment wrapText="1"/>
    </xf>
    <xf numFmtId="165" fontId="11" fillId="0" borderId="44" xfId="31" applyNumberFormat="1" applyFont="1" applyBorder="1"/>
    <xf numFmtId="165" fontId="11" fillId="0" borderId="13" xfId="31" applyNumberFormat="1" applyFont="1" applyBorder="1"/>
    <xf numFmtId="165" fontId="0" fillId="0" borderId="13" xfId="31" applyNumberFormat="1" applyFont="1" applyBorder="1"/>
    <xf numFmtId="0" fontId="2" fillId="0" borderId="12" xfId="30" applyBorder="1"/>
    <xf numFmtId="165" fontId="0" fillId="16" borderId="1" xfId="31" applyNumberFormat="1" applyFont="1" applyFill="1" applyBorder="1"/>
    <xf numFmtId="165" fontId="0" fillId="0" borderId="0" xfId="31" applyNumberFormat="1" applyFont="1"/>
    <xf numFmtId="0" fontId="2" fillId="0" borderId="8" xfId="30" applyBorder="1"/>
    <xf numFmtId="0" fontId="2" fillId="0" borderId="64" xfId="30" applyBorder="1"/>
    <xf numFmtId="0" fontId="2" fillId="0" borderId="4" xfId="30" applyBorder="1" applyAlignment="1">
      <alignment wrapText="1"/>
    </xf>
    <xf numFmtId="164" fontId="2" fillId="0" borderId="0" xfId="30" applyNumberFormat="1"/>
    <xf numFmtId="0" fontId="2" fillId="0" borderId="64" xfId="30" applyBorder="1" applyAlignment="1">
      <alignment wrapText="1"/>
    </xf>
    <xf numFmtId="0" fontId="2" fillId="0" borderId="4" xfId="30" applyBorder="1"/>
    <xf numFmtId="165" fontId="0" fillId="19" borderId="43" xfId="31" applyNumberFormat="1" applyFont="1" applyFill="1" applyBorder="1"/>
    <xf numFmtId="165" fontId="0" fillId="19" borderId="1" xfId="31" applyNumberFormat="1" applyFont="1" applyFill="1" applyBorder="1" applyAlignment="1">
      <alignment vertical="center"/>
    </xf>
    <xf numFmtId="0" fontId="4" fillId="0" borderId="3" xfId="23" applyBorder="1"/>
    <xf numFmtId="172" fontId="0" fillId="0" borderId="3" xfId="25" applyNumberFormat="1" applyFont="1" applyFill="1" applyBorder="1" applyAlignment="1" applyProtection="1">
      <alignment horizontal="center" vertical="center"/>
    </xf>
    <xf numFmtId="172" fontId="4" fillId="0" borderId="1" xfId="23" applyNumberFormat="1" applyBorder="1" applyAlignment="1">
      <alignment horizontal="center" vertical="center"/>
    </xf>
    <xf numFmtId="3" fontId="4" fillId="0" borderId="1" xfId="23" applyNumberFormat="1" applyBorder="1"/>
    <xf numFmtId="172" fontId="0" fillId="0" borderId="1" xfId="25" applyNumberFormat="1" applyFont="1" applyFill="1" applyBorder="1" applyAlignment="1" applyProtection="1">
      <alignment horizontal="center" vertical="center"/>
    </xf>
    <xf numFmtId="43" fontId="0" fillId="0" borderId="1" xfId="25" applyNumberFormat="1" applyFont="1" applyFill="1" applyBorder="1" applyAlignment="1" applyProtection="1">
      <alignment horizontal="center" vertical="center"/>
    </xf>
    <xf numFmtId="0" fontId="4" fillId="3" borderId="3" xfId="23" applyFill="1" applyBorder="1" applyAlignment="1">
      <alignment horizontal="center" wrapText="1"/>
    </xf>
    <xf numFmtId="170" fontId="0" fillId="3" borderId="1" xfId="0" applyNumberFormat="1" applyFill="1" applyBorder="1"/>
    <xf numFmtId="2" fontId="4" fillId="0" borderId="0" xfId="23" applyNumberFormat="1"/>
    <xf numFmtId="10" fontId="4" fillId="0" borderId="0" xfId="23" applyNumberFormat="1"/>
    <xf numFmtId="2" fontId="43" fillId="3" borderId="0" xfId="13" applyNumberFormat="1" applyFont="1" applyFill="1" applyAlignment="1">
      <alignment horizontal="right" vertical="center"/>
    </xf>
    <xf numFmtId="166" fontId="43" fillId="3" borderId="0" xfId="13" applyNumberFormat="1" applyFont="1" applyFill="1" applyAlignment="1">
      <alignment horizontal="justify" vertical="center"/>
    </xf>
    <xf numFmtId="0" fontId="44" fillId="0" borderId="37" xfId="12" applyNumberFormat="1" applyFont="1" applyFill="1" applyBorder="1" applyAlignment="1" applyProtection="1"/>
    <xf numFmtId="176" fontId="44" fillId="0" borderId="34" xfId="12" applyNumberFormat="1" applyFont="1" applyFill="1" applyBorder="1" applyAlignment="1" applyProtection="1"/>
    <xf numFmtId="165" fontId="0" fillId="0" borderId="0" xfId="1" applyNumberFormat="1" applyFont="1" applyFill="1"/>
    <xf numFmtId="0" fontId="52" fillId="20" borderId="1" xfId="0" applyFont="1" applyFill="1" applyBorder="1" applyAlignment="1">
      <alignment horizontal="center" vertical="center"/>
    </xf>
    <xf numFmtId="0" fontId="10" fillId="21" borderId="1" xfId="0" applyFont="1" applyFill="1" applyBorder="1" applyAlignment="1">
      <alignment horizontal="left" vertical="center" wrapText="1"/>
    </xf>
    <xf numFmtId="0" fontId="13" fillId="23" borderId="0" xfId="3" applyFont="1" applyFill="1" applyAlignment="1">
      <alignment vertical="top" wrapText="1"/>
    </xf>
    <xf numFmtId="0" fontId="10" fillId="10" borderId="1" xfId="0" applyFont="1" applyFill="1" applyBorder="1" applyAlignment="1">
      <alignment horizontal="left" vertical="center" wrapText="1" indent="1"/>
    </xf>
    <xf numFmtId="0" fontId="71" fillId="10" borderId="1" xfId="0" applyFont="1" applyFill="1" applyBorder="1" applyAlignment="1">
      <alignment horizontal="left" vertical="center" wrapText="1" indent="1"/>
    </xf>
    <xf numFmtId="10" fontId="52" fillId="22" borderId="1" xfId="0" applyNumberFormat="1" applyFont="1" applyFill="1" applyBorder="1"/>
    <xf numFmtId="195" fontId="52" fillId="22" borderId="1" xfId="1" applyNumberFormat="1" applyFont="1" applyFill="1" applyBorder="1"/>
    <xf numFmtId="195" fontId="52" fillId="22" borderId="1" xfId="1" applyNumberFormat="1" applyFont="1" applyFill="1" applyBorder="1" applyAlignment="1">
      <alignment horizontal="right" vertical="center"/>
    </xf>
    <xf numFmtId="165" fontId="52" fillId="22" borderId="1" xfId="0" applyNumberFormat="1" applyFont="1" applyFill="1" applyBorder="1" applyAlignment="1">
      <alignment horizontal="center" vertical="center"/>
    </xf>
    <xf numFmtId="196" fontId="52" fillId="22" borderId="1" xfId="1" applyNumberFormat="1" applyFont="1" applyFill="1" applyBorder="1"/>
    <xf numFmtId="165" fontId="0" fillId="22" borderId="1" xfId="1" applyNumberFormat="1" applyFont="1" applyFill="1" applyBorder="1"/>
    <xf numFmtId="178" fontId="52" fillId="22" borderId="1" xfId="7" applyNumberFormat="1" applyFont="1" applyFill="1" applyBorder="1"/>
    <xf numFmtId="186" fontId="52" fillId="22" borderId="1" xfId="28" applyNumberFormat="1" applyFont="1" applyFill="1" applyBorder="1" applyAlignment="1" applyProtection="1">
      <alignment horizontal="right" vertical="center"/>
    </xf>
    <xf numFmtId="165" fontId="52" fillId="22" borderId="1" xfId="1" applyNumberFormat="1" applyFont="1" applyFill="1" applyBorder="1"/>
    <xf numFmtId="0" fontId="10" fillId="10" borderId="1" xfId="0" applyFont="1" applyFill="1" applyBorder="1" applyAlignment="1">
      <alignment vertical="center" wrapText="1"/>
    </xf>
    <xf numFmtId="0" fontId="49" fillId="3" borderId="0" xfId="8" applyFont="1" applyFill="1" applyBorder="1"/>
    <xf numFmtId="177" fontId="49" fillId="3" borderId="0" xfId="8" applyNumberFormat="1" applyFont="1" applyFill="1" applyBorder="1"/>
    <xf numFmtId="0" fontId="7" fillId="3" borderId="1" xfId="13" applyFill="1" applyBorder="1"/>
    <xf numFmtId="164" fontId="49" fillId="3" borderId="1" xfId="1" applyFont="1" applyFill="1" applyBorder="1"/>
    <xf numFmtId="164" fontId="0" fillId="3" borderId="1" xfId="1" applyFont="1" applyFill="1" applyBorder="1" applyAlignment="1" applyProtection="1">
      <alignment horizontal="center" vertical="center"/>
    </xf>
    <xf numFmtId="0" fontId="18" fillId="3" borderId="1" xfId="8" applyFill="1" applyBorder="1"/>
    <xf numFmtId="174" fontId="0" fillId="3" borderId="1" xfId="14" applyFont="1" applyFill="1" applyBorder="1" applyAlignment="1" applyProtection="1">
      <alignment horizontal="center" vertical="center"/>
    </xf>
    <xf numFmtId="173" fontId="7" fillId="3" borderId="1" xfId="13" applyNumberFormat="1" applyFill="1" applyBorder="1" applyAlignment="1">
      <alignment horizontal="center" vertical="center"/>
    </xf>
    <xf numFmtId="186" fontId="7" fillId="3" borderId="3" xfId="13" applyNumberFormat="1" applyFill="1" applyBorder="1"/>
    <xf numFmtId="186" fontId="7" fillId="3" borderId="1" xfId="13" applyNumberFormat="1" applyFill="1" applyBorder="1"/>
    <xf numFmtId="0" fontId="1" fillId="0" borderId="0" xfId="32"/>
    <xf numFmtId="0" fontId="1" fillId="3" borderId="21" xfId="23" applyFont="1" applyFill="1" applyBorder="1"/>
    <xf numFmtId="0" fontId="1" fillId="3" borderId="1" xfId="23" applyFont="1" applyFill="1" applyBorder="1"/>
    <xf numFmtId="0" fontId="1" fillId="3" borderId="0" xfId="13" applyFont="1" applyFill="1"/>
    <xf numFmtId="165" fontId="1" fillId="0" borderId="0" xfId="1" applyNumberFormat="1" applyFont="1" applyFill="1" applyBorder="1" applyAlignment="1" applyProtection="1"/>
    <xf numFmtId="0" fontId="1" fillId="3" borderId="21" xfId="13" applyFont="1" applyFill="1" applyBorder="1"/>
    <xf numFmtId="0" fontId="1" fillId="3" borderId="3" xfId="13" applyFont="1" applyFill="1" applyBorder="1"/>
    <xf numFmtId="164" fontId="1" fillId="3" borderId="0" xfId="1" applyFont="1" applyFill="1" applyBorder="1" applyAlignment="1" applyProtection="1"/>
    <xf numFmtId="164" fontId="1" fillId="3" borderId="1" xfId="1" applyFont="1" applyFill="1" applyBorder="1" applyAlignment="1" applyProtection="1"/>
    <xf numFmtId="164" fontId="1" fillId="3" borderId="1" xfId="1" applyFont="1" applyFill="1" applyBorder="1" applyAlignment="1" applyProtection="1">
      <alignment horizontal="center" vertical="center"/>
    </xf>
    <xf numFmtId="164" fontId="1" fillId="0" borderId="0" xfId="1" applyFont="1" applyFill="1" applyBorder="1" applyAlignment="1" applyProtection="1"/>
    <xf numFmtId="9" fontId="1" fillId="0" borderId="0" xfId="5" applyFont="1"/>
    <xf numFmtId="0" fontId="1" fillId="0" borderId="0" xfId="3" applyFont="1"/>
    <xf numFmtId="176" fontId="1" fillId="0" borderId="0" xfId="29" applyNumberFormat="1" applyFont="1"/>
    <xf numFmtId="43" fontId="1" fillId="0" borderId="0" xfId="3" applyNumberFormat="1" applyFont="1"/>
    <xf numFmtId="0" fontId="1" fillId="0" borderId="0" xfId="3" applyFont="1" applyAlignment="1">
      <alignment wrapText="1"/>
    </xf>
    <xf numFmtId="0" fontId="1" fillId="0" borderId="0" xfId="10" applyFont="1"/>
    <xf numFmtId="164" fontId="1" fillId="0" borderId="5" xfId="1" applyFont="1" applyBorder="1"/>
    <xf numFmtId="165" fontId="1" fillId="0" borderId="1" xfId="1" applyNumberFormat="1" applyFont="1" applyBorder="1" applyAlignment="1">
      <alignment wrapText="1"/>
    </xf>
    <xf numFmtId="193" fontId="1" fillId="16" borderId="1" xfId="1" applyNumberFormat="1" applyFont="1" applyFill="1" applyBorder="1" applyAlignment="1">
      <alignment wrapText="1"/>
    </xf>
    <xf numFmtId="165" fontId="1" fillId="0" borderId="0" xfId="10" applyNumberFormat="1" applyFont="1" applyAlignment="1">
      <alignment wrapText="1"/>
    </xf>
    <xf numFmtId="194" fontId="1" fillId="0" borderId="0" xfId="10" applyNumberFormat="1" applyFont="1" applyAlignment="1">
      <alignment wrapText="1"/>
    </xf>
    <xf numFmtId="164" fontId="1" fillId="0" borderId="1" xfId="1" applyFont="1" applyBorder="1" applyAlignment="1">
      <alignment wrapText="1"/>
    </xf>
    <xf numFmtId="164" fontId="1" fillId="0" borderId="3" xfId="1" applyFont="1" applyBorder="1" applyAlignment="1">
      <alignment wrapText="1"/>
    </xf>
    <xf numFmtId="164" fontId="1" fillId="0" borderId="0" xfId="1" applyFont="1" applyBorder="1" applyAlignment="1">
      <alignment wrapText="1"/>
    </xf>
    <xf numFmtId="194" fontId="1" fillId="0" borderId="1" xfId="1" applyNumberFormat="1" applyFont="1" applyBorder="1" applyAlignment="1">
      <alignment wrapText="1"/>
    </xf>
    <xf numFmtId="0" fontId="1" fillId="0" borderId="7" xfId="10" applyFont="1" applyBorder="1" applyAlignment="1">
      <alignment wrapText="1"/>
    </xf>
    <xf numFmtId="43" fontId="1" fillId="0" borderId="1" xfId="10" applyNumberFormat="1" applyFont="1" applyBorder="1"/>
    <xf numFmtId="0" fontId="1" fillId="0" borderId="0" xfId="10" applyFont="1" applyAlignment="1">
      <alignment wrapText="1"/>
    </xf>
    <xf numFmtId="164" fontId="1" fillId="3" borderId="0" xfId="1" applyFont="1" applyFill="1" applyBorder="1" applyAlignment="1" applyProtection="1">
      <alignment horizontal="center" vertical="center"/>
    </xf>
    <xf numFmtId="164" fontId="1" fillId="0" borderId="0" xfId="1" applyFont="1"/>
    <xf numFmtId="0" fontId="1" fillId="16" borderId="0" xfId="13" applyFont="1" applyFill="1"/>
    <xf numFmtId="0" fontId="42" fillId="3" borderId="1" xfId="12" applyFill="1" applyBorder="1" applyAlignment="1">
      <alignment wrapText="1"/>
    </xf>
    <xf numFmtId="166" fontId="10" fillId="13" borderId="19" xfId="2" applyNumberFormat="1" applyFill="1" applyBorder="1" applyAlignment="1" applyProtection="1">
      <alignment horizontal="center"/>
      <protection locked="0"/>
    </xf>
    <xf numFmtId="0" fontId="14" fillId="0" borderId="1" xfId="6" applyBorder="1" applyAlignment="1"/>
    <xf numFmtId="164" fontId="10" fillId="3" borderId="0" xfId="2" applyNumberFormat="1" applyFill="1"/>
    <xf numFmtId="0" fontId="47" fillId="3" borderId="27" xfId="23" applyFont="1" applyFill="1" applyBorder="1" applyAlignment="1">
      <alignment horizontal="center" vertical="center"/>
    </xf>
    <xf numFmtId="0" fontId="47" fillId="3" borderId="28" xfId="23" applyFont="1" applyFill="1" applyBorder="1" applyAlignment="1">
      <alignment horizontal="center" vertical="center"/>
    </xf>
    <xf numFmtId="0" fontId="47" fillId="3" borderId="60" xfId="23" applyFont="1" applyFill="1" applyBorder="1" applyAlignment="1">
      <alignment horizontal="center" vertical="center"/>
    </xf>
    <xf numFmtId="0" fontId="10" fillId="10" borderId="3" xfId="0" applyFont="1" applyFill="1" applyBorder="1" applyAlignment="1">
      <alignment horizontal="center" vertical="center" wrapText="1"/>
    </xf>
    <xf numFmtId="0" fontId="10" fillId="10" borderId="19" xfId="0" applyFont="1" applyFill="1" applyBorder="1" applyAlignment="1">
      <alignment horizontal="center" vertical="center" wrapText="1"/>
    </xf>
    <xf numFmtId="0" fontId="10" fillId="10" borderId="2" xfId="0" applyFont="1" applyFill="1" applyBorder="1" applyAlignment="1">
      <alignment horizontal="center" vertical="center" wrapText="1"/>
    </xf>
    <xf numFmtId="0" fontId="12" fillId="0" borderId="1" xfId="3" applyFont="1" applyBorder="1" applyAlignment="1">
      <alignment vertical="top" wrapText="1"/>
    </xf>
    <xf numFmtId="0" fontId="10" fillId="14" borderId="3" xfId="27" applyFill="1" applyBorder="1" applyAlignment="1">
      <alignment horizontal="left" vertical="center" indent="1"/>
    </xf>
    <xf numFmtId="0" fontId="10" fillId="14" borderId="19" xfId="27" applyFill="1" applyBorder="1" applyAlignment="1">
      <alignment horizontal="left" vertical="center" indent="1"/>
    </xf>
    <xf numFmtId="0" fontId="10" fillId="14" borderId="2" xfId="27" applyFill="1" applyBorder="1" applyAlignment="1">
      <alignment horizontal="left" vertical="center" indent="1"/>
    </xf>
    <xf numFmtId="0" fontId="52" fillId="14" borderId="5" xfId="27" applyFont="1" applyFill="1" applyBorder="1" applyAlignment="1">
      <alignment horizontal="center"/>
    </xf>
    <xf numFmtId="0" fontId="52" fillId="14" borderId="15" xfId="27" applyFont="1" applyFill="1" applyBorder="1" applyAlignment="1">
      <alignment horizontal="center"/>
    </xf>
    <xf numFmtId="0" fontId="52" fillId="14" borderId="4" xfId="27" applyFont="1" applyFill="1" applyBorder="1" applyAlignment="1">
      <alignment horizontal="center"/>
    </xf>
    <xf numFmtId="0" fontId="52" fillId="14" borderId="26" xfId="27" applyFont="1" applyFill="1" applyBorder="1" applyAlignment="1">
      <alignment horizontal="left"/>
    </xf>
    <xf numFmtId="0" fontId="10" fillId="12" borderId="3" xfId="2" applyFill="1" applyBorder="1" applyAlignment="1">
      <alignment horizontal="left" vertical="center" indent="1"/>
    </xf>
    <xf numFmtId="0" fontId="10" fillId="12" borderId="19" xfId="2" applyFill="1" applyBorder="1" applyAlignment="1">
      <alignment horizontal="left" vertical="center" indent="1"/>
    </xf>
    <xf numFmtId="0" fontId="10" fillId="12" borderId="2" xfId="2" applyFill="1" applyBorder="1" applyAlignment="1">
      <alignment horizontal="left" vertical="center" indent="1"/>
    </xf>
    <xf numFmtId="0" fontId="52" fillId="12" borderId="5" xfId="2" applyFont="1" applyFill="1" applyBorder="1" applyAlignment="1">
      <alignment horizontal="center"/>
    </xf>
    <xf numFmtId="0" fontId="52" fillId="12" borderId="15" xfId="2" applyFont="1" applyFill="1" applyBorder="1" applyAlignment="1">
      <alignment horizontal="center"/>
    </xf>
    <xf numFmtId="0" fontId="52" fillId="12" borderId="4" xfId="2" applyFont="1" applyFill="1" applyBorder="1" applyAlignment="1">
      <alignment horizontal="center"/>
    </xf>
    <xf numFmtId="0" fontId="52" fillId="12" borderId="26" xfId="2" applyFont="1" applyFill="1" applyBorder="1" applyAlignment="1">
      <alignment horizontal="left"/>
    </xf>
    <xf numFmtId="0" fontId="32" fillId="0" borderId="0" xfId="10" applyFont="1" applyAlignment="1">
      <alignment horizontal="center" wrapText="1"/>
    </xf>
    <xf numFmtId="165" fontId="33" fillId="0" borderId="0" xfId="1" applyNumberFormat="1" applyFont="1" applyBorder="1" applyAlignment="1">
      <alignment horizontal="center" wrapText="1"/>
    </xf>
    <xf numFmtId="0" fontId="34" fillId="4" borderId="10" xfId="8" applyFont="1" applyBorder="1" applyAlignment="1">
      <alignment horizontal="left"/>
    </xf>
    <xf numFmtId="0" fontId="34" fillId="4" borderId="11" xfId="8" applyFont="1" applyBorder="1" applyAlignment="1">
      <alignment horizontal="left"/>
    </xf>
    <xf numFmtId="0" fontId="34" fillId="4" borderId="14" xfId="8" applyFont="1" applyBorder="1" applyAlignment="1">
      <alignment horizontal="left"/>
    </xf>
    <xf numFmtId="0" fontId="34" fillId="4" borderId="15" xfId="8" applyFont="1" applyBorder="1" applyAlignment="1">
      <alignment horizontal="left"/>
    </xf>
    <xf numFmtId="0" fontId="34" fillId="4" borderId="16" xfId="8" applyFont="1" applyBorder="1" applyAlignment="1">
      <alignment horizontal="left"/>
    </xf>
    <xf numFmtId="165" fontId="10" fillId="0" borderId="3" xfId="1" applyNumberFormat="1" applyFont="1" applyBorder="1" applyAlignment="1">
      <alignment horizontal="center" vertical="center"/>
    </xf>
    <xf numFmtId="165" fontId="0" fillId="0" borderId="19" xfId="1" applyNumberFormat="1" applyFont="1" applyBorder="1" applyAlignment="1">
      <alignment horizontal="center" vertical="center"/>
    </xf>
    <xf numFmtId="165" fontId="0" fillId="0" borderId="2" xfId="1" applyNumberFormat="1" applyFont="1" applyBorder="1" applyAlignment="1">
      <alignment horizontal="center" vertical="center"/>
    </xf>
    <xf numFmtId="0" fontId="10" fillId="0" borderId="0" xfId="0" applyFont="1" applyAlignment="1">
      <alignment horizontal="center"/>
    </xf>
    <xf numFmtId="0" fontId="10" fillId="0" borderId="3" xfId="0" applyFont="1" applyBorder="1" applyAlignment="1">
      <alignment horizontal="center"/>
    </xf>
    <xf numFmtId="0" fontId="0" fillId="0" borderId="19" xfId="0" applyBorder="1" applyAlignment="1">
      <alignment horizontal="center"/>
    </xf>
    <xf numFmtId="0" fontId="0" fillId="0" borderId="2" xfId="0" applyBorder="1" applyAlignment="1">
      <alignment horizontal="center"/>
    </xf>
    <xf numFmtId="0" fontId="10" fillId="0" borderId="1" xfId="0" applyFont="1" applyBorder="1" applyAlignment="1">
      <alignment horizontal="center"/>
    </xf>
    <xf numFmtId="0" fontId="0" fillId="0" borderId="1" xfId="0" applyBorder="1" applyAlignment="1">
      <alignment horizontal="center"/>
    </xf>
    <xf numFmtId="165" fontId="0" fillId="0" borderId="3" xfId="1" applyNumberFormat="1" applyFont="1" applyBorder="1" applyAlignment="1">
      <alignment horizontal="center"/>
    </xf>
    <xf numFmtId="165" fontId="0" fillId="0" borderId="19" xfId="1" applyNumberFormat="1" applyFont="1" applyBorder="1" applyAlignment="1">
      <alignment horizontal="center"/>
    </xf>
    <xf numFmtId="165" fontId="0" fillId="0" borderId="2" xfId="1" applyNumberFormat="1" applyFont="1" applyBorder="1" applyAlignment="1">
      <alignment horizontal="center"/>
    </xf>
    <xf numFmtId="0" fontId="11" fillId="0" borderId="9" xfId="30" applyFont="1" applyBorder="1" applyAlignment="1">
      <alignment horizontal="center" vertical="center"/>
    </xf>
    <xf numFmtId="0" fontId="11" fillId="0" borderId="24" xfId="30" applyFont="1" applyBorder="1" applyAlignment="1">
      <alignment horizontal="center" vertical="center"/>
    </xf>
    <xf numFmtId="0" fontId="11" fillId="0" borderId="7" xfId="30" applyFont="1" applyBorder="1" applyAlignment="1">
      <alignment horizontal="center" vertical="center"/>
    </xf>
    <xf numFmtId="0" fontId="11" fillId="0" borderId="61" xfId="30" applyFont="1" applyBorder="1" applyAlignment="1">
      <alignment horizontal="center"/>
    </xf>
    <xf numFmtId="0" fontId="11" fillId="0" borderId="45" xfId="30" applyFont="1" applyBorder="1" applyAlignment="1">
      <alignment horizontal="center"/>
    </xf>
    <xf numFmtId="0" fontId="2" fillId="0" borderId="12" xfId="30" applyBorder="1" applyAlignment="1">
      <alignment horizontal="center" wrapText="1"/>
    </xf>
    <xf numFmtId="0" fontId="2" fillId="0" borderId="1" xfId="30" applyBorder="1" applyAlignment="1">
      <alignment horizontal="center" wrapText="1"/>
    </xf>
    <xf numFmtId="0" fontId="2" fillId="0" borderId="12" xfId="30" applyBorder="1" applyAlignment="1">
      <alignment horizontal="center"/>
    </xf>
    <xf numFmtId="0" fontId="2" fillId="0" borderId="1" xfId="30" applyBorder="1" applyAlignment="1">
      <alignment horizontal="center"/>
    </xf>
    <xf numFmtId="0" fontId="11" fillId="0" borderId="62" xfId="30" applyFont="1" applyBorder="1" applyAlignment="1">
      <alignment horizontal="center" vertical="center"/>
    </xf>
    <xf numFmtId="0" fontId="11" fillId="0" borderId="63" xfId="30" applyFont="1" applyBorder="1" applyAlignment="1">
      <alignment horizontal="center" vertical="center"/>
    </xf>
    <xf numFmtId="0" fontId="11" fillId="0" borderId="66" xfId="30" applyFont="1" applyBorder="1" applyAlignment="1">
      <alignment horizontal="center" vertical="center"/>
    </xf>
    <xf numFmtId="0" fontId="11" fillId="0" borderId="65" xfId="30" applyFont="1" applyBorder="1" applyAlignment="1">
      <alignment horizontal="center"/>
    </xf>
    <xf numFmtId="0" fontId="2" fillId="0" borderId="4" xfId="30" applyBorder="1" applyAlignment="1">
      <alignment horizontal="center" wrapText="1"/>
    </xf>
    <xf numFmtId="0" fontId="2" fillId="0" borderId="14" xfId="30" applyBorder="1" applyAlignment="1">
      <alignment horizontal="center"/>
    </xf>
    <xf numFmtId="0" fontId="2" fillId="0" borderId="15" xfId="30" applyBorder="1" applyAlignment="1">
      <alignment horizontal="center"/>
    </xf>
    <xf numFmtId="0" fontId="2" fillId="0" borderId="4" xfId="30" applyBorder="1" applyAlignment="1">
      <alignment horizontal="center"/>
    </xf>
    <xf numFmtId="0" fontId="10" fillId="0" borderId="0" xfId="0" applyFont="1" applyAlignment="1"/>
    <xf numFmtId="0" fontId="0" fillId="0" borderId="0" xfId="0" applyAlignment="1"/>
  </cellXfs>
  <cellStyles count="33">
    <cellStyle name="Bad" xfId="8" builtinId="27"/>
    <cellStyle name="Comma" xfId="1" builtinId="3"/>
    <cellStyle name="Comma 2" xfId="4" xr:uid="{00000000-0005-0000-0000-000001000000}"/>
    <cellStyle name="Comma 3" xfId="14" xr:uid="{58AA82A0-5CC9-4252-93E0-CD3CF818A213}"/>
    <cellStyle name="Comma 3 2" xfId="25" xr:uid="{17463752-932D-4CAC-AEC4-5BF82A9B8FDD}"/>
    <cellStyle name="Comma 4" xfId="17" xr:uid="{5D773061-CC5A-4BDB-8EFC-803F3502245F}"/>
    <cellStyle name="Comma 5" xfId="19" xr:uid="{D55C2B4A-DEB9-4234-8C2F-3C30D3645EAC}"/>
    <cellStyle name="Comma 6" xfId="20" xr:uid="{86B645BE-2F33-40D7-A01B-252BA4BDB7DC}"/>
    <cellStyle name="Comma 7" xfId="31" xr:uid="{2C1A1C9E-2C64-42F5-92C2-963A11C3BF93}"/>
    <cellStyle name="Currency" xfId="29" builtinId="4"/>
    <cellStyle name="Currency 2" xfId="21" xr:uid="{0196EBAA-57CB-485C-B021-81EFEC7E3DB0}"/>
    <cellStyle name="Good" xfId="12" builtinId="26"/>
    <cellStyle name="Hyperlink" xfId="6" builtinId="8"/>
    <cellStyle name="Hyperlink 2" xfId="11" xr:uid="{2D9F1467-3F50-407B-801C-4F839B675D8B}"/>
    <cellStyle name="Neutral" xfId="9" builtinId="28"/>
    <cellStyle name="Normal" xfId="0" builtinId="0"/>
    <cellStyle name="Normal 2" xfId="2" xr:uid="{00000000-0005-0000-0000-000004000000}"/>
    <cellStyle name="Normal 3" xfId="3" xr:uid="{00000000-0005-0000-0000-000005000000}"/>
    <cellStyle name="Normal 4" xfId="10" xr:uid="{3CF0BE68-7AE7-4B3D-AA52-F4F1BE435E78}"/>
    <cellStyle name="Normal 4 2" xfId="32" xr:uid="{B75B4456-47A9-4338-B005-C4F99BB8DC28}"/>
    <cellStyle name="Normal 5" xfId="13" xr:uid="{352A119C-9712-4705-9E93-6D388491CC06}"/>
    <cellStyle name="Normal 5 2" xfId="23" xr:uid="{3BB1DCF5-08F8-4E15-A0B1-211A774C2D67}"/>
    <cellStyle name="Normal 5 3" xfId="27" xr:uid="{C7C29BFE-7808-4DB6-AD75-E33648B11C87}"/>
    <cellStyle name="Normal 6" xfId="16" xr:uid="{3AC2E2E6-D184-4879-BA71-429583817EB2}"/>
    <cellStyle name="Normal 7" xfId="18" xr:uid="{E585CF5F-6BF5-4907-BF36-586192980A75}"/>
    <cellStyle name="Normal 8" xfId="26" xr:uid="{4C4FC02B-40AD-4AAD-85EF-D02572C2D343}"/>
    <cellStyle name="Normal 9" xfId="30" xr:uid="{46DA64A1-103D-46CE-8E9F-79A082A07FDE}"/>
    <cellStyle name="Percent" xfId="7" builtinId="5"/>
    <cellStyle name="Percent 2" xfId="5" xr:uid="{00000000-0005-0000-0000-000006000000}"/>
    <cellStyle name="Percent 3" xfId="15" xr:uid="{F4F55B8C-71B9-48E6-93D1-E8D3F2BE51B5}"/>
    <cellStyle name="Percent 3 2" xfId="24" xr:uid="{4D353AAB-1CA4-4F54-A7DB-D265EDE5C117}"/>
    <cellStyle name="Percent 3 3" xfId="28" xr:uid="{72DA0C56-8DCD-48BC-B32E-78C34ADAA04B}"/>
    <cellStyle name="Percent 4" xfId="22" xr:uid="{CC6FAFF6-391A-438D-936F-915FE88A1B8C}"/>
  </cellStyles>
  <dxfs count="84">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ont>
        <b/>
        <i val="0"/>
        <strike val="0"/>
        <condense val="0"/>
        <extend val="0"/>
        <outline val="0"/>
        <shadow val="0"/>
        <u val="none"/>
        <vertAlign val="baseline"/>
        <sz val="11"/>
        <color theme="1"/>
        <name val="Calibri"/>
        <family val="2"/>
        <scheme val="minor"/>
      </font>
    </dxf>
    <dxf>
      <border diagonalUp="0" diagonalDown="0">
        <left style="thin">
          <color indexed="64"/>
        </left>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numFmt numFmtId="1" formatCode="0"/>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9"/>
        <color rgb="FF5C2718"/>
        <name val="Eurostile-Reg"/>
        <scheme val="none"/>
      </font>
      <alignment horizontal="general" vertical="center"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bottom style="thin">
          <color indexed="64"/>
        </bottom>
      </border>
    </dxf>
    <dxf>
      <border outline="0">
        <left style="thin">
          <color indexed="64"/>
        </left>
        <right style="thin">
          <color indexed="64"/>
        </right>
        <top style="thin">
          <color indexed="64"/>
        </top>
        <bottom style="thin">
          <color indexed="64"/>
        </bottom>
      </border>
    </dxf>
    <dxf>
      <alignment horizontal="general" vertical="bottom" textRotation="0" wrapText="1" indent="0" justifyLastLine="0" shrinkToFit="0" readingOrder="0"/>
    </dxf>
    <dxf>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theme="1"/>
        <name val="Calibri"/>
        <family val="2"/>
        <scheme val="minor"/>
      </font>
      <border diagonalUp="0" diagonalDown="0">
        <left style="thin">
          <color indexed="64"/>
        </left>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numFmt numFmtId="1" formatCode="0"/>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9"/>
        <color rgb="FF5C2718"/>
        <name val="Eurostile-Reg"/>
        <scheme val="none"/>
      </font>
      <alignment horizontal="general" vertical="center"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bottom style="thin">
          <color indexed="64"/>
        </bottom>
      </border>
    </dxf>
    <dxf>
      <border outline="0">
        <left style="thin">
          <color indexed="64"/>
        </left>
        <right style="thin">
          <color indexed="64"/>
        </right>
        <top style="thin">
          <color indexed="64"/>
        </top>
        <bottom style="thin">
          <color indexed="64"/>
        </bottom>
      </border>
    </dxf>
    <dxf>
      <alignment horizontal="general" vertical="bottom" textRotation="0" wrapText="1" indent="0" justifyLastLine="0" shrinkToFit="0" readingOrder="0"/>
    </dxf>
    <dxf>
      <font>
        <b/>
        <i val="0"/>
        <strike val="0"/>
        <condense val="0"/>
        <extend val="0"/>
        <outline val="0"/>
        <shadow val="0"/>
        <u val="none"/>
        <vertAlign val="baseline"/>
        <sz val="11"/>
        <color theme="1"/>
        <name val="Calibri"/>
        <family val="2"/>
        <scheme val="minor"/>
      </font>
      <alignment horizontal="general" vertical="top"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theme="1"/>
        <name val="Calibri"/>
        <family val="2"/>
        <scheme val="minor"/>
      </font>
      <border diagonalUp="0" diagonalDown="0">
        <left style="thin">
          <color indexed="64"/>
        </left>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9"/>
        <color rgb="FF5C2718"/>
        <name val="Eurostile-Reg"/>
        <scheme val="none"/>
      </font>
      <alignment horizontal="general" vertical="center"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bottom style="thin">
          <color indexed="64"/>
        </bottom>
      </border>
    </dxf>
    <dxf>
      <border outline="0">
        <left style="thin">
          <color indexed="64"/>
        </left>
        <right style="thin">
          <color indexed="64"/>
        </right>
        <top style="thin">
          <color indexed="64"/>
        </top>
        <bottom style="thin">
          <color indexed="64"/>
        </bottom>
      </border>
    </dxf>
    <dxf>
      <alignment horizontal="general" vertical="bottom" textRotation="0" wrapText="1" indent="0" justifyLastLine="0" shrinkToFit="0" readingOrder="0"/>
    </dxf>
    <dxf>
      <font>
        <b/>
        <i val="0"/>
        <strike val="0"/>
        <condense val="0"/>
        <extend val="0"/>
        <outline val="0"/>
        <shadow val="0"/>
        <u val="none"/>
        <vertAlign val="baseline"/>
        <sz val="11"/>
        <color theme="1"/>
        <name val="Calibri"/>
        <family val="2"/>
        <scheme val="minor"/>
      </font>
      <alignment horizontal="general" vertical="top"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theme="1"/>
        <name val="Calibri"/>
        <family val="2"/>
        <scheme val="minor"/>
      </font>
      <border diagonalUp="0" diagonalDown="0">
        <left style="thin">
          <color indexed="64"/>
        </left>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9"/>
        <color rgb="FF5C2718"/>
        <name val="Eurostile-Reg"/>
        <scheme val="none"/>
      </font>
      <alignment horizontal="general" vertical="center"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bottom style="thin">
          <color indexed="64"/>
        </bottom>
      </border>
    </dxf>
    <dxf>
      <border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theme="1"/>
        <name val="Calibri"/>
        <family val="2"/>
        <scheme val="minor"/>
      </font>
      <alignment horizontal="general" vertical="top" textRotation="0" wrapText="0" indent="0" justifyLastLine="0" shrinkToFit="0" readingOrder="0"/>
      <border diagonalUp="0" diagonalDown="0" outline="0">
        <left style="thin">
          <color indexed="64"/>
        </left>
        <right style="thin">
          <color indexed="64"/>
        </right>
        <top/>
        <bottom/>
      </border>
    </dxf>
    <dxf>
      <font>
        <b/>
        <i val="0"/>
        <strike val="0"/>
        <condense val="0"/>
        <extend val="0"/>
        <outline val="0"/>
        <shadow val="0"/>
        <u val="none"/>
        <vertAlign val="baseline"/>
        <sz val="11"/>
        <color theme="1"/>
        <name val="Calibri"/>
        <family val="2"/>
        <scheme val="minor"/>
      </font>
    </dxf>
    <dxf>
      <font>
        <b val="0"/>
        <i val="0"/>
        <strike val="0"/>
        <condense val="0"/>
        <extend val="0"/>
        <outline val="0"/>
        <shadow val="0"/>
        <u val="none"/>
        <vertAlign val="baseline"/>
        <sz val="10"/>
        <color theme="1"/>
        <name val="Arial"/>
        <family val="2"/>
        <scheme val="none"/>
      </font>
      <fill>
        <patternFill patternType="none">
          <fgColor indexed="64"/>
          <bgColor indexed="65"/>
        </patternFill>
      </fill>
      <alignment horizontal="general" vertical="top" textRotation="0" wrapText="1"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externalLink" Target="externalLinks/externalLink1.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4.xml"/><Relationship Id="rId47" Type="http://schemas.openxmlformats.org/officeDocument/2006/relationships/customXml" Target="../customXml/item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externalLink" Target="externalLinks/externalLink2.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 Id="rId48" Type="http://schemas.openxmlformats.org/officeDocument/2006/relationships/customXml" Target="../customXml/item2.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externalLink" Target="externalLinks/externalLink3.xml"/><Relationship Id="rId1" Type="http://schemas.openxmlformats.org/officeDocument/2006/relationships/worksheet" Target="worksheets/sheet1.xml"/><Relationship Id="rId6" Type="http://schemas.openxmlformats.org/officeDocument/2006/relationships/worksheet" Target="worksheets/sheet6.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activeX1.xml><?xml version="1.0" encoding="utf-8"?>
<ax:ocx xmlns:ax="http://schemas.microsoft.com/office/2006/activeX" xmlns:r="http://schemas.openxmlformats.org/officeDocument/2006/relationships" ax:classid="{5512D11A-5CC6-11CF-8D67-00AA00BDCE1D}" ax:persistence="persistStream" r:id="rId1"/>
</file>

<file path=xl/activeX/activeX2.xml><?xml version="1.0" encoding="utf-8"?>
<ax:ocx xmlns:ax="http://schemas.microsoft.com/office/2006/activeX" xmlns:r="http://schemas.openxmlformats.org/officeDocument/2006/relationships" ax:classid="{5512D11A-5CC6-11CF-8D67-00AA00BDCE1D}" ax:persistence="persistStream" r:id="rId1"/>
</file>

<file path=xl/activeX/activeX3.xml><?xml version="1.0" encoding="utf-8"?>
<ax:ocx xmlns:ax="http://schemas.microsoft.com/office/2006/activeX" xmlns:r="http://schemas.openxmlformats.org/officeDocument/2006/relationships" ax:classid="{5512D11A-5CC6-11CF-8D67-00AA00BDCE1D}" ax:persistence="persistStream" r:id="rId1"/>
</file>

<file path=xl/activeX/activeX4.xml><?xml version="1.0" encoding="utf-8"?>
<ax:ocx xmlns:ax="http://schemas.microsoft.com/office/2006/activeX" xmlns:r="http://schemas.openxmlformats.org/officeDocument/2006/relationships" ax:classid="{5512D11A-5CC6-11CF-8D67-00AA00BDCE1D}" ax:persistence="persistStream" r:id="rId1"/>
</file>

<file path=xl/drawings/_rels/vmlDrawing1.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7</xdr:row>
          <xdr:rowOff>12700</xdr:rowOff>
        </xdr:from>
        <xdr:to>
          <xdr:col>3</xdr:col>
          <xdr:colOff>209550</xdr:colOff>
          <xdr:row>8</xdr:row>
          <xdr:rowOff>146050</xdr:rowOff>
        </xdr:to>
        <xdr:sp macro="" textlink="">
          <xdr:nvSpPr>
            <xdr:cNvPr id="12289" name="Control 1" hidden="1">
              <a:extLst>
                <a:ext uri="{63B3BB69-23CF-44E3-9099-C40C66FF867C}">
                  <a14:compatExt spid="_x0000_s12289"/>
                </a:ext>
                <a:ext uri="{FF2B5EF4-FFF2-40B4-BE49-F238E27FC236}">
                  <a16:creationId xmlns:a16="http://schemas.microsoft.com/office/drawing/2014/main" id="{00000000-0008-0000-1D00-00000130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7</xdr:row>
          <xdr:rowOff>12700</xdr:rowOff>
        </xdr:from>
        <xdr:to>
          <xdr:col>3</xdr:col>
          <xdr:colOff>209550</xdr:colOff>
          <xdr:row>8</xdr:row>
          <xdr:rowOff>146050</xdr:rowOff>
        </xdr:to>
        <xdr:sp macro="" textlink="">
          <xdr:nvSpPr>
            <xdr:cNvPr id="12290" name="Control 2" hidden="1">
              <a:extLst>
                <a:ext uri="{63B3BB69-23CF-44E3-9099-C40C66FF867C}">
                  <a14:compatExt spid="_x0000_s12290"/>
                </a:ext>
                <a:ext uri="{FF2B5EF4-FFF2-40B4-BE49-F238E27FC236}">
                  <a16:creationId xmlns:a16="http://schemas.microsoft.com/office/drawing/2014/main" id="{00000000-0008-0000-1D00-00000230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7</xdr:row>
          <xdr:rowOff>12700</xdr:rowOff>
        </xdr:from>
        <xdr:to>
          <xdr:col>3</xdr:col>
          <xdr:colOff>209550</xdr:colOff>
          <xdr:row>8</xdr:row>
          <xdr:rowOff>146050</xdr:rowOff>
        </xdr:to>
        <xdr:sp macro="" textlink="">
          <xdr:nvSpPr>
            <xdr:cNvPr id="12291" name="Control 3" hidden="1">
              <a:extLst>
                <a:ext uri="{63B3BB69-23CF-44E3-9099-C40C66FF867C}">
                  <a14:compatExt spid="_x0000_s12291"/>
                </a:ext>
                <a:ext uri="{FF2B5EF4-FFF2-40B4-BE49-F238E27FC236}">
                  <a16:creationId xmlns:a16="http://schemas.microsoft.com/office/drawing/2014/main" id="{00000000-0008-0000-1D00-00000330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7</xdr:row>
          <xdr:rowOff>12700</xdr:rowOff>
        </xdr:from>
        <xdr:to>
          <xdr:col>3</xdr:col>
          <xdr:colOff>209550</xdr:colOff>
          <xdr:row>8</xdr:row>
          <xdr:rowOff>146050</xdr:rowOff>
        </xdr:to>
        <xdr:sp macro="" textlink="">
          <xdr:nvSpPr>
            <xdr:cNvPr id="12292" name="Control 4" hidden="1">
              <a:extLst>
                <a:ext uri="{63B3BB69-23CF-44E3-9099-C40C66FF867C}">
                  <a14:compatExt spid="_x0000_s12292"/>
                </a:ext>
                <a:ext uri="{FF2B5EF4-FFF2-40B4-BE49-F238E27FC236}">
                  <a16:creationId xmlns:a16="http://schemas.microsoft.com/office/drawing/2014/main" id="{00000000-0008-0000-1D00-00000430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Shakil%20Beedassy\Desktop\BAD%202022\Projects\Staple%20Crops%20Processing%20Zone\May%201%20submission\Annex3to10\Annex3A_SCPZ_Country_Level_Estimations_and_assumptions_Submitted30April2023.xlsx" TargetMode="External"/><Relationship Id="rId1" Type="http://schemas.openxmlformats.org/officeDocument/2006/relationships/externalLinkPath" Target="/Users/Shakil%20Beedassy/Desktop/BAD%202022/Projects/Staple%20Crops%20Processing%20Zone/May%201%20submission/Annex3to10/Annex3A_SCPZ_Country_Level_Estimations_and_assumptions_Submitted30April20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AKT105093\Documents\AFDB\2019\GCF\Pipeline\FundingProposals\AFAWA\Financialmodel\Biogas\Biogasestimation.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Users\Fonta%20William\AppData\Local\Microsoft\Windows\INetCache\Content.Outlook\3VFAPVSO\Biogasestimation.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AFDB\GCF%20COORDINATION%20TEAM%20-%20General\GCF%20Operations\Pipeline%20Management\Funding%20Proposals\SCPZ\April2023%20Revisions\Annex_4_SCPZs_Budget_Plan_Revised_14April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NDC achieved"/>
      <sheetName val="SummaryGHG CalculationsSCPZ"/>
      <sheetName val="Emissions CalculationsSCPZ"/>
      <sheetName val="SCPZ Biogas Assump&amp; Estimation"/>
      <sheetName val="ProgrammeLevelDigesterAnalysis"/>
      <sheetName val="ProgrBiogas Electricity Fin Anl"/>
      <sheetName val="SolarPV Financial Analysis"/>
      <sheetName val="Roads construction and rehab"/>
      <sheetName val="EnergyDemand"/>
      <sheetName val="Emissions CalculationsEthio"/>
      <sheetName val="EthBiogas Electricity Fin "/>
      <sheetName val="EthiopiaDigesterAnaly"/>
      <sheetName val="EthSolarPV Financial Analysis "/>
      <sheetName val="Emissions CalculationsGuinea "/>
      <sheetName val="GuiBiogas Electricity Fin "/>
      <sheetName val="GuineaDigesterAnaly"/>
      <sheetName val="GuiSolarPV Financial Analys"/>
      <sheetName val="Emissions CalculationsSenegal"/>
      <sheetName val="SenBiogas Electricity Fin Sen"/>
      <sheetName val="SenegalDigesterAnaly"/>
      <sheetName val="SenSolarPV Financial Analys"/>
      <sheetName val="Emissions CalculationsTogo"/>
      <sheetName val="TogoBiogas Electricity Fin"/>
      <sheetName val="TogoDigesterAnaly"/>
      <sheetName val="TogoSolarPV Financial Analys"/>
      <sheetName val="Ethiopia Crop Yields"/>
      <sheetName val="Guinea Crop Yields (2)"/>
      <sheetName val="Senegal Crop Yields (3)"/>
      <sheetName val="Togo Crop Yields (4)"/>
      <sheetName val="Assump&amp;Est_Ethiopia"/>
      <sheetName val="Assump&amp;Est_Togo"/>
      <sheetName val="Assump&amp;Est_Senegal"/>
      <sheetName val="Assump&amp;Est_Guinea"/>
      <sheetName val="FAOSTAT_data_10-2-2019 (8)_Catt"/>
      <sheetName val="Updated livestock Data- 2022"/>
      <sheetName val="Revised PV calculations"/>
      <sheetName val="Sheet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nsitivityAnalysis"/>
      <sheetName val="APH_NPV"/>
      <sheetName val="Sheet3"/>
    </sheetNames>
    <sheetDataSet>
      <sheetData sheetId="0"/>
      <sheetData sheetId="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nsitivityAnalysis"/>
      <sheetName val="APH_NPV"/>
      <sheetName val="Sheet3"/>
    </sheetNames>
    <sheetDataSet>
      <sheetData sheetId="0"/>
      <sheetData sheetId="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iled Budget All  "/>
      <sheetName val="Notes and Assumptions"/>
      <sheetName val="Detailed Budget Summary"/>
      <sheetName val="Detailed GCF Budget"/>
      <sheetName val="Program Financiers+Financial In"/>
      <sheetName val="from FP"/>
      <sheetName val="Detailed Budget Togo"/>
      <sheetName val="Detailed Budget Senegal"/>
      <sheetName val="Detailed Budget Guinea"/>
      <sheetName val="Changes"/>
      <sheetName val="Country details "/>
      <sheetName val="Changes (2)"/>
      <sheetName val="Detailed Budget All   (2)"/>
    </sheetNames>
    <sheetDataSet>
      <sheetData sheetId="0"/>
      <sheetData sheetId="1"/>
      <sheetData sheetId="2">
        <row r="3">
          <cell r="G3">
            <v>271703524.58942312</v>
          </cell>
        </row>
        <row r="4">
          <cell r="G4">
            <v>102790987.6394231</v>
          </cell>
        </row>
      </sheetData>
      <sheetData sheetId="3"/>
      <sheetData sheetId="4"/>
      <sheetData sheetId="5"/>
      <sheetData sheetId="6"/>
      <sheetData sheetId="7"/>
      <sheetData sheetId="8"/>
      <sheetData sheetId="9"/>
      <sheetData sheetId="10"/>
      <sheetData sheetId="11"/>
      <sheetData sheetId="12"/>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771356-A696-409C-84C2-C4CDFA2A3D00}" name="Table1" displayName="Table1" ref="A108:B111" totalsRowShown="0">
  <autoFilter ref="A108:B111" xr:uid="{614A983E-ABE6-41CB-9E09-826777CB402E}"/>
  <tableColumns count="2">
    <tableColumn id="1" xr3:uid="{88422FD7-735B-43B6-BE02-4FF18F44C8AE}" name="Summary." dataDxfId="83" dataCellStyle="Normal 3"/>
    <tableColumn id="2" xr3:uid="{8CA1242E-81C9-4E1B-842D-A5BEE3D51926}" name="Values" dataDxfId="82" dataCellStyle="Comma 2"/>
  </tableColumns>
  <tableStyleInfo name="TableStyleMedium3"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7030AF23-CF2E-4635-9B68-F425E993C2E4}" name="Table14" displayName="Table14" ref="A52:AD64" totalsRowShown="0" headerRowCellStyle="Normal 4" dataCellStyle="Normal 4">
  <autoFilter ref="A52:AD64" xr:uid="{43DA2A49-0013-4160-B7D1-1F82584F5816}"/>
  <tableColumns count="30">
    <tableColumn id="1" xr3:uid="{EA76BB1A-E0B3-4F3B-A99D-28A4D6C1EA61}" name="Column1" dataCellStyle="Normal 4"/>
    <tableColumn id="2" xr3:uid="{F8B85649-B0C9-4D91-9339-3CE00861F5F9}" name="Column2" dataCellStyle="Normal 4"/>
    <tableColumn id="3" xr3:uid="{0BC444C5-3616-4292-A1C9-2AD4B13879D4}" name="Column3" dataCellStyle="Normal 4"/>
    <tableColumn id="4" xr3:uid="{E865EB3E-3DB5-4465-8BB0-0251AA6FAD92}" name="Column4" dataCellStyle="Normal 4"/>
    <tableColumn id="5" xr3:uid="{7576AD1D-7C8B-4A4F-BD68-DA9A967EA893}" name="Column5" dataCellStyle="Normal 4"/>
    <tableColumn id="6" xr3:uid="{28133FB5-E6B9-4FA6-95B8-5DA3C702E1FE}" name="Column6" dataCellStyle="Normal 4"/>
    <tableColumn id="7" xr3:uid="{D94B4D15-65EB-41AE-891D-AD8B4688B206}" name="Column7" dataCellStyle="Normal 4"/>
    <tableColumn id="8" xr3:uid="{8F42629A-481E-4B58-A6DE-34D22AF7A9CD}" name="Column8" dataCellStyle="Normal 4"/>
    <tableColumn id="9" xr3:uid="{0B2F3912-81A4-488A-B7C3-E76452AF2251}" name="Column9" dataCellStyle="Normal 4"/>
    <tableColumn id="10" xr3:uid="{F9DDF2F7-25D7-41CF-B777-6369073CC2E8}" name="Column10" dataCellStyle="Normal 4"/>
    <tableColumn id="11" xr3:uid="{47D3CEDB-D810-41B0-91A9-9FD4C28AFD6B}" name="Column11" dataCellStyle="Normal 4"/>
    <tableColumn id="12" xr3:uid="{1EECA124-1839-4344-9982-BE0D32D90DE4}" name="Column12" dataCellStyle="Normal 4"/>
    <tableColumn id="13" xr3:uid="{7A46E271-1BA7-43AC-B156-F514881B94DB}" name="Column13" dataCellStyle="Normal 4"/>
    <tableColumn id="14" xr3:uid="{0D096BFE-1A8D-47A6-84E5-CBB59F4B066D}" name="Column14" dataCellStyle="Normal 4"/>
    <tableColumn id="15" xr3:uid="{DCAD93E3-E76A-4279-8853-9292CED54C1E}" name="Column15" dataCellStyle="Normal 4"/>
    <tableColumn id="16" xr3:uid="{7D3DE790-B0AA-42A9-8C7F-CAB643919330}" name="Column16" dataCellStyle="Normal 4"/>
    <tableColumn id="17" xr3:uid="{E2083AF8-4284-45B2-9A71-1D5DEDEF868E}" name="Column17" dataCellStyle="Normal 4"/>
    <tableColumn id="18" xr3:uid="{015F5515-A0A4-403C-81ED-A075EEE6A2D5}" name="Column18" dataCellStyle="Normal 4"/>
    <tableColumn id="19" xr3:uid="{2162F16C-3557-4D0B-A975-803675853E23}" name="Column19" dataCellStyle="Normal 4"/>
    <tableColumn id="20" xr3:uid="{A050E8F2-436E-4B5D-A244-B4F4DDFFA89E}" name="Column20" dataCellStyle="Normal 4"/>
    <tableColumn id="21" xr3:uid="{E203972D-0B41-4BD9-BB7A-1CF2EF7282C8}" name="Column21" dataCellStyle="Normal 4"/>
    <tableColumn id="22" xr3:uid="{D5375FEC-7454-4F60-8E78-F11DA7D0F645}" name="Column22" dataCellStyle="Normal 4"/>
    <tableColumn id="23" xr3:uid="{BDE72437-78FC-46C8-B6A6-3B9005103B38}" name="Column23" dataCellStyle="Normal 4"/>
    <tableColumn id="24" xr3:uid="{78AB0107-2EEC-4C89-8983-A6C066E42027}" name="Column24" dataCellStyle="Normal 4"/>
    <tableColumn id="25" xr3:uid="{158CC3C5-4D29-419E-9C04-F2A76B4B0FCE}" name="Column25" dataCellStyle="Normal 4"/>
    <tableColumn id="26" xr3:uid="{0C10C352-6CBD-4BD9-B4F0-42B5BBEB561B}" name="Column26" dataCellStyle="Normal 4"/>
    <tableColumn id="27" xr3:uid="{F5B781F1-288C-4EFF-B5A2-0D9370C97323}" name="Column27" dataCellStyle="Normal 4"/>
    <tableColumn id="28" xr3:uid="{388BFB7F-3584-4656-83BE-F82C32A75C8F}" name="Column28" dataCellStyle="Normal 4"/>
    <tableColumn id="29" xr3:uid="{EBEBB564-1FD6-4119-A824-7130E5389E63}" name="Column29" dataCellStyle="Normal 4"/>
    <tableColumn id="30" xr3:uid="{01A8AD07-95DB-4BA0-BE7C-A75529125DE7}" name="Column30" dataCellStyle="Normal 4"/>
  </tableColumns>
  <tableStyleInfo name="TableStyleLight16"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95C2C5AF-31E0-4325-B8DD-CA921A010E58}" name="Table15" displayName="Table15" ref="A66:AD71" totalsRowShown="0" headerRowCellStyle="Normal 4" dataCellStyle="Normal 4">
  <autoFilter ref="A66:AD71" xr:uid="{D57C4008-F851-4594-887B-F34E091CF0AB}"/>
  <tableColumns count="30">
    <tableColumn id="1" xr3:uid="{159348CE-1766-4798-8197-7D56F87EFAEC}" name="Column1" dataCellStyle="Normal 4"/>
    <tableColumn id="2" xr3:uid="{AD6D363F-00E5-4FD6-8466-C01BD4BBDFAE}" name="Column2" dataCellStyle="Normal 4"/>
    <tableColumn id="3" xr3:uid="{C344BEC6-A7FF-4681-8AA0-B33E6764A932}" name="Column3" dataCellStyle="Normal 4"/>
    <tableColumn id="4" xr3:uid="{BAC5086C-19DA-423B-9074-EDCC44098B36}" name="Column4" dataCellStyle="Normal 4"/>
    <tableColumn id="5" xr3:uid="{ED304EE3-DE30-4235-A274-31C61E5209E2}" name="Column5" dataCellStyle="Normal 4"/>
    <tableColumn id="6" xr3:uid="{A5F5D586-6B09-46FD-988E-7ACFE7A225B9}" name="Column6" dataCellStyle="Normal 4"/>
    <tableColumn id="7" xr3:uid="{EB5B27D8-C9C1-4ACD-B525-5600324815F2}" name="Column7" dataCellStyle="Normal 4"/>
    <tableColumn id="8" xr3:uid="{D5471C14-2BA4-427E-B42A-1A6DA988E019}" name="Column8" dataCellStyle="Normal 4"/>
    <tableColumn id="9" xr3:uid="{0411A465-BDCA-40CE-8EEF-EB5D35152BA1}" name="Column9" dataCellStyle="Normal 4"/>
    <tableColumn id="10" xr3:uid="{C352658B-5177-45B6-984A-28EA04BACD5A}" name="Column10" dataCellStyle="Normal 4"/>
    <tableColumn id="11" xr3:uid="{2C3C6309-3958-4A88-9889-1AA507518F08}" name="Column11" dataCellStyle="Normal 4"/>
    <tableColumn id="12" xr3:uid="{1F46126E-8476-42AF-AFC2-5ECBC56033BE}" name="Column12" dataCellStyle="Normal 4"/>
    <tableColumn id="13" xr3:uid="{F821D436-DB6A-4D61-8E40-0206D99BCD13}" name="Column13" dataCellStyle="Normal 4"/>
    <tableColumn id="14" xr3:uid="{0A5BD744-1677-4E20-A02E-2DD34FD2976E}" name="Column14" dataCellStyle="Normal 4"/>
    <tableColumn id="15" xr3:uid="{4DDB0890-5F12-4056-9501-C4AB8D49E2D8}" name="Column15" dataCellStyle="Normal 4"/>
    <tableColumn id="16" xr3:uid="{6273631D-B300-42DF-A8A1-1C7E84181198}" name="Column16" dataCellStyle="Normal 4"/>
    <tableColumn id="17" xr3:uid="{3CA9D20D-E680-41F4-ACEB-F78E8DC34510}" name="Column17" dataCellStyle="Normal 4"/>
    <tableColumn id="18" xr3:uid="{2FB0C285-AB02-4F46-9E48-C0213118E0D4}" name="Column18" dataCellStyle="Normal 4"/>
    <tableColumn id="19" xr3:uid="{3DAC4A81-2B4B-4A09-A640-DA67C189E084}" name="Column19" dataCellStyle="Normal 4"/>
    <tableColumn id="20" xr3:uid="{A709C44C-32CF-49B5-9D96-47F38E597537}" name="Column20" dataCellStyle="Normal 4"/>
    <tableColumn id="21" xr3:uid="{1542A965-CFC2-4BA6-B9A8-15B40A8AAB60}" name="Column21" dataCellStyle="Normal 4"/>
    <tableColumn id="22" xr3:uid="{FDC20BDE-256B-4E02-8BBC-65F10EB97C59}" name="Column22" dataCellStyle="Normal 4"/>
    <tableColumn id="23" xr3:uid="{9826D8F9-61AB-4536-A2ED-8FEB2CA07B98}" name="Column23" dataCellStyle="Normal 4"/>
    <tableColumn id="24" xr3:uid="{2E439D48-C1FF-484D-AFAE-49D5EC107241}" name="Column24" dataCellStyle="Normal 4"/>
    <tableColumn id="25" xr3:uid="{C0D01131-EED5-490A-A21F-1799EAC25CEC}" name="Column25" dataCellStyle="Normal 4"/>
    <tableColumn id="26" xr3:uid="{883599D3-C52B-4B1C-9453-1621B6E1D3C3}" name="Column26" dataCellStyle="Normal 4"/>
    <tableColumn id="27" xr3:uid="{FCC84B7D-52FD-403F-84EA-2BD7949992A7}" name="Column27" dataCellStyle="Normal 4"/>
    <tableColumn id="28" xr3:uid="{EE403AD0-F752-467A-86E6-8459991BC6E4}" name="Column28" dataCellStyle="Normal 4"/>
    <tableColumn id="29" xr3:uid="{4D00EE4F-C854-441C-A31C-CC0420FDB848}" name="Column29" dataCellStyle="Normal 4"/>
    <tableColumn id="30" xr3:uid="{B30CC8E9-30AB-409F-9A07-DFE0D017F5C1}" name="Column30" dataCellStyle="Normal 4"/>
  </tableColumns>
  <tableStyleInfo name="TableStyleLight16"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E34A4313-2287-455D-B952-0F44E3939CDC}" name="Table19" displayName="Table19" ref="A1:AC8" totalsRowShown="0" headerRowCellStyle="Normal 4" dataCellStyle="Normal 4">
  <autoFilter ref="A1:AC8" xr:uid="{D60F9DA3-A0D0-4D3F-B990-08D23040DFC6}"/>
  <tableColumns count="29">
    <tableColumn id="1" xr3:uid="{F0E2D79F-57A8-4A54-B662-BD2AC65F2928}" name="Area" dataCellStyle="Normal 4"/>
    <tableColumn id="2" xr3:uid="{59CA50EE-94E5-43A2-8332-4DB4126F109E}" name="Item" dataCellStyle="Normal 4"/>
    <tableColumn id="3" xr3:uid="{07ACC440-60D4-4DBD-85F4-63C6EE680023}" name="Group" dataCellStyle="Normal 4"/>
    <tableColumn id="4" xr3:uid="{F5E03351-521C-4437-AD81-14A876ED4DD7}" name="Element" dataCellStyle="Normal 4"/>
    <tableColumn id="5" xr3:uid="{6F89815B-05A7-4708-B6F0-0EDFAE3B7CE7}" name="Unit" dataCellStyle="Normal 4"/>
    <tableColumn id="6" xr3:uid="{0EAC8392-0FD2-49CC-9EF0-33B34CB93F68}" name="Y1995" dataCellStyle="Normal 4"/>
    <tableColumn id="7" xr3:uid="{64970D35-85B0-4CB6-9935-DF98B673A2C2}" name="Y1996" dataCellStyle="Normal 4"/>
    <tableColumn id="8" xr3:uid="{3FF8C17D-A81A-484F-B362-41081AADF00E}" name="Y1997" dataCellStyle="Normal 4"/>
    <tableColumn id="9" xr3:uid="{9A843FAC-D7D5-4998-A5C0-B12390810F4B}" name="Y1998" dataCellStyle="Normal 4"/>
    <tableColumn id="10" xr3:uid="{C5ABEFA5-1858-4EAA-B0D7-86ADE1D90CA3}" name="Y1999" dataCellStyle="Normal 4"/>
    <tableColumn id="11" xr3:uid="{D8026A19-6033-4F13-9B0B-59610F310A63}" name="Y2000" dataCellStyle="Normal 4"/>
    <tableColumn id="12" xr3:uid="{E1985BB9-676E-415F-9424-AFAE9195E36E}" name="Y2001" dataCellStyle="Normal 4"/>
    <tableColumn id="13" xr3:uid="{CCB4BF40-0F5A-4AC8-A1A2-8753265EFF2E}" name="Y2002" dataCellStyle="Normal 4"/>
    <tableColumn id="14" xr3:uid="{D2F62F8A-24AD-4188-9E20-9859CE9520D5}" name="Y2003" dataCellStyle="Normal 4"/>
    <tableColumn id="15" xr3:uid="{C00E8A30-4506-4C02-B934-7383EFADB0EF}" name="Y2004" dataCellStyle="Normal 4"/>
    <tableColumn id="16" xr3:uid="{BF8C3D85-6A93-45B0-8ECF-974CEC6B19B7}" name="Y2005" dataCellStyle="Normal 4"/>
    <tableColumn id="17" xr3:uid="{06EBEE0A-8E42-4048-8C3E-5EF4C171F347}" name="Y2006" dataCellStyle="Normal 4"/>
    <tableColumn id="18" xr3:uid="{4C6716A6-53FA-4501-8D9A-2E4679CD27F9}" name="Y2007" dataCellStyle="Normal 4"/>
    <tableColumn id="19" xr3:uid="{52A315D6-0B00-4196-9286-5B9A5CD312F6}" name="Y2008" dataCellStyle="Normal 4"/>
    <tableColumn id="20" xr3:uid="{C5ED0758-2FBA-4DD4-B8F3-E829F23CDE99}" name="Y2009" dataCellStyle="Normal 4"/>
    <tableColumn id="21" xr3:uid="{B4F1153E-71AC-4BFC-B31E-A3A0A1E85CE9}" name="Y2010" dataCellStyle="Normal 4"/>
    <tableColumn id="22" xr3:uid="{4D3138A9-BBBF-4D30-9DC9-09B42772D2B8}" name="Y2011" dataCellStyle="Normal 4"/>
    <tableColumn id="23" xr3:uid="{832B3425-9868-4AF1-8CFD-754ABC501031}" name="Y2012" dataCellStyle="Normal 4"/>
    <tableColumn id="24" xr3:uid="{465AA7F6-CC68-4154-84EA-DAEFFEB519E2}" name="Y2013" dataCellStyle="Normal 4"/>
    <tableColumn id="25" xr3:uid="{7E98A11F-8E69-49C4-BD1A-DB3DB5127CFE}" name="Y2014" dataCellStyle="Normal 4"/>
    <tableColumn id="26" xr3:uid="{4AD856CA-FCB9-4376-91FA-6A46F7834829}" name="Y2015" dataCellStyle="Normal 4"/>
    <tableColumn id="27" xr3:uid="{F6454743-65E4-46FA-B96C-DCD89582A24F}" name="Y2016" dataCellStyle="Normal 4"/>
    <tableColumn id="28" xr3:uid="{C95D0511-66F8-460F-A3B5-F3975774F61E}" name="Y2017" dataCellStyle="Normal 4"/>
    <tableColumn id="29" xr3:uid="{7F0F4F18-EEBA-4668-B2DB-8799C7F3B218}" name="Y2018" dataCellStyle="Normal 4"/>
  </tableColumns>
  <tableStyleInfo name="TableStyleMedium2"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9A305C78-D4BA-4D2D-B3A5-AD481878723D}" name="Table20" displayName="Table20" ref="A12:AD18" totalsRowShown="0" headerRowCellStyle="Normal 4" dataCellStyle="Normal 4">
  <autoFilter ref="A12:AD18" xr:uid="{CAF0EC6D-B93F-451D-BC16-42CD98BAFD17}"/>
  <tableColumns count="30">
    <tableColumn id="1" xr3:uid="{5EBEF51D-7675-4CB2-ABE8-88D2826F2ECA}" name="Column1" dataCellStyle="Normal 4"/>
    <tableColumn id="2" xr3:uid="{7B4C5DD6-0AFC-47D7-8696-9D47891B558D}" name="Column2" dataCellStyle="Normal 4"/>
    <tableColumn id="3" xr3:uid="{2C5D8E6C-F50E-4302-BE5C-E8890B5C82AA}" name="Column3" dataCellStyle="Normal 4"/>
    <tableColumn id="4" xr3:uid="{4575B35A-86F5-4B05-A012-2C67AE4F2ACB}" name="Column4" dataCellStyle="Normal 4"/>
    <tableColumn id="5" xr3:uid="{BFE8FBC9-CB92-4C3F-9A47-D475DC3EE7A3}" name="Column5" dataCellStyle="Normal 4"/>
    <tableColumn id="6" xr3:uid="{2EE19FCB-3C83-4012-854E-2F514EDC8488}" name="Column6" dataCellStyle="Normal 4"/>
    <tableColumn id="7" xr3:uid="{C695B8AD-BA10-4FC2-A8C5-D2F312F0E646}" name="Column7" dataCellStyle="Normal 4"/>
    <tableColumn id="8" xr3:uid="{FD616641-5110-4CC7-8174-4A7003F473DB}" name="Column8" dataCellStyle="Normal 4"/>
    <tableColumn id="9" xr3:uid="{FAB91F5C-AB79-4A8A-A047-41BF8972046F}" name="Column9" dataCellStyle="Normal 4"/>
    <tableColumn id="10" xr3:uid="{8AD87ACD-6E1E-4C1E-8915-6C2C70DD3087}" name="Column10" dataCellStyle="Normal 4"/>
    <tableColumn id="11" xr3:uid="{C7C434B6-228D-49B2-A413-036AAC2D6E32}" name="Column11" dataCellStyle="Normal 4"/>
    <tableColumn id="12" xr3:uid="{5CF00309-4613-4711-802D-E1B80E1638AA}" name="Column12" dataCellStyle="Normal 4"/>
    <tableColumn id="13" xr3:uid="{14B84FC1-22AE-44C5-B533-672CDE0F0306}" name="Column13" dataCellStyle="Normal 4"/>
    <tableColumn id="14" xr3:uid="{6A6BEA44-1C4D-4F53-94AA-62B6FEB29FB0}" name="Column14" dataCellStyle="Normal 4"/>
    <tableColumn id="15" xr3:uid="{31247D21-2373-44EF-87E3-E0CC35F1E0D6}" name="Column15" dataCellStyle="Normal 4"/>
    <tableColumn id="16" xr3:uid="{C19CBED8-A7C8-478A-B726-3AE11CE10C32}" name="Column16" dataCellStyle="Normal 4"/>
    <tableColumn id="17" xr3:uid="{BA07835B-1B86-47F5-BF85-2D6A426FC158}" name="Column17" dataCellStyle="Normal 4"/>
    <tableColumn id="18" xr3:uid="{9F7B54E1-7A12-4A98-8614-C93A06FEBB6A}" name="Column18" dataCellStyle="Normal 4"/>
    <tableColumn id="19" xr3:uid="{61B020DF-EF59-40D4-B405-5D6FA5B6693A}" name="Column19" dataCellStyle="Normal 4"/>
    <tableColumn id="20" xr3:uid="{0AE6D88C-2AEF-458C-B205-E1346F365465}" name="Column20" dataCellStyle="Normal 4"/>
    <tableColumn id="21" xr3:uid="{8EAF7192-325F-441E-958B-06CE7984F9BE}" name="Column21" dataCellStyle="Normal 4"/>
    <tableColumn id="22" xr3:uid="{43E64456-4DDC-4986-BC33-77827F7D78F2}" name="Column22" dataCellStyle="Normal 4"/>
    <tableColumn id="23" xr3:uid="{148A2A03-C428-4456-B17B-1DF0BC6240EF}" name="Column23" dataCellStyle="Normal 4"/>
    <tableColumn id="24" xr3:uid="{5684481A-BAE4-4E29-B3FC-447169F832E0}" name="Column24" dataCellStyle="Normal 4"/>
    <tableColumn id="25" xr3:uid="{AB79CB29-5991-43C8-9CF7-5C1F60808C2F}" name="Column25" dataCellStyle="Normal 4"/>
    <tableColumn id="26" xr3:uid="{9AD7E9E3-D09C-4C60-98AD-23524388E6B9}" name="Column26" dataCellStyle="Normal 4"/>
    <tableColumn id="27" xr3:uid="{8BFC1456-A459-4653-91A5-390A42615763}" name="Column27" dataCellStyle="Normal 4"/>
    <tableColumn id="28" xr3:uid="{B488D0E5-64BC-451F-AEE3-A4019E9DCC46}" name="Column28" dataCellStyle="Normal 4"/>
    <tableColumn id="29" xr3:uid="{6FD563BE-C14B-4862-9C00-36AC8CC36527}" name="Column29" dataCellStyle="Normal 4"/>
    <tableColumn id="30" xr3:uid="{E66A8296-4A83-4F25-955D-290AB4A2CB95}" name="Column30" dataCellStyle="Normal 4"/>
  </tableColumns>
  <tableStyleInfo name="TableStyleMedium2"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82EE5087-54B7-4882-9B51-E68D35687E0B}" name="Table21" displayName="Table21" ref="A20:AD28" totalsRowShown="0" headerRowCellStyle="Normal 4" dataCellStyle="Normal 4">
  <autoFilter ref="A20:AD28" xr:uid="{230EFF77-D281-4D50-A801-5D0A7FDE796D}"/>
  <tableColumns count="30">
    <tableColumn id="1" xr3:uid="{A2EE6335-08AB-43DB-83DD-CB155D3985A3}" name="Column1" dataCellStyle="Normal 4"/>
    <tableColumn id="2" xr3:uid="{429453A0-92E1-49B1-8DA1-1848D405FBFD}" name="Column2" dataCellStyle="Normal 4"/>
    <tableColumn id="3" xr3:uid="{16B9D771-D6B9-4C74-AD73-562DD0D34EFB}" name="Column3" dataCellStyle="Normal 4"/>
    <tableColumn id="4" xr3:uid="{B541C39D-AC99-4D24-8034-EEB0346B5FF1}" name="Column4" dataCellStyle="Normal 4"/>
    <tableColumn id="5" xr3:uid="{FDBCF3ED-04A9-4B21-9275-C6DEA8512051}" name="Column5" dataCellStyle="Normal 4"/>
    <tableColumn id="6" xr3:uid="{E54A9C45-2D10-4594-A7D3-1FEF17E2CC56}" name="Column6" dataCellStyle="Normal 4"/>
    <tableColumn id="7" xr3:uid="{F1D12C2E-2F4E-49D4-AB3A-246D40927D0F}" name="Column7" dataCellStyle="Normal 4"/>
    <tableColumn id="8" xr3:uid="{40E8080A-B4D7-48FA-90D9-952F08E87249}" name="Column8" dataCellStyle="Normal 4"/>
    <tableColumn id="9" xr3:uid="{82FA79DB-C888-4149-BC56-1DA24EF9DCFA}" name="Column9" dataCellStyle="Normal 4"/>
    <tableColumn id="10" xr3:uid="{6C85752A-C312-410F-BEDB-D19BC69DB576}" name="Column10" dataCellStyle="Normal 4"/>
    <tableColumn id="11" xr3:uid="{07F1A7FF-B3B0-4997-8232-1246A879B2B7}" name="Column11" dataCellStyle="Normal 4"/>
    <tableColumn id="12" xr3:uid="{AF25F712-EC81-458F-A682-97846AD2620E}" name="Column12" dataCellStyle="Normal 4"/>
    <tableColumn id="13" xr3:uid="{20875BCA-D0E1-42C2-9493-93CC100639EC}" name="Column13" dataCellStyle="Normal 4"/>
    <tableColumn id="14" xr3:uid="{E94329CC-0883-4E97-AB2C-ED7D4F96F749}" name="Column14" dataCellStyle="Normal 4"/>
    <tableColumn id="15" xr3:uid="{C27E29A3-2564-4B60-A7F3-71143B2D14A0}" name="Column15" dataCellStyle="Normal 4"/>
    <tableColumn id="16" xr3:uid="{AC88B680-BD52-43FF-931D-46FE349E2C2B}" name="Column16" dataCellStyle="Normal 4"/>
    <tableColumn id="17" xr3:uid="{86FD093F-9215-48B6-98B1-D50528CD3033}" name="Column17" dataCellStyle="Normal 4"/>
    <tableColumn id="18" xr3:uid="{F3643E54-9EBD-491F-B5BB-56B31C90A432}" name="Column18" dataCellStyle="Normal 4"/>
    <tableColumn id="19" xr3:uid="{0D7EF7E5-AED0-4509-B341-FB7CDB107965}" name="Column19" dataCellStyle="Normal 4"/>
    <tableColumn id="20" xr3:uid="{AEA950CE-A4E3-4933-8522-A8633BB5049E}" name="Column20" dataCellStyle="Normal 4"/>
    <tableColumn id="21" xr3:uid="{941215B1-AC12-4A0F-ACA2-18E7B0F7E63E}" name="Column21" dataCellStyle="Normal 4"/>
    <tableColumn id="22" xr3:uid="{5428B706-337D-4807-A9E5-F8778E78055D}" name="Column22" dataCellStyle="Normal 4"/>
    <tableColumn id="23" xr3:uid="{7ED9D07B-1E7F-4C98-A00F-37170A589CF6}" name="Column23" dataCellStyle="Normal 4"/>
    <tableColumn id="24" xr3:uid="{A48E5C9B-45C6-4359-AC5A-36D882D4C68F}" name="Column24" dataCellStyle="Normal 4"/>
    <tableColumn id="25" xr3:uid="{668112AF-2B27-4AF6-B1A6-24B82D115387}" name="Column25" dataCellStyle="Normal 4"/>
    <tableColumn id="26" xr3:uid="{F2055DB9-6ADF-4856-B6D6-5DF7858F870A}" name="Column26" dataCellStyle="Normal 4"/>
    <tableColumn id="27" xr3:uid="{6B78534D-A07E-42DF-B3FA-D6167A0A3818}" name="Column27" dataCellStyle="Normal 4"/>
    <tableColumn id="28" xr3:uid="{65A4DBA6-5ED4-4858-87F3-87E58391A988}" name="Column28" dataCellStyle="Normal 4"/>
    <tableColumn id="29" xr3:uid="{A17EE403-4B83-43CF-B630-1A0F0BA3D3CE}" name="Column29" dataCellStyle="Normal 4"/>
    <tableColumn id="30" xr3:uid="{F9CDEAC6-0AB5-44DF-B2A0-04A9B74FA8A1}" name="Column30" dataCellStyle="Normal 4"/>
  </tableColumns>
  <tableStyleInfo name="TableStyleMedium2"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C99D04E4-5CD9-4864-A221-827EB0966975}" name="Table22" displayName="Table22" ref="A30:AD35" totalsRowCount="1" headerRowCellStyle="Normal 4" dataCellStyle="Normal 4">
  <autoFilter ref="A30:AD34" xr:uid="{EE0C9E57-63BA-4CB8-AB74-EEF99124F37D}"/>
  <tableColumns count="30">
    <tableColumn id="1" xr3:uid="{0C325B20-C875-41B4-AAF3-65C8A10F67DB}" name="Column1" totalsRowDxfId="29" dataCellStyle="Normal 4" totalsRowCellStyle="Normal 4"/>
    <tableColumn id="2" xr3:uid="{BAC6EB7D-20A6-4E4C-9D4E-B435DF2A4126}" name="Column2" totalsRowDxfId="28" dataCellStyle="Normal 4" totalsRowCellStyle="Normal 4"/>
    <tableColumn id="3" xr3:uid="{E7B9142D-D722-4DAF-9EEB-A8FD3A3CB959}" name="Column3" totalsRowDxfId="27" dataCellStyle="Normal 4" totalsRowCellStyle="Normal 4"/>
    <tableColumn id="4" xr3:uid="{369F63B6-141B-43A4-B531-5192894E997C}" name="Column4" totalsRowDxfId="26" dataCellStyle="Normal 4" totalsRowCellStyle="Normal 4"/>
    <tableColumn id="5" xr3:uid="{94868244-CCFE-4011-9109-15C9CE9E049D}" name="Column5" totalsRowDxfId="25" dataCellStyle="Normal 4" totalsRowCellStyle="Normal 4"/>
    <tableColumn id="6" xr3:uid="{71737FF7-2736-4FA6-B15D-10E7BF51C626}" name="Column6" totalsRowDxfId="24" dataCellStyle="Normal 4" totalsRowCellStyle="Normal 4"/>
    <tableColumn id="7" xr3:uid="{3F918C67-E9F3-4DC6-B7E7-5FF81CD9A74D}" name="Column7" totalsRowDxfId="23" dataCellStyle="Normal 4" totalsRowCellStyle="Normal 4"/>
    <tableColumn id="8" xr3:uid="{A353BAE0-89CD-4609-A9EA-DD56297D0B2C}" name="Column8" totalsRowDxfId="22" dataCellStyle="Normal 4" totalsRowCellStyle="Normal 4"/>
    <tableColumn id="9" xr3:uid="{97287E9B-52A7-4924-9FDF-DD53D4D135DE}" name="Column9" totalsRowDxfId="21" dataCellStyle="Normal 4" totalsRowCellStyle="Normal 4"/>
    <tableColumn id="10" xr3:uid="{71291AFC-439C-48C8-B356-1ABA13324EA7}" name="Column10" totalsRowDxfId="20" dataCellStyle="Normal 4" totalsRowCellStyle="Normal 4"/>
    <tableColumn id="11" xr3:uid="{572734EE-2DB2-41BF-B8CC-19DE4DC13EE6}" name="Column11" totalsRowDxfId="19" dataCellStyle="Normal 4" totalsRowCellStyle="Normal 4"/>
    <tableColumn id="12" xr3:uid="{83247D60-28CC-4024-9954-E400914AFC82}" name="Column12" totalsRowDxfId="18" dataCellStyle="Normal 4" totalsRowCellStyle="Normal 4"/>
    <tableColumn id="13" xr3:uid="{78CAEE6E-5196-42FD-8113-DE123CF65F71}" name="Column13" totalsRowDxfId="17" dataCellStyle="Normal 4" totalsRowCellStyle="Normal 4"/>
    <tableColumn id="14" xr3:uid="{B8829C05-317E-4DBC-8C39-901245E33CEB}" name="Column14" totalsRowDxfId="16" dataCellStyle="Normal 4" totalsRowCellStyle="Normal 4"/>
    <tableColumn id="15" xr3:uid="{6ED05E9A-60C4-4A4E-BC6D-137101EF13C3}" name="Column15" totalsRowDxfId="15" dataCellStyle="Normal 4" totalsRowCellStyle="Normal 4"/>
    <tableColumn id="16" xr3:uid="{2654A8D7-7F2C-4A47-99C4-5C9E0F021727}" name="Column16" totalsRowDxfId="14" dataCellStyle="Normal 4" totalsRowCellStyle="Normal 4"/>
    <tableColumn id="17" xr3:uid="{84F3850E-126A-4A15-AB6A-49C948176E0B}" name="Column17" totalsRowDxfId="13" dataCellStyle="Normal 4" totalsRowCellStyle="Normal 4"/>
    <tableColumn id="18" xr3:uid="{82D6F65C-B5EF-439E-A925-05E440A2C538}" name="Column18" totalsRowDxfId="12" dataCellStyle="Normal 4" totalsRowCellStyle="Normal 4"/>
    <tableColumn id="19" xr3:uid="{D10100FD-B035-47BC-A43E-8A5DA3D5F597}" name="Column19" totalsRowDxfId="11" dataCellStyle="Normal 4" totalsRowCellStyle="Normal 4"/>
    <tableColumn id="20" xr3:uid="{00250939-F35F-4C7F-9079-933B07E03CA7}" name="Column20" totalsRowDxfId="10" dataCellStyle="Normal 4" totalsRowCellStyle="Normal 4"/>
    <tableColumn id="21" xr3:uid="{CE3B83FF-E111-4B25-821C-E049CAEFB589}" name="Column21" totalsRowDxfId="9" dataCellStyle="Normal 4" totalsRowCellStyle="Normal 4"/>
    <tableColumn id="22" xr3:uid="{B8DBAE04-8D06-40D1-A120-C8FA4E5CEC44}" name="Column22" totalsRowDxfId="8" dataCellStyle="Normal 4" totalsRowCellStyle="Normal 4"/>
    <tableColumn id="23" xr3:uid="{9D5130FE-29F1-41A5-8A54-41718DE2772C}" name="Column23" totalsRowDxfId="7" dataCellStyle="Normal 4" totalsRowCellStyle="Normal 4"/>
    <tableColumn id="24" xr3:uid="{64DEDB69-ADDD-4D53-98C9-E248719C1855}" name="Column24" totalsRowDxfId="6" dataCellStyle="Normal 4" totalsRowCellStyle="Normal 4"/>
    <tableColumn id="25" xr3:uid="{3618221D-90D3-465E-8480-809A68A929C4}" name="Column25" totalsRowDxfId="5" dataCellStyle="Normal 4" totalsRowCellStyle="Normal 4"/>
    <tableColumn id="26" xr3:uid="{22F61A2E-A45D-4653-B22D-F21E4C023BF8}" name="Column26" totalsRowDxfId="4" dataCellStyle="Normal 4" totalsRowCellStyle="Normal 4"/>
    <tableColumn id="27" xr3:uid="{3CB2BF68-156A-4173-9F2C-CABD1DE18FA1}" name="Column27" totalsRowDxfId="3" dataCellStyle="Normal 4" totalsRowCellStyle="Normal 4"/>
    <tableColumn id="28" xr3:uid="{5777687D-B3C8-42F7-94E8-92222D8A1356}" name="Column28" totalsRowDxfId="2" dataCellStyle="Normal 4" totalsRowCellStyle="Normal 4"/>
    <tableColumn id="29" xr3:uid="{22E44FDE-3F46-4C1C-AC8C-560F9E97BEA7}" name="Column29" totalsRowDxfId="1" dataCellStyle="Normal 4" totalsRowCellStyle="Normal 4"/>
    <tableColumn id="30" xr3:uid="{7E33C665-EC6B-49C7-A073-66CD2C0E87C7}" name="Column30" totalsRowFunction="custom" totalsRowDxfId="0" dataCellStyle="Normal 4" totalsRowCellStyle="Normal 4">
      <totalsRowFormula>AVERAGE(AD31:AD34)</totalsRowFormula>
    </tableColumn>
  </tableColumns>
  <tableStyleInfo name="TableStyleMedium2"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F30E6926-FD66-44C4-8603-BEE6FBDDD885}" name="Table23" displayName="Table23" ref="A38:AD42" totalsRowShown="0" headerRowCellStyle="Normal 4" dataCellStyle="Normal 4">
  <autoFilter ref="A38:AD42" xr:uid="{B02F09B5-6A66-47AE-BA3C-4AE30334188B}"/>
  <tableColumns count="30">
    <tableColumn id="1" xr3:uid="{7646D689-AAFE-4EAE-988D-041B15B771F3}" name="Column1" dataCellStyle="Normal 4"/>
    <tableColumn id="2" xr3:uid="{FEA1702D-F023-4D1C-82B1-BAF3518765B9}" name="Column2" dataCellStyle="Normal 4"/>
    <tableColumn id="3" xr3:uid="{C62B017E-E80C-4B9B-A0BD-9EF9054E9D3A}" name="Column3" dataCellStyle="Normal 4"/>
    <tableColumn id="4" xr3:uid="{0307C0D0-5EF8-41DF-9F2B-2929AC1A6538}" name="Column4" dataCellStyle="Normal 4"/>
    <tableColumn id="5" xr3:uid="{E55D779B-6665-4144-882F-3A67C6BD08F4}" name="Column5" dataCellStyle="Normal 4"/>
    <tableColumn id="6" xr3:uid="{8A860C8D-007D-4C12-9E7F-23820E9CAA79}" name="Column6" dataCellStyle="Normal 4"/>
    <tableColumn id="7" xr3:uid="{AEBC6A62-2351-4CAA-B901-F36742964F9D}" name="Column7" dataCellStyle="Normal 4"/>
    <tableColumn id="8" xr3:uid="{C00EF617-A731-40AE-B739-A5A569CABF2A}" name="Column8" dataCellStyle="Normal 4"/>
    <tableColumn id="9" xr3:uid="{ED30DFEE-7E59-4657-8780-B64C558A1499}" name="Column9" dataCellStyle="Normal 4"/>
    <tableColumn id="10" xr3:uid="{F5CB767B-02A3-4BB8-969D-D7F8C61E1097}" name="Column10" dataCellStyle="Normal 4"/>
    <tableColumn id="11" xr3:uid="{FE0BB611-5D12-4002-B10C-DF7E5888CF55}" name="Column11" dataCellStyle="Normal 4"/>
    <tableColumn id="12" xr3:uid="{CEF82FB6-47F1-498E-84C5-C33140AFB63D}" name="Column12" dataCellStyle="Normal 4"/>
    <tableColumn id="13" xr3:uid="{61B381A8-26DB-4A7E-ABA0-CCBD04BCE424}" name="Column13" dataCellStyle="Normal 4"/>
    <tableColumn id="14" xr3:uid="{0143603E-88BA-4AAA-9A13-15D5653CD1C4}" name="Column14" dataCellStyle="Normal 4"/>
    <tableColumn id="15" xr3:uid="{2D6DF336-AE81-4A71-91D2-682DBF7B3F0E}" name="Column15" dataCellStyle="Normal 4"/>
    <tableColumn id="16" xr3:uid="{A4F0C2DE-AA33-4BFD-9208-9AF064C69BD9}" name="Column16" dataCellStyle="Normal 4"/>
    <tableColumn id="17" xr3:uid="{4DDCF31D-E8B6-4E85-87C2-6FF934261115}" name="Column17" dataCellStyle="Normal 4"/>
    <tableColumn id="18" xr3:uid="{BF6351D5-B436-4721-A424-665EB53115D2}" name="Column18" dataCellStyle="Normal 4"/>
    <tableColumn id="19" xr3:uid="{5731E0CB-26D7-4B2A-9627-F1534D53A812}" name="Column19" dataCellStyle="Normal 4"/>
    <tableColumn id="20" xr3:uid="{32D30168-6F6C-41BA-ACF7-B4CF26263284}" name="Column20" dataCellStyle="Normal 4"/>
    <tableColumn id="21" xr3:uid="{F7519E5A-A677-4A36-8F47-9662B28794BB}" name="Column21" dataCellStyle="Normal 4"/>
    <tableColumn id="22" xr3:uid="{851B998D-EE36-4F27-91A2-88B2E20E229B}" name="Column22" dataCellStyle="Normal 4"/>
    <tableColumn id="23" xr3:uid="{5F1F32E3-E106-43FC-A7A3-E6E6D5DDFC46}" name="Column23" dataCellStyle="Normal 4"/>
    <tableColumn id="24" xr3:uid="{8B3377CB-7A5E-4397-A3A6-E9C46B61B9A4}" name="Column24" dataCellStyle="Normal 4"/>
    <tableColumn id="25" xr3:uid="{44D68BE4-A59D-46DE-9F26-B6A0311A8A61}" name="Column25" dataCellStyle="Normal 4"/>
    <tableColumn id="26" xr3:uid="{20BC5DF8-B468-4200-994C-1BFBE36B0765}" name="Column26" dataCellStyle="Normal 4"/>
    <tableColumn id="27" xr3:uid="{3CD06CEA-AD7F-431E-98FA-8C1D276F02FC}" name="Column27" dataCellStyle="Normal 4"/>
    <tableColumn id="28" xr3:uid="{EE8CAD30-A422-4881-8339-BF9709190304}" name="Column28" dataCellStyle="Normal 4"/>
    <tableColumn id="29" xr3:uid="{A03F9DB9-C436-4464-AA83-0A0BB8B888F7}" name="Column29" dataCellStyle="Normal 4"/>
    <tableColumn id="30" xr3:uid="{8E78446A-B1B7-403E-B969-CA404FC6202B}" name="Column30" dataCellStyle="Normal 4"/>
  </tableColumns>
  <tableStyleInfo name="TableStyleMedium2"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E5E4126E-EADB-4E66-83CF-C3422E88D35A}" name="Table24" displayName="Table24" ref="A1:AI11" totalsRowShown="0" headerRowCellStyle="Normal 4" dataCellStyle="Normal 4">
  <autoFilter ref="A1:AI11" xr:uid="{ECF8BA5C-3237-488A-AF8A-A3F171B90DA4}"/>
  <tableColumns count="35">
    <tableColumn id="1" xr3:uid="{1A604AEB-8071-4EA1-A839-2EFFDC97C904}" name="Area" dataCellStyle="Normal 4"/>
    <tableColumn id="2" xr3:uid="{A1E97639-2557-42C1-AA29-77FDB4BC6C81}" name="Item" dataCellStyle="Normal 4"/>
    <tableColumn id="3" xr3:uid="{4A7978B3-1F4D-4239-B7C7-FF5522E22A2B}" name="Group" dataCellStyle="Normal 4"/>
    <tableColumn id="4" xr3:uid="{F51C3918-65EB-464F-99C5-2A578C8171D3}" name="Element" dataCellStyle="Normal 4"/>
    <tableColumn id="5" xr3:uid="{64F6375E-D6EC-49C0-8A04-3B4F69625FD0}" name="Unit" dataCellStyle="Normal 4"/>
    <tableColumn id="6" xr3:uid="{CEE522DA-63B4-4D43-BD8E-9511B3D0DDBF}" name="Y1990" dataCellStyle="Normal 4"/>
    <tableColumn id="7" xr3:uid="{371BE35D-6EF1-4145-A4EC-ADF8A80CA66E}" name="Y1991" dataCellStyle="Normal 4"/>
    <tableColumn id="8" xr3:uid="{70919E9F-52B8-4A15-8429-B257D4E602EB}" name="Y1992" dataCellStyle="Normal 4"/>
    <tableColumn id="9" xr3:uid="{BCD9CF62-EB22-4623-BE7F-FDBD22AD31B5}" name="Y1993" dataCellStyle="Normal 4"/>
    <tableColumn id="10" xr3:uid="{95933231-6345-4DF0-8F4C-BB5CB160FD4A}" name="Y1994" dataCellStyle="Normal 4"/>
    <tableColumn id="11" xr3:uid="{17391C59-626C-4A06-BE76-A1919CEBB608}" name="Y1995" dataCellStyle="Normal 4"/>
    <tableColumn id="12" xr3:uid="{D4CDF7B4-3EE8-4B47-9748-F2A6DD1ECA73}" name="Y1996" dataCellStyle="Normal 4"/>
    <tableColumn id="13" xr3:uid="{03E731EC-8B15-4A00-8370-AFC254D43916}" name="Y1997" dataCellStyle="Normal 4"/>
    <tableColumn id="14" xr3:uid="{7582AD70-F34E-4301-B06F-FE2F45CC9522}" name="Y1998" dataCellStyle="Normal 4"/>
    <tableColumn id="15" xr3:uid="{CD5389D9-5A10-499E-9BF9-337D7300B4FC}" name="Y1999" dataCellStyle="Normal 4"/>
    <tableColumn id="16" xr3:uid="{8D67D194-994D-4267-A10E-07AD743C5126}" name="Y2000" dataCellStyle="Normal 4"/>
    <tableColumn id="17" xr3:uid="{C57E8D3E-C691-48D2-992B-281503308334}" name="Y2001" dataCellStyle="Normal 4"/>
    <tableColumn id="18" xr3:uid="{9CA054CB-28F4-428A-8756-1542C04E30D0}" name="Y2002" dataCellStyle="Normal 4"/>
    <tableColumn id="19" xr3:uid="{EDF9C368-14DF-4799-A745-230C6C7F7D20}" name="Y2003" dataCellStyle="Normal 4"/>
    <tableColumn id="20" xr3:uid="{A21E620E-45D1-4898-A5EE-6C324C4DEDC6}" name="Y2004" dataCellStyle="Normal 4"/>
    <tableColumn id="21" xr3:uid="{7CEED986-8B50-4F95-B364-6656A42DFA0B}" name="Y2005" dataCellStyle="Normal 4"/>
    <tableColumn id="22" xr3:uid="{1CE748F1-36D6-4AB3-8249-528D51F72F39}" name="Y2006" dataCellStyle="Normal 4"/>
    <tableColumn id="23" xr3:uid="{24A6C410-0939-4116-BC02-E74B57A65EC3}" name="Y2007" dataCellStyle="Normal 4"/>
    <tableColumn id="24" xr3:uid="{B46DBC84-3A67-4B72-9D4A-A2CEAD367538}" name="Y2008" dataCellStyle="Normal 4"/>
    <tableColumn id="25" xr3:uid="{70C0DFF4-15C3-4F94-8B52-BBBEF0A797C6}" name="Y2009" dataCellStyle="Normal 4"/>
    <tableColumn id="26" xr3:uid="{77616287-7B11-4538-88BD-82740E154618}" name="Y2010" dataCellStyle="Normal 4"/>
    <tableColumn id="27" xr3:uid="{73B67DC0-52F5-4DBE-ABBE-065C739C3A2B}" name="Y2011" dataCellStyle="Normal 4"/>
    <tableColumn id="28" xr3:uid="{C233CE21-DB15-427B-ABA2-0C0EB075EA80}" name="Y2012" dataCellStyle="Normal 4"/>
    <tableColumn id="29" xr3:uid="{DE45AA32-FE61-43A0-AF55-FA3F0E4F8742}" name="Y2013" dataCellStyle="Normal 4"/>
    <tableColumn id="30" xr3:uid="{9CC76DA6-DC2A-4C7D-BC2E-B1039153132F}" name="Y2014" dataCellStyle="Normal 4"/>
    <tableColumn id="31" xr3:uid="{94C44BFD-30BA-4AC6-99B4-933499112B40}" name="Y2015" dataCellStyle="Normal 4"/>
    <tableColumn id="32" xr3:uid="{D91781AC-CAE4-48BF-8FD0-43D7A08637CE}" name="Y2016" dataCellStyle="Normal 4"/>
    <tableColumn id="33" xr3:uid="{9CA0959D-EBAA-4FC8-A6DE-04380AE35188}" name="Y2017" dataCellStyle="Normal 4"/>
    <tableColumn id="34" xr3:uid="{DFE0B870-31B7-419F-95FD-C53673092ADE}" name="Y2018" dataCellStyle="Normal 4"/>
    <tableColumn id="35" xr3:uid="{E6613560-F60B-413B-AE5E-DAB4B7F8ADA3}" name="Column1" dataCellStyle="Normal 4"/>
  </tableColumns>
  <tableStyleInfo name="TableStyleMedium2"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162147CA-D217-447D-8F82-60B326E98603}" name="Table25" displayName="Table25" ref="A15:AI20" totalsRowShown="0" headerRowCellStyle="Normal 4" dataCellStyle="Normal 4">
  <autoFilter ref="A15:AI20" xr:uid="{433054EA-2A46-4B4E-952A-9D3FCE175056}"/>
  <tableColumns count="35">
    <tableColumn id="1" xr3:uid="{DBE48C54-605F-4E3F-85E4-C9461654F3B7}" name="Column1" dataCellStyle="Normal 4"/>
    <tableColumn id="2" xr3:uid="{43D48827-8FA2-454C-9C97-D0303CFBA842}" name="Column2" dataCellStyle="Normal 4"/>
    <tableColumn id="3" xr3:uid="{FDD8AFC9-4A52-46F3-8519-7CACB7EBFF95}" name="Column3" dataCellStyle="Normal 4"/>
    <tableColumn id="4" xr3:uid="{31E908E6-559D-4CB0-BB87-1168504A742C}" name="Column4" dataCellStyle="Normal 4"/>
    <tableColumn id="5" xr3:uid="{FEF5909E-AD1C-4D56-A22E-3B2F3B0B349B}" name="Column5" dataCellStyle="Normal 4"/>
    <tableColumn id="6" xr3:uid="{408005E9-FE53-405E-8452-66BEB273CAFD}" name="Column6" dataCellStyle="Normal 4"/>
    <tableColumn id="7" xr3:uid="{143F495D-D22A-473D-9D59-64C486C7E582}" name="Column7" dataCellStyle="Normal 4"/>
    <tableColumn id="8" xr3:uid="{6640F39B-7039-4509-84CB-C704BC0CE7D7}" name="Column8" dataCellStyle="Normal 4"/>
    <tableColumn id="9" xr3:uid="{429CE11A-483D-423B-9212-2A8AD0CAF28F}" name="Column9" dataCellStyle="Normal 4"/>
    <tableColumn id="10" xr3:uid="{886054AA-AB94-4BBB-9180-EDB40AE665FD}" name="Column10" dataCellStyle="Normal 4"/>
    <tableColumn id="11" xr3:uid="{E098716D-FF3B-47D0-ABFA-E94C26DED273}" name="Column11" dataCellStyle="Normal 4"/>
    <tableColumn id="12" xr3:uid="{FCF2BFCE-D928-446B-BD84-6FD5306B3B6B}" name="Column12" dataCellStyle="Normal 4"/>
    <tableColumn id="13" xr3:uid="{7C406F85-A7B3-426A-80E6-CB25D2C4EE84}" name="Column13" dataCellStyle="Normal 4"/>
    <tableColumn id="14" xr3:uid="{D16686E1-31E0-47BB-B778-37E155F85D7A}" name="Column14" dataCellStyle="Normal 4"/>
    <tableColumn id="15" xr3:uid="{A7BEF6AF-208F-497C-A33C-156C380EBB27}" name="Column15" dataCellStyle="Normal 4"/>
    <tableColumn id="16" xr3:uid="{79B2324E-A362-4AEC-9382-5E2998B584BB}" name="Column16" dataCellStyle="Normal 4"/>
    <tableColumn id="17" xr3:uid="{37DCA163-AD7F-403B-B70D-5E80BA6401C3}" name="Column17" dataCellStyle="Normal 4"/>
    <tableColumn id="18" xr3:uid="{C835EF85-7D97-4F6F-ACCE-B9E8121EBD22}" name="Column18" dataCellStyle="Normal 4"/>
    <tableColumn id="19" xr3:uid="{F69810F7-1FB7-40D8-978B-43185FF4A198}" name="Column19" dataCellStyle="Normal 4"/>
    <tableColumn id="20" xr3:uid="{459E32A7-14D1-4827-88A3-B7B4972036E3}" name="Column20" dataCellStyle="Normal 4"/>
    <tableColumn id="21" xr3:uid="{281DA50E-D41D-4F56-8B49-2A2144890D89}" name="Column21" dataCellStyle="Normal 4"/>
    <tableColumn id="22" xr3:uid="{593A4372-5797-4221-9471-33E45BBDC97F}" name="Column22" dataCellStyle="Normal 4"/>
    <tableColumn id="23" xr3:uid="{F5A76994-BAAD-4EAC-A6FF-FB68548EB794}" name="Column23" dataCellStyle="Normal 4"/>
    <tableColumn id="24" xr3:uid="{2DCAEA70-61FB-41A7-ABCE-6A2454E7C067}" name="Column24" dataCellStyle="Normal 4"/>
    <tableColumn id="25" xr3:uid="{786B9A62-992A-4F22-B952-DBA9A24D59C7}" name="Column25" dataCellStyle="Normal 4"/>
    <tableColumn id="26" xr3:uid="{06AD8CA7-EDF8-4BFA-8006-601840460F92}" name="Column26" dataCellStyle="Normal 4"/>
    <tableColumn id="27" xr3:uid="{14421E6A-0F0B-423D-AC53-4024D7BFA15E}" name="Column27" dataCellStyle="Normal 4"/>
    <tableColumn id="28" xr3:uid="{105DA105-C6BE-43D5-B1E0-37BCCA6AAF58}" name="Column28" dataCellStyle="Normal 4"/>
    <tableColumn id="29" xr3:uid="{66637F7E-227E-4203-A36B-DC0DE36DC1A7}" name="Column29" dataCellStyle="Normal 4"/>
    <tableColumn id="30" xr3:uid="{8548C87A-F205-468D-8508-E42807AF9D33}" name="Column30" dataCellStyle="Normal 4"/>
    <tableColumn id="31" xr3:uid="{E9E2E3C7-A164-44DA-9A82-9DB18457BAA6}" name="Column31" dataCellStyle="Normal 4"/>
    <tableColumn id="32" xr3:uid="{EDB1C9B8-1562-42AD-A5E1-F3A168085519}" name="Column32" dataCellStyle="Normal 4"/>
    <tableColumn id="33" xr3:uid="{92CDFAA1-88E4-4306-99C4-2A00A29ADA21}" name="Column33" dataCellStyle="Normal 4"/>
    <tableColumn id="34" xr3:uid="{83CC64E4-27E5-4AE2-B039-B9559E975C4F}" name="Column34" dataCellStyle="Normal 4"/>
    <tableColumn id="35" xr3:uid="{E4851A5B-5744-4FCD-BA09-35D1A55D1AB3}" name="Column35" dataCellStyle="Normal 4"/>
  </tableColumns>
  <tableStyleInfo name="TableStyleMedium2"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28A81C0E-A3DE-4E99-821B-D7DDFAFA8893}" name="Table26" displayName="Table26" ref="A23:AI31" totalsRowShown="0" headerRowCellStyle="Normal 4" dataCellStyle="Normal 4">
  <autoFilter ref="A23:AI31" xr:uid="{34176A97-A79E-46BC-9977-0D6B715D9ADB}"/>
  <tableColumns count="35">
    <tableColumn id="1" xr3:uid="{1B4642AF-5BAA-4BA2-A6D4-52054F4C7AB7}" name="Column1" dataCellStyle="Normal 4"/>
    <tableColumn id="2" xr3:uid="{601BFDB5-CD26-4379-B0B6-F91567B3D916}" name="Column2" dataCellStyle="Normal 4"/>
    <tableColumn id="3" xr3:uid="{DA2A0EC3-EEE5-4541-AE74-13D7A4D8AE95}" name="Column3" dataCellStyle="Normal 4"/>
    <tableColumn id="4" xr3:uid="{5D757A3C-18B3-459D-9A3D-92A4B668A40D}" name="Column4" dataCellStyle="Normal 4"/>
    <tableColumn id="5" xr3:uid="{8425FB53-106F-41E8-9FC7-EB633DC9D6FA}" name="Column5" dataCellStyle="Normal 4"/>
    <tableColumn id="6" xr3:uid="{1520281B-4FB1-4182-990B-EF9402AD23DD}" name="Column6" dataCellStyle="Normal 4"/>
    <tableColumn id="7" xr3:uid="{29A58E8B-7489-46A2-AEE6-B1F0E28516C4}" name="Column7" dataCellStyle="Normal 4"/>
    <tableColumn id="8" xr3:uid="{EA7CDF2D-05EF-4056-9047-47A7CB34C8A6}" name="Column8" dataCellStyle="Normal 4"/>
    <tableColumn id="9" xr3:uid="{0EE0DEF6-AC6A-4AE0-B5FA-541ECB0F01A2}" name="Column9" dataCellStyle="Normal 4"/>
    <tableColumn id="10" xr3:uid="{19CF32D3-20C2-4C64-BC1D-31C037F59814}" name="Column10" dataCellStyle="Normal 4"/>
    <tableColumn id="11" xr3:uid="{5381D8DE-FF4B-4211-B2EE-E22A64DBB382}" name="Column11" dataCellStyle="Normal 4"/>
    <tableColumn id="12" xr3:uid="{BFE6F196-950A-4D9B-8D79-D106C31D3ADB}" name="Column12" dataCellStyle="Normal 4"/>
    <tableColumn id="13" xr3:uid="{9698A382-6F4F-4E62-AD3D-21E098A7EE76}" name="Column13" dataCellStyle="Normal 4"/>
    <tableColumn id="14" xr3:uid="{511DA50E-178B-4B85-A3D7-FBB88D59B40F}" name="Column14" dataCellStyle="Normal 4"/>
    <tableColumn id="15" xr3:uid="{A35C9AE6-BBE4-4E12-8D00-E11A973B26E4}" name="Column15" dataCellStyle="Normal 4"/>
    <tableColumn id="16" xr3:uid="{32CEAD7B-8C8A-40DB-BA7A-61F2C794C89F}" name="Column16" dataCellStyle="Normal 4"/>
    <tableColumn id="17" xr3:uid="{2A05F69A-8EF3-4586-95DA-774B91E03C5E}" name="Column17" dataCellStyle="Normal 4"/>
    <tableColumn id="18" xr3:uid="{8C83B4BC-0737-4AF3-B7D0-2046ECA67270}" name="Column18" dataCellStyle="Normal 4"/>
    <tableColumn id="19" xr3:uid="{5F04314A-22EB-4C7A-9E18-1D32D69B9AC2}" name="Column19" dataCellStyle="Normal 4"/>
    <tableColumn id="20" xr3:uid="{590A226C-2DDB-4DCD-985B-1C85EF5C6A0A}" name="Column20" dataCellStyle="Normal 4"/>
    <tableColumn id="21" xr3:uid="{EBB7B77E-3680-4639-AFBA-89B9C711E715}" name="Column21" dataCellStyle="Normal 4"/>
    <tableColumn id="22" xr3:uid="{3415AB39-207E-44A3-B9B6-3116F89D2FC1}" name="Column22" dataCellStyle="Normal 4"/>
    <tableColumn id="23" xr3:uid="{0092D9E3-7081-43D5-AB8D-C596F95030AB}" name="Column23" dataCellStyle="Normal 4"/>
    <tableColumn id="24" xr3:uid="{D92ECA5B-7A45-4F46-B645-6111C020B46D}" name="Column24" dataCellStyle="Normal 4"/>
    <tableColumn id="25" xr3:uid="{28C6A716-050B-444A-B3A2-3E188C7CDC2D}" name="Column25" dataCellStyle="Normal 4"/>
    <tableColumn id="26" xr3:uid="{254325FA-BAA6-449B-9ECA-5B207AF11634}" name="Column26" dataCellStyle="Normal 4"/>
    <tableColumn id="27" xr3:uid="{7162D23D-F607-47FC-B0AC-A73EE42E5012}" name="Column27" dataCellStyle="Normal 4"/>
    <tableColumn id="28" xr3:uid="{225F6E64-6B7B-486C-851C-E33B35D64C8F}" name="Column28" dataCellStyle="Normal 4"/>
    <tableColumn id="29" xr3:uid="{7EA83263-1842-4E8C-A669-657B60537416}" name="Column29" dataCellStyle="Normal 4"/>
    <tableColumn id="30" xr3:uid="{8099AE09-C0E9-4B0B-BB90-26C6C8496CCC}" name="Column30" dataCellStyle="Normal 4"/>
    <tableColumn id="31" xr3:uid="{344B8F4C-A1A2-49FB-90FB-1D310DACBE9C}" name="Column31" dataCellStyle="Normal 4"/>
    <tableColumn id="32" xr3:uid="{710F57EF-5D32-4707-A666-2AC0260999BB}" name="Column32" dataCellStyle="Normal 4"/>
    <tableColumn id="33" xr3:uid="{D2404CDB-6837-487E-88CA-1F44CA666365}" name="Column33" dataCellStyle="Normal 4"/>
    <tableColumn id="34" xr3:uid="{A39256B1-FBC6-4275-AFC3-5EB486F0E3C7}" name="Column34" dataCellStyle="Normal 4"/>
    <tableColumn id="35" xr3:uid="{99BB3EE5-CFED-4F58-B561-302780753365}" name="Column35" dataCellStyle="Normal 4"/>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2B47D44B-1C4F-402A-A35D-18E83425367F}" name="Table5" displayName="Table5" ref="B4:I9" totalsRowShown="0" headerRowDxfId="81" headerRowBorderDxfId="79" tableBorderDxfId="80" totalsRowBorderDxfId="78" headerRowCellStyle="Normal 4" dataCellStyle="Normal 4">
  <autoFilter ref="B4:I9" xr:uid="{3DBDF051-16BC-4252-B536-C1AFF0B01614}"/>
  <tableColumns count="8">
    <tableColumn id="1" xr3:uid="{C4B38443-390C-4816-9719-52D4D31E0743}" name="Pattern of use" dataDxfId="77" dataCellStyle="Normal 4"/>
    <tableColumn id="2" xr3:uid="{20851648-8D80-432D-B2A6-47C1D5C3A936}" name="Total Area Hectares (ha)" dataDxfId="76" dataCellStyle="Normal 4"/>
    <tableColumn id="3" xr3:uid="{53385154-4D97-466C-8AB7-599A8023391E}" name="Average Yield per hectare (kg/ha)" dataDxfId="75" dataCellStyle="Normal 4"/>
    <tableColumn id="4" xr3:uid="{59633402-02A8-4B60-9938-52C24834B91A}" name="Total Expected Yield per Year" dataDxfId="74" dataCellStyle="Normal 4"/>
    <tableColumn id="5" xr3:uid="{02B29672-3956-4E5C-A54C-C7034880943D}" name="Post Harvest Losses(%)" dataDxfId="73" dataCellStyle="Normal 4"/>
    <tableColumn id="6" xr3:uid="{91DE5A36-E09B-47E2-B16C-D2C4F34CC01E}" name="Expected Average Yield Available for Processing" dataDxfId="72" dataCellStyle="Normal 4"/>
    <tableColumn id="7" xr3:uid="{34580316-4E56-47E2-9C77-442A2B4A0EEF}" name="Average Energy Usage (Wh/kg/)" dataDxfId="71" dataCellStyle="Normal 4"/>
    <tableColumn id="10" xr3:uid="{1DA83238-C90D-43C1-850F-C06FF8A710C7}" name="Annual Energy Usage for Processing (KWh/kg/year)" dataDxfId="70" dataCellStyle="Comma"/>
  </tableColumns>
  <tableStyleInfo name="TableStyleMedium2"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FE956B9E-3A4F-4E43-BE61-17DF65A34B1E}" name="Table27" displayName="Table27" ref="A34:AI44" totalsRowShown="0" headerRowCellStyle="Normal 4" dataCellStyle="Normal 4">
  <autoFilter ref="A34:AI44" xr:uid="{367FC14A-AF97-4D67-91CB-4B8572EA9580}"/>
  <tableColumns count="35">
    <tableColumn id="1" xr3:uid="{7FF9E7A2-9338-4BC4-B6F6-30D0829EE606}" name="Column1" dataCellStyle="Normal 4"/>
    <tableColumn id="2" xr3:uid="{E307D6C6-46F0-4DAF-BBED-048F9D9A6566}" name="Column2" dataCellStyle="Normal 4"/>
    <tableColumn id="3" xr3:uid="{9FEEE686-E0D4-469D-B87C-5C57A197477E}" name="Column3" dataCellStyle="Normal 4"/>
    <tableColumn id="4" xr3:uid="{D920C6B1-A6A2-42BF-B7CC-99212E756C3A}" name="Column4" dataCellStyle="Normal 4"/>
    <tableColumn id="5" xr3:uid="{C9996A38-EA1D-4D6A-8B05-4F3CA471FBD7}" name="Column5" dataCellStyle="Normal 4"/>
    <tableColumn id="6" xr3:uid="{D2D45277-D33D-4869-966E-8EE33FAC0F4C}" name="Column6" dataCellStyle="Normal 4"/>
    <tableColumn id="7" xr3:uid="{7AE4B47C-FF64-4EB9-8BB5-C8B4F04B7AFB}" name="Column7" dataCellStyle="Normal 4"/>
    <tableColumn id="8" xr3:uid="{F41F4DE7-DB91-47D5-8399-1C59737D0D6F}" name="Column8" dataCellStyle="Normal 4"/>
    <tableColumn id="9" xr3:uid="{609195C3-83A5-494D-A07B-A8B3AE1461AD}" name="Column9" dataCellStyle="Normal 4"/>
    <tableColumn id="10" xr3:uid="{AFA0988A-66F7-43DD-ABC2-D7D04367422C}" name="Column10" dataCellStyle="Normal 4"/>
    <tableColumn id="11" xr3:uid="{189A5E22-C94F-4E4E-AD94-31B864521670}" name="Column11" dataCellStyle="Normal 4"/>
    <tableColumn id="12" xr3:uid="{CBAE1287-EC9A-438E-AB6E-9A2C6AC32B49}" name="Column12" dataCellStyle="Normal 4"/>
    <tableColumn id="13" xr3:uid="{3D5E730C-2BCA-4B47-BB60-3F0A0721B0E3}" name="Column13" dataCellStyle="Normal 4"/>
    <tableColumn id="14" xr3:uid="{AF48D560-E970-4DAD-B423-48AC43F6CE90}" name="Column14" dataCellStyle="Normal 4"/>
    <tableColumn id="15" xr3:uid="{4F733808-6934-4D07-B7AE-6F21154DAB7E}" name="Column15" dataCellStyle="Normal 4"/>
    <tableColumn id="16" xr3:uid="{DDBE7BEB-5946-46AC-A7C8-73B409DED874}" name="Column16" dataCellStyle="Normal 4"/>
    <tableColumn id="17" xr3:uid="{459A5BC3-D6B6-4D11-A332-1DA7AD50D375}" name="Column17" dataCellStyle="Normal 4"/>
    <tableColumn id="18" xr3:uid="{79411C9D-BFC9-438D-AEF3-0AF87B0E65E4}" name="Column18" dataCellStyle="Normal 4"/>
    <tableColumn id="19" xr3:uid="{24C3B6F7-F02C-4B48-8F62-645A870DF685}" name="Column19" dataCellStyle="Normal 4"/>
    <tableColumn id="20" xr3:uid="{D2FEF320-0C16-4D02-927B-2009067499EE}" name="Column20" dataCellStyle="Normal 4"/>
    <tableColumn id="21" xr3:uid="{26FB802B-679D-4D05-8C23-BDFCEF856CCE}" name="Column21" dataCellStyle="Normal 4"/>
    <tableColumn id="22" xr3:uid="{8725AB6E-177C-42D7-9F80-AEA5066E752A}" name="Column22" dataCellStyle="Normal 4"/>
    <tableColumn id="23" xr3:uid="{EE4F9EF0-0C2B-48A8-A979-2141694404FA}" name="Column23" dataCellStyle="Normal 4"/>
    <tableColumn id="24" xr3:uid="{B2445CBB-218B-45F5-AE25-7AE9026AAB78}" name="Column24" dataCellStyle="Normal 4"/>
    <tableColumn id="25" xr3:uid="{C0C9EBBA-7175-4238-801D-F5A329EB3C4A}" name="Column25" dataCellStyle="Normal 4"/>
    <tableColumn id="26" xr3:uid="{A68D7016-2163-4CBF-B687-DD394DE1F44B}" name="Column26" dataCellStyle="Normal 4"/>
    <tableColumn id="27" xr3:uid="{3D04EFB2-14F4-4F2D-AF9A-98BAB5A5C733}" name="Column27" dataCellStyle="Normal 4"/>
    <tableColumn id="28" xr3:uid="{DA755EB3-289A-4661-ADBD-7E136B34346F}" name="Column28" dataCellStyle="Normal 4"/>
    <tableColumn id="29" xr3:uid="{8B1105A5-A108-4680-A4B0-0C0A83DF1C02}" name="Column29" dataCellStyle="Normal 4"/>
    <tableColumn id="30" xr3:uid="{EE0AD841-E709-4541-BCFA-503EE1135595}" name="Column30" dataCellStyle="Normal 4"/>
    <tableColumn id="31" xr3:uid="{AD561305-4BBB-4A32-A87F-1BD11A9DFF18}" name="Column31" dataCellStyle="Normal 4"/>
    <tableColumn id="32" xr3:uid="{0FEAD878-CD0F-4D9B-ADCD-1F143E342180}" name="Column32" dataCellStyle="Normal 4"/>
    <tableColumn id="33" xr3:uid="{6F6DBC39-F748-4CF0-BF41-966BA445EB01}" name="Column33" dataCellStyle="Normal 4"/>
    <tableColumn id="34" xr3:uid="{7DC5AE02-C1D2-41A2-9F11-035005EB1B45}" name="Column34" dataCellStyle="Normal 4"/>
    <tableColumn id="35" xr3:uid="{3AC21EE7-64E5-40A9-B427-06E3CEE55867}" name="Column35" dataCellStyle="Normal 4"/>
  </tableColumns>
  <tableStyleInfo name="TableStyleMedium2"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B533608F-ED73-42BB-88D7-E2DD0A70709D}" name="Table28" displayName="Table28" ref="A46:AI51" totalsRowShown="0" headerRowCellStyle="Normal 4" dataCellStyle="Normal 4">
  <autoFilter ref="A46:AI51" xr:uid="{95BB21E7-5DE3-4158-9DBC-8C323BC14B10}"/>
  <tableColumns count="35">
    <tableColumn id="1" xr3:uid="{F0BD098F-3585-49E3-B7EC-85C4C7533501}" name="Column1" dataCellStyle="Normal 4"/>
    <tableColumn id="2" xr3:uid="{F0F810FE-3E45-4839-A0C1-FCA8022A49E0}" name="Column2" dataCellStyle="Normal 4"/>
    <tableColumn id="3" xr3:uid="{883C2C1C-AFD2-4FA8-B085-EFC21C5A7A26}" name="Column3" dataCellStyle="Normal 4"/>
    <tableColumn id="4" xr3:uid="{83D22D19-E35A-4900-9E10-A3FB551F7425}" name="Column4" dataCellStyle="Normal 4"/>
    <tableColumn id="5" xr3:uid="{836AC51C-F3A2-41F2-A7A0-9F58BA89EAFF}" name="Column5" dataCellStyle="Normal 4"/>
    <tableColumn id="6" xr3:uid="{40634310-EEA4-4EB9-897C-64B6A87F3BE7}" name="Column6" dataCellStyle="Normal 4"/>
    <tableColumn id="7" xr3:uid="{B6882075-BAC7-414D-83F8-9E6058DE1984}" name="Column7" dataCellStyle="Normal 4"/>
    <tableColumn id="8" xr3:uid="{EA96EF24-333D-4B36-97B7-218F92EA8646}" name="Column8" dataCellStyle="Normal 4"/>
    <tableColumn id="9" xr3:uid="{74154B79-7AC5-4099-BE0E-D4E275D41262}" name="Column9" dataCellStyle="Normal 4"/>
    <tableColumn id="10" xr3:uid="{A939C62F-62D9-477B-9B80-C92153F288BB}" name="Column10" dataCellStyle="Normal 4"/>
    <tableColumn id="11" xr3:uid="{01764CC2-6FF8-40F5-9303-0D67C7E0C0F8}" name="Column11" dataCellStyle="Normal 4"/>
    <tableColumn id="12" xr3:uid="{3200987E-CFE2-4B80-A620-8EBE622938ED}" name="Column12" dataCellStyle="Normal 4"/>
    <tableColumn id="13" xr3:uid="{FC3E7680-A659-4AF8-A900-B4DF24C7C98E}" name="Column13" dataCellStyle="Normal 4"/>
    <tableColumn id="14" xr3:uid="{C7D56301-7182-447A-B6D5-6966A8B9972A}" name="Column14" dataCellStyle="Normal 4"/>
    <tableColumn id="15" xr3:uid="{57105746-E031-4105-ACBC-ED01E604EA61}" name="Column15" dataCellStyle="Normal 4"/>
    <tableColumn id="16" xr3:uid="{65495CE1-E463-40F6-B879-ACAD1DB262E1}" name="Column16" dataCellStyle="Normal 4"/>
    <tableColumn id="17" xr3:uid="{0AF62AB9-DB24-4063-85E5-CF328C9DE302}" name="Column17" dataCellStyle="Normal 4"/>
    <tableColumn id="18" xr3:uid="{01FE2D58-2C71-4ABA-B511-B348398AE3BC}" name="Column18" dataCellStyle="Normal 4"/>
    <tableColumn id="19" xr3:uid="{48800CB4-12DB-4431-A012-CB30E4625278}" name="Column19" dataCellStyle="Normal 4"/>
    <tableColumn id="20" xr3:uid="{DC2D739B-9834-46E4-8125-C38E06B08F88}" name="Column20" dataCellStyle="Normal 4"/>
    <tableColumn id="21" xr3:uid="{638C04AC-2323-41F0-AD21-BEEFD046D29E}" name="Column21" dataCellStyle="Normal 4"/>
    <tableColumn id="22" xr3:uid="{C21E2168-D462-4589-AD6D-027217E3DD46}" name="Column22" dataCellStyle="Normal 4"/>
    <tableColumn id="23" xr3:uid="{240956C9-819A-4305-AF3A-EEB4C2558D78}" name="Column23" dataCellStyle="Normal 4"/>
    <tableColumn id="24" xr3:uid="{A772E847-F5B5-43F2-9478-90F1BF36DDE2}" name="Column24" dataCellStyle="Normal 4"/>
    <tableColumn id="25" xr3:uid="{E1F0F7DA-D669-4FE1-BBC5-8860B7F18303}" name="Column25" dataCellStyle="Normal 4"/>
    <tableColumn id="26" xr3:uid="{6DD58FED-1E57-455D-B738-DA3FC90388E7}" name="Column26" dataCellStyle="Normal 4"/>
    <tableColumn id="27" xr3:uid="{349F73E0-85EC-4EA5-B1CD-79BC36A7DC68}" name="Column27" dataCellStyle="Normal 4"/>
    <tableColumn id="28" xr3:uid="{9FFD0379-5CDB-4A7C-BE20-6C07027F3EEA}" name="Column28" dataCellStyle="Normal 4"/>
    <tableColumn id="29" xr3:uid="{F8ECCFA7-CA1C-42B5-93AC-6218CE5D1F6A}" name="Column29" dataCellStyle="Normal 4"/>
    <tableColumn id="30" xr3:uid="{1C317441-357F-48CD-81D7-F53DAEDB4C1B}" name="Column30" dataCellStyle="Normal 4"/>
    <tableColumn id="31" xr3:uid="{9A276DF4-C2D8-4BC5-BBEE-DCB1A40EA4FC}" name="Column31" dataCellStyle="Normal 4"/>
    <tableColumn id="32" xr3:uid="{268C51F3-7305-406E-BBBB-55C9D96DE42A}" name="Column32" dataCellStyle="Normal 4"/>
    <tableColumn id="33" xr3:uid="{D6DEECEA-96BB-47D9-B1F1-6978489E1660}" name="Column33" dataCellStyle="Normal 4"/>
    <tableColumn id="34" xr3:uid="{03F570DD-C0A5-42D5-83EC-271983677D76}" name="Column34" dataCellStyle="Normal 4"/>
    <tableColumn id="35" xr3:uid="{837A2E08-A537-4C12-91CC-BC7BA6868435}" name="Column35" dataCellStyle="Normal 4"/>
  </tableColumns>
  <tableStyleInfo name="TableStyleMedium2"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B610420-9C29-4371-8B8B-3903CB7303A7}" name="Table4" displayName="Table4" ref="A1:AC11" totalsRowShown="0" headerRowCellStyle="Normal 4" dataCellStyle="Normal 4">
  <autoFilter ref="A1:AC11" xr:uid="{95210D4C-DDA0-4B3C-A257-4B6FBFBBCC25}"/>
  <tableColumns count="29">
    <tableColumn id="1" xr3:uid="{E2ED318D-1D2D-49E9-AB56-1244CFC90BFF}" name="Area" dataCellStyle="Normal 4"/>
    <tableColumn id="2" xr3:uid="{B7860419-F4F9-437D-B776-D1ABA9FB0A2C}" name="Item" dataCellStyle="Normal 4"/>
    <tableColumn id="3" xr3:uid="{A50E81EC-C129-48BE-A375-58AACA4E8367}" name="Groups" dataCellStyle="Normal 4"/>
    <tableColumn id="4" xr3:uid="{D95FCE49-4930-4BD0-81FE-FDF170A37C14}" name="Element" dataCellStyle="Normal 4"/>
    <tableColumn id="5" xr3:uid="{2E9E724A-676E-4B54-9F0B-46896D88E1E5}" name="Unit" dataCellStyle="Normal 4"/>
    <tableColumn id="6" xr3:uid="{AFA78BC1-C0EE-48CC-80A2-FE51BAFC5023}" name="Y1995" dataCellStyle="Normal 4"/>
    <tableColumn id="7" xr3:uid="{4F788565-7CDD-4F08-9810-42D6B594A285}" name="Y1996" dataCellStyle="Normal 4"/>
    <tableColumn id="8" xr3:uid="{69B635D9-386A-4EE5-915A-FC6FA983E25A}" name="Y1997" dataCellStyle="Normal 4"/>
    <tableColumn id="9" xr3:uid="{EE54D97C-132A-400B-BC61-2758C0B0A52A}" name="Y1998" dataCellStyle="Normal 4"/>
    <tableColumn id="10" xr3:uid="{84D529E7-F8DC-41FA-A655-30BF9F56662B}" name="Y1999" dataCellStyle="Normal 4"/>
    <tableColumn id="11" xr3:uid="{85522310-C2C1-47B5-AC78-D4860EA93A31}" name="Y2000" dataCellStyle="Normal 4"/>
    <tableColumn id="12" xr3:uid="{3609EC99-9E4E-419C-BF5E-E124BEF2A821}" name="Y2001" dataCellStyle="Normal 4"/>
    <tableColumn id="13" xr3:uid="{197D2169-F534-4401-AD05-50A6497F2DEC}" name="Y2002" dataCellStyle="Normal 4"/>
    <tableColumn id="14" xr3:uid="{EEB09D20-34FA-41F1-A574-CBBDA05FC117}" name="Y2003" dataCellStyle="Normal 4"/>
    <tableColumn id="15" xr3:uid="{6D7BA641-2E66-4119-987B-DA30D58C4C04}" name="Y2004" dataCellStyle="Normal 4"/>
    <tableColumn id="16" xr3:uid="{971E4FCD-0E90-4B7A-872C-21B535D88AE5}" name="Y2005" dataCellStyle="Normal 4"/>
    <tableColumn id="17" xr3:uid="{F24BEBBA-3506-4A89-BD4E-B881A221921B}" name="Y2006" dataCellStyle="Normal 4"/>
    <tableColumn id="18" xr3:uid="{6D6F0A46-7B5E-4B2F-A3DD-6430EF08E3F0}" name="Y2007" dataCellStyle="Normal 4"/>
    <tableColumn id="19" xr3:uid="{A61EDDBD-BBBE-4CD6-8EAB-C7A78AD1013B}" name="Y2008" dataCellStyle="Normal 4"/>
    <tableColumn id="20" xr3:uid="{E76E552F-18DF-4FF6-971F-ECD4D00E082D}" name="Y2009" dataCellStyle="Normal 4"/>
    <tableColumn id="21" xr3:uid="{03664C78-52EE-4631-A100-0EA771E143D2}" name="Y2010" dataCellStyle="Normal 4"/>
    <tableColumn id="22" xr3:uid="{9A1792B9-48B8-4B13-AD01-8CBCCD958A0C}" name="Y2011" dataCellStyle="Normal 4"/>
    <tableColumn id="23" xr3:uid="{3A13BE0B-6D5F-4D49-B565-A3AD8BC1DC74}" name="Y2012" dataCellStyle="Normal 4"/>
    <tableColumn id="24" xr3:uid="{0D228A18-9BC1-4CD0-A3F3-5FF0F74B16B8}" name="Y2013" dataCellStyle="Normal 4"/>
    <tableColumn id="25" xr3:uid="{2CAC488C-DFCA-45E5-8045-058ACE0B2BA4}" name="Y2014" dataCellStyle="Normal 4"/>
    <tableColumn id="26" xr3:uid="{D1885DE2-8419-417D-A69C-3F7984836271}" name="Y2015" dataCellStyle="Normal 4"/>
    <tableColumn id="27" xr3:uid="{F6F39061-AF0D-4FF7-AE8D-E3077D87F25A}" name="Y2016" dataCellStyle="Normal 4"/>
    <tableColumn id="28" xr3:uid="{0814A850-27DF-43A9-974E-37495156BB22}" name="Y2017" dataCellStyle="Normal 4"/>
    <tableColumn id="29" xr3:uid="{90FC9F53-3889-4184-A029-7902F0F3BAF9}" name="Y2018" dataCellStyle="Normal 4"/>
  </tableColumns>
  <tableStyleInfo name="TableStyleMedium2"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E833E1E3-0688-475F-99D0-70E0842F1D5D}" name="Table8" displayName="Table8" ref="A14:AD21" totalsRowShown="0" headerRowCellStyle="Normal 4" dataCellStyle="Normal 4">
  <autoFilter ref="A14:AD21" xr:uid="{4DB6C236-400B-4E91-93EC-01C63DB1E199}"/>
  <tableColumns count="30">
    <tableColumn id="1" xr3:uid="{44FD4297-5D08-44DA-B7DD-D0E50D2CC435}" name="Column1" dataCellStyle="Normal 4"/>
    <tableColumn id="2" xr3:uid="{D1325E0A-7CF0-4FBF-B5D3-3644CA7C876F}" name="Column2" dataCellStyle="Normal 4"/>
    <tableColumn id="3" xr3:uid="{1EB83C8A-7369-4D7B-BAC6-22016C8D1F3F}" name="Column3" dataCellStyle="Normal 4"/>
    <tableColumn id="4" xr3:uid="{588A5EA2-7EC6-47F6-8EE1-A9B5DE7A9718}" name="Column4" dataCellStyle="Normal 4"/>
    <tableColumn id="5" xr3:uid="{5733F3D8-A2CA-4C0D-B497-7484B09974AA}" name="Column5" dataCellStyle="Normal 4"/>
    <tableColumn id="6" xr3:uid="{FD5E8E11-DF3C-465A-90C4-4F4F0E4C3256}" name="Column6" dataCellStyle="Normal 4"/>
    <tableColumn id="7" xr3:uid="{72E3F7A4-629D-4DBD-9FD6-1A78ABA996DF}" name="Column7" dataCellStyle="Normal 4"/>
    <tableColumn id="8" xr3:uid="{705ADC14-EB06-49B9-9169-49463A184ED0}" name="Column8" dataCellStyle="Normal 4"/>
    <tableColumn id="9" xr3:uid="{1AD6E38F-8B14-4F5C-ACAA-CFD1F4BFD8AE}" name="Column9" dataCellStyle="Normal 4"/>
    <tableColumn id="10" xr3:uid="{8DD0AD21-4268-4D01-8869-9B1170821515}" name="Column10" dataCellStyle="Normal 4"/>
    <tableColumn id="11" xr3:uid="{89B9F7E1-40FE-497D-9EE7-359E1DA5F401}" name="Column11" dataCellStyle="Normal 4"/>
    <tableColumn id="12" xr3:uid="{B8971E18-CB1A-4FCF-87CC-22146237D5B8}" name="Column12" dataCellStyle="Normal 4"/>
    <tableColumn id="13" xr3:uid="{6EDDC7C1-79CF-432B-856C-3FF3F99A710F}" name="Column13" dataCellStyle="Normal 4"/>
    <tableColumn id="14" xr3:uid="{8E2155C9-4D14-4F39-AC36-C3412478DCBD}" name="Column14" dataCellStyle="Normal 4"/>
    <tableColumn id="15" xr3:uid="{741729CA-F9DB-48AB-B7D7-90EF2095FE10}" name="Column15" dataCellStyle="Normal 4"/>
    <tableColumn id="16" xr3:uid="{D7D6C5A1-9270-4507-AF42-4693259A12C5}" name="Column16" dataCellStyle="Normal 4"/>
    <tableColumn id="17" xr3:uid="{09D85781-EF51-4AB6-8A68-AE66AD866A8D}" name="Column17" dataCellStyle="Normal 4"/>
    <tableColumn id="18" xr3:uid="{1A2D404E-A430-41F4-B1F0-561ECE7CCF3A}" name="Column18" dataCellStyle="Normal 4"/>
    <tableColumn id="19" xr3:uid="{FDFF4B8A-C8BC-437C-8818-B55D54EEEA34}" name="Column19" dataCellStyle="Normal 4"/>
    <tableColumn id="20" xr3:uid="{E12F71F3-5978-4DA6-96A6-75F9BE35D53F}" name="Column20" dataCellStyle="Normal 4"/>
    <tableColumn id="21" xr3:uid="{E0C76176-AA41-4CC3-A633-8CD364EED35C}" name="Column21" dataCellStyle="Normal 4"/>
    <tableColumn id="22" xr3:uid="{6B1AC89A-659B-4BDA-8C37-31B15FEB96A3}" name="Column22" dataCellStyle="Normal 4"/>
    <tableColumn id="23" xr3:uid="{E24F40CF-5C58-4991-920D-1A343EF3AF66}" name="Column23" dataCellStyle="Normal 4"/>
    <tableColumn id="24" xr3:uid="{6B44EF29-8BE5-46FA-8B46-757E0911FBB5}" name="Column24" dataCellStyle="Normal 4"/>
    <tableColumn id="25" xr3:uid="{3A27DE45-081C-4FE5-A2BD-9D09EB369662}" name="Column25" dataCellStyle="Normal 4"/>
    <tableColumn id="26" xr3:uid="{75A7E2A4-093D-419F-B37C-448EC644C278}" name="Column26" dataCellStyle="Normal 4"/>
    <tableColumn id="27" xr3:uid="{06C82B89-2EFC-4D71-9F35-E66B6E576CEB}" name="Column27" dataCellStyle="Normal 4"/>
    <tableColumn id="28" xr3:uid="{4F97A399-7513-49DB-A2B0-7C1B4FCBBCBA}" name="Column28" dataCellStyle="Normal 4"/>
    <tableColumn id="29" xr3:uid="{D7099B51-7E0E-405B-9291-61F0A0F4B8A8}" name="Column29" dataCellStyle="Normal 4"/>
    <tableColumn id="30" xr3:uid="{876382F3-4CEE-4069-A131-AF78C65C0A72}" name="Column30" dataCellStyle="Normal 4"/>
  </tableColumns>
  <tableStyleInfo name="TableStyleMedium2"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84F64375-1B41-453B-9998-66C21F2C49A6}" name="Table16" displayName="Table16" ref="A23:AD30" totalsRowShown="0" headerRowCellStyle="Normal 4" dataCellStyle="Normal 4">
  <autoFilter ref="A23:AD30" xr:uid="{82FED344-7BB9-4603-B4B4-45D22C7932E8}"/>
  <tableColumns count="30">
    <tableColumn id="1" xr3:uid="{61D809CC-B68F-4779-8CC6-FFD3454CB4E2}" name="Column1" dataCellStyle="Normal 4"/>
    <tableColumn id="2" xr3:uid="{C872E4C0-33F2-4BF5-919C-5B313A4E0CEB}" name="Column2" dataCellStyle="Normal 4"/>
    <tableColumn id="3" xr3:uid="{66EB0B76-7C82-4543-87F9-532992A7A32F}" name="Column3" dataCellStyle="Normal 4"/>
    <tableColumn id="4" xr3:uid="{F13D4CBE-C433-423C-B11B-9F7B32F0E43C}" name="Column4" dataCellStyle="Normal 4"/>
    <tableColumn id="5" xr3:uid="{4ECDD8C2-5C72-4F6E-A610-7FCC6B984795}" name="Column5" dataCellStyle="Normal 4"/>
    <tableColumn id="6" xr3:uid="{58B8D025-2497-4CBD-A5F1-EDD3608F6F34}" name="Column6" dataCellStyle="Normal 4"/>
    <tableColumn id="7" xr3:uid="{DEF768A5-650A-4669-AD77-EE8D062007D3}" name="Column7" dataCellStyle="Normal 4"/>
    <tableColumn id="8" xr3:uid="{5DD9189B-9D46-40DF-8C55-D14C3F8B24A8}" name="Column8" dataCellStyle="Normal 4"/>
    <tableColumn id="9" xr3:uid="{E60E8637-D9C7-4D79-8789-9771C2B5A563}" name="Column9" dataCellStyle="Normal 4"/>
    <tableColumn id="10" xr3:uid="{F1BB4366-0463-4F11-9CFE-2C6863F9E6C4}" name="Column10" dataCellStyle="Normal 4"/>
    <tableColumn id="11" xr3:uid="{63E399E4-D8C1-47DF-BA15-D0C40A2987C9}" name="Column11" dataCellStyle="Normal 4"/>
    <tableColumn id="12" xr3:uid="{7A2525E3-3637-4918-916E-B2BBB89B7E9B}" name="Column12" dataCellStyle="Normal 4"/>
    <tableColumn id="13" xr3:uid="{6B1CCE84-A1BE-4F95-91E0-D62652646133}" name="Column13" dataCellStyle="Normal 4"/>
    <tableColumn id="14" xr3:uid="{CEA3AFBC-C773-4930-B2C0-08510F17894B}" name="Column14" dataCellStyle="Normal 4"/>
    <tableColumn id="15" xr3:uid="{1C101824-50BD-498D-85A6-A5C568E90067}" name="Column15" dataCellStyle="Normal 4"/>
    <tableColumn id="16" xr3:uid="{397AF1A0-3255-4F31-9AAC-8DDFA9C315DC}" name="Column16" dataCellStyle="Normal 4"/>
    <tableColumn id="17" xr3:uid="{CFEDEEB9-A049-4CD1-9BBE-0E4E4AC92428}" name="Column17" dataCellStyle="Normal 4"/>
    <tableColumn id="18" xr3:uid="{99949018-55F9-4515-AD92-DD1A5BAF6A3C}" name="Column18" dataCellStyle="Normal 4"/>
    <tableColumn id="19" xr3:uid="{DDF74FAB-5137-415F-922B-3AB604C3CAD3}" name="Column19" dataCellStyle="Normal 4"/>
    <tableColumn id="20" xr3:uid="{22ED35F5-93C2-490C-9F61-E861B7EE12A4}" name="Column20" dataCellStyle="Normal 4"/>
    <tableColumn id="21" xr3:uid="{BFEB9E83-D4FC-4F1E-AC3E-7393C2A5D3BB}" name="Column21" dataCellStyle="Normal 4"/>
    <tableColumn id="22" xr3:uid="{56CEFB7A-E235-4B5B-BC50-DFBFC18646EE}" name="Column22" dataCellStyle="Normal 4"/>
    <tableColumn id="23" xr3:uid="{7E5C9373-6D50-4DC8-893F-1904AB586546}" name="Column23" dataCellStyle="Normal 4"/>
    <tableColumn id="24" xr3:uid="{7045D2BC-0F4B-4619-88B7-DB2106FB12BF}" name="Column24" dataCellStyle="Normal 4"/>
    <tableColumn id="25" xr3:uid="{D75B6382-AC35-49D1-AFA7-67FBD41F87FE}" name="Column25" dataCellStyle="Normal 4"/>
    <tableColumn id="26" xr3:uid="{B006FE50-82CA-47C0-8E91-EDF0CC803660}" name="Column26" dataCellStyle="Normal 4"/>
    <tableColumn id="27" xr3:uid="{165E8AC8-EA70-47BC-91B9-8129FB6B8F3B}" name="Column27" dataCellStyle="Normal 4"/>
    <tableColumn id="28" xr3:uid="{8CA2216F-2F19-4EF1-A27C-C0E1F29CD877}" name="Column28" dataCellStyle="Normal 4"/>
    <tableColumn id="29" xr3:uid="{A0A02CB4-7C4E-4932-8E17-253ECEC63985}" name="Column29" dataCellStyle="Normal 4"/>
    <tableColumn id="30" xr3:uid="{63C8ACBF-3CF9-44E3-91CA-3366C1C277E1}" name="Column30" dataCellStyle="Normal 4"/>
  </tableColumns>
  <tableStyleInfo name="TableStyleMedium2"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EB5F9792-ADB6-4491-97D9-AE36868E2F70}" name="Table17" displayName="Table17" ref="A32:AD37" totalsRowShown="0" headerRowCellStyle="Normal 4" dataCellStyle="Normal 4">
  <autoFilter ref="A32:AD37" xr:uid="{C2705856-11E2-4D31-B1B1-F00D43CC0F1C}"/>
  <tableColumns count="30">
    <tableColumn id="1" xr3:uid="{30C6FD42-AB5D-439D-B3A4-A16FF89DFC30}" name="Column1" dataCellStyle="Normal 4"/>
    <tableColumn id="2" xr3:uid="{A1141962-AC99-478F-962C-973D353BDD65}" name="Column2" dataCellStyle="Normal 4"/>
    <tableColumn id="3" xr3:uid="{174A8C20-CDBB-45FA-B672-50C4E8F17CA5}" name="Column3" dataCellStyle="Normal 4"/>
    <tableColumn id="4" xr3:uid="{5AD872DB-2D13-43FD-B4EB-5B3530A7A50C}" name="Column4" dataCellStyle="Normal 4"/>
    <tableColumn id="5" xr3:uid="{70705C05-D56F-4048-9603-AD7656E3474C}" name="Column5" dataCellStyle="Normal 4"/>
    <tableColumn id="6" xr3:uid="{E512F87E-F008-4A62-BC32-116217F4E7CA}" name="Column6" dataCellStyle="Normal 4"/>
    <tableColumn id="7" xr3:uid="{B209AB82-CF71-41C4-A1B6-BA99A6F6BA7C}" name="Column7" dataCellStyle="Normal 4"/>
    <tableColumn id="8" xr3:uid="{78353FFE-F4AF-4690-8638-42C179868408}" name="Column8" dataCellStyle="Normal 4"/>
    <tableColumn id="9" xr3:uid="{E1D898FD-6749-406B-87E3-D6416390432D}" name="Column9" dataCellStyle="Normal 4"/>
    <tableColumn id="10" xr3:uid="{9E0CC0B1-4B9E-4B11-AE6A-02710FA11DA7}" name="Column10" dataCellStyle="Normal 4"/>
    <tableColumn id="11" xr3:uid="{E90B255F-943F-437D-92BC-574D4124F531}" name="Column11" dataCellStyle="Normal 4"/>
    <tableColumn id="12" xr3:uid="{84C660C4-E61C-4031-B602-F7BBA4306F2C}" name="Column12" dataCellStyle="Normal 4"/>
    <tableColumn id="13" xr3:uid="{5A1227F9-B82B-4AB3-B08E-A4DD23C39969}" name="Column13" dataCellStyle="Normal 4"/>
    <tableColumn id="14" xr3:uid="{E95CBB67-E91D-4A9B-ABBE-4AB0A6D4617F}" name="Column14" dataCellStyle="Normal 4"/>
    <tableColumn id="15" xr3:uid="{4A230E63-3239-42FC-8EF7-6F27B8DC091E}" name="Column15" dataCellStyle="Normal 4"/>
    <tableColumn id="16" xr3:uid="{13CCB881-FA4C-416D-95B3-65B0662BEB20}" name="Column16" dataCellStyle="Normal 4"/>
    <tableColumn id="17" xr3:uid="{15700BD8-B930-4324-8DB7-774A58E8D282}" name="Column17" dataCellStyle="Normal 4"/>
    <tableColumn id="18" xr3:uid="{E2E7DC1E-AB11-4053-86DE-F4947E3DB7FF}" name="Column18" dataCellStyle="Normal 4"/>
    <tableColumn id="19" xr3:uid="{7D6CF657-1B6F-40A3-A03E-4D63748465BA}" name="Column19" dataCellStyle="Normal 4"/>
    <tableColumn id="20" xr3:uid="{471A127C-3177-4BBF-9DCD-CACDB46D834E}" name="Column20" dataCellStyle="Normal 4"/>
    <tableColumn id="21" xr3:uid="{D21E87A5-DCDC-4ED4-8D0D-C18832F6795B}" name="Column21" dataCellStyle="Normal 4"/>
    <tableColumn id="22" xr3:uid="{E5426BFA-7389-4F33-84E6-6FE858F87DC6}" name="Column22" dataCellStyle="Normal 4"/>
    <tableColumn id="23" xr3:uid="{B7E5A1E2-FEEA-4D0E-A027-587A57B86B59}" name="Column23" dataCellStyle="Normal 4"/>
    <tableColumn id="24" xr3:uid="{AB3B8CC7-3027-4996-BED2-D9CEB32D9554}" name="Column24" dataCellStyle="Normal 4"/>
    <tableColumn id="25" xr3:uid="{88D4494B-7ED3-4B0B-AC90-AD8F30D1F487}" name="Column25" dataCellStyle="Normal 4"/>
    <tableColumn id="26" xr3:uid="{890415C3-4B87-4AF0-8932-CA1D6C59489E}" name="Column26" dataCellStyle="Normal 4"/>
    <tableColumn id="27" xr3:uid="{CD6DCCE1-5425-43CB-8643-30F087AAAFF5}" name="Column27" dataCellStyle="Normal 4"/>
    <tableColumn id="28" xr3:uid="{A6DBD0DB-A05F-475D-8977-008A6161CED8}" name="Column28" dataCellStyle="Normal 4"/>
    <tableColumn id="29" xr3:uid="{85E2F552-81EE-4402-A269-A4BDEFE0C778}" name="Column29" dataCellStyle="Normal 4"/>
    <tableColumn id="30" xr3:uid="{5F015CF7-3E80-4FFF-ADC4-F76EF733FAE3}" name="Column30" dataCellStyle="Normal 4"/>
  </tableColumns>
  <tableStyleInfo name="TableStyleMedium2" showFirstColumn="0" showLastColumn="0" showRowStripes="1" showColumnStripes="0"/>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E8302373-21EC-46FE-8359-82BF19324104}" name="Table18" displayName="Table18" ref="A39:AD45" totalsRowShown="0" headerRowCellStyle="Normal 4" dataCellStyle="Normal 4">
  <autoFilter ref="A39:AD45" xr:uid="{3C775948-5EF7-402E-8E50-37D7B7C6138E}"/>
  <tableColumns count="30">
    <tableColumn id="1" xr3:uid="{1E913135-64AB-4868-99A9-FD2A57408865}" name="Column1" dataCellStyle="Normal 4"/>
    <tableColumn id="2" xr3:uid="{EDD298CB-5431-448F-B5F6-1CDE234C3A30}" name="Column2" dataCellStyle="Normal 4"/>
    <tableColumn id="3" xr3:uid="{DEAC9BD0-7A0F-4773-9630-CF6321D4DC48}" name="Column3" dataCellStyle="Normal 4"/>
    <tableColumn id="4" xr3:uid="{50A1C319-5F38-4905-8B60-F879B6D3DF54}" name="Column4" dataCellStyle="Normal 4"/>
    <tableColumn id="5" xr3:uid="{576644C7-3304-4F62-882C-4C87BF6801B5}" name="Column5" dataCellStyle="Normal 4"/>
    <tableColumn id="6" xr3:uid="{969B5B83-BA73-4D7F-8372-0EE96239F7C6}" name="Column6" dataCellStyle="Normal 4"/>
    <tableColumn id="7" xr3:uid="{CF204395-E3FE-4873-90DB-24045188EE6C}" name="Column7" dataCellStyle="Normal 4"/>
    <tableColumn id="8" xr3:uid="{EF76B294-F431-4AE3-9484-B6B62C26C947}" name="Column8" dataCellStyle="Normal 4"/>
    <tableColumn id="9" xr3:uid="{0E038A68-0DE2-4807-BA99-7F6B44C8DF31}" name="Column9" dataCellStyle="Normal 4"/>
    <tableColumn id="10" xr3:uid="{2DF83CDD-1638-47EE-9FDB-E949458E97ED}" name="Column10" dataCellStyle="Normal 4"/>
    <tableColumn id="11" xr3:uid="{F59DB5A8-6666-40B8-95D3-20282EDACD60}" name="Column11" dataCellStyle="Normal 4"/>
    <tableColumn id="12" xr3:uid="{B298FD11-74BF-4045-BAB6-B40E3A380A42}" name="Column12" dataCellStyle="Normal 4"/>
    <tableColumn id="13" xr3:uid="{C4AD3AFB-F50E-4467-A621-9D8C201335F3}" name="Column13" dataCellStyle="Normal 4"/>
    <tableColumn id="14" xr3:uid="{55CAE232-EE1F-4524-A9E7-BCF346596307}" name="Column14" dataCellStyle="Normal 4"/>
    <tableColumn id="15" xr3:uid="{E80AE9D6-E7B5-4862-AF2A-8E3884DFF67A}" name="Column15" dataCellStyle="Normal 4"/>
    <tableColumn id="16" xr3:uid="{03B833E5-5FCD-4526-9104-5FB766D6BB30}" name="Column16" dataCellStyle="Normal 4"/>
    <tableColumn id="17" xr3:uid="{B953474F-2F3C-481A-AE45-D36A23E27D9F}" name="Column17" dataCellStyle="Normal 4"/>
    <tableColumn id="18" xr3:uid="{9AF7E03C-C7FC-4340-886A-A624F3EA6836}" name="Column18" dataCellStyle="Normal 4"/>
    <tableColumn id="19" xr3:uid="{8A30EAC1-B722-43ED-BC7C-A290C8B2D021}" name="Column19" dataCellStyle="Normal 4"/>
    <tableColumn id="20" xr3:uid="{C46D6F60-19F1-4E68-B318-0D27B89BD126}" name="Column20" dataCellStyle="Normal 4"/>
    <tableColumn id="21" xr3:uid="{7DBCD600-88DD-49EF-BE72-64F80F49308E}" name="Column21" dataCellStyle="Normal 4"/>
    <tableColumn id="22" xr3:uid="{CB6FB2CA-43BC-47D3-9B74-67C8BD168DFB}" name="Column22" dataCellStyle="Normal 4"/>
    <tableColumn id="23" xr3:uid="{EA809ACC-FC79-4C28-B3B3-6E1C40486424}" name="Column23" dataCellStyle="Normal 4"/>
    <tableColumn id="24" xr3:uid="{6218EA21-48C8-4704-B39C-12449274E709}" name="Column24" dataCellStyle="Normal 4"/>
    <tableColumn id="25" xr3:uid="{38152192-0A56-4741-AC87-0C3C012DAA4C}" name="Column25" dataCellStyle="Normal 4"/>
    <tableColumn id="26" xr3:uid="{92F2BE88-2F67-442F-A695-275734A28A9C}" name="Column26" dataCellStyle="Normal 4"/>
    <tableColumn id="27" xr3:uid="{79A5C594-A294-4F86-80B9-5DF39793027A}" name="Column27" dataCellStyle="Normal 4"/>
    <tableColumn id="28" xr3:uid="{4E2CA76D-6D91-4750-B25A-A1924AA97381}" name="Column28" dataCellStyle="Normal 4"/>
    <tableColumn id="29" xr3:uid="{A235B7D2-7EFE-44C6-9501-0E599FAE674C}" name="Column29" dataCellStyle="Normal 4"/>
    <tableColumn id="30" xr3:uid="{533C7F10-99F5-4651-AB8E-4A45CF1AD5A8}" name="Column30" dataCellStyle="Normal 4"/>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1FE0773-9533-4156-9502-C325E0D0AA44}" name="Table6" displayName="Table6" ref="B21:I26" totalsRowShown="0" headerRowDxfId="69" dataDxfId="68" headerRowBorderDxfId="66" tableBorderDxfId="67" totalsRowBorderDxfId="65" headerRowCellStyle="Normal 4" dataCellStyle="Normal 4">
  <autoFilter ref="B21:I26" xr:uid="{38BE7768-C820-40D8-BF4B-1E71764161D8}"/>
  <tableColumns count="8">
    <tableColumn id="1" xr3:uid="{884AA8AF-0DE6-45E8-BFBF-2BC62B96E40F}" name="Pattern of use" dataDxfId="64" dataCellStyle="Normal 4"/>
    <tableColumn id="2" xr3:uid="{3750E991-05F4-4458-85AA-8F0BB7722773}" name="Total Area Hectares (ha)" dataDxfId="63" dataCellStyle="Normal 4"/>
    <tableColumn id="3" xr3:uid="{6E564283-745E-4E2B-AB57-8363AF97A6F4}" name="Average Yield per hectare (kg/ha)" dataDxfId="62" dataCellStyle="Normal 4"/>
    <tableColumn id="4" xr3:uid="{8C0FC5D8-3397-4E4B-A82B-4FC1995A7339}" name="Total Expected Yield per Year" dataDxfId="61" dataCellStyle="Normal 4"/>
    <tableColumn id="5" xr3:uid="{59CA2D1D-7AF6-4B88-98A3-6B50D7DDE215}" name="Post Harvest Losses(%)" dataDxfId="60" dataCellStyle="Normal 4"/>
    <tableColumn id="6" xr3:uid="{028FF305-3E5A-4734-A902-8D5D776DD9CD}" name="Expected Average Yield Available for Processing" dataDxfId="59" dataCellStyle="Normal 4"/>
    <tableColumn id="7" xr3:uid="{DF4DA714-98E1-4A2A-9030-EB31434C4109}" name="Average Energy Usage (Wh/kg/)" dataDxfId="58" dataCellStyle="Normal 4"/>
    <tableColumn id="8" xr3:uid="{F2B5C996-551B-42CF-9B57-AF3735E3A96E}" name="Annual Energy Usage for Processing (KWh/kg/year)" dataDxfId="57" dataCellStyle="Comma"/>
  </tableColumns>
  <tableStyleInfo name="TableStyleMedium3"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94E5F998-0449-4471-B148-24FFC7C77203}" name="Table7" displayName="Table7" ref="B37:I41" totalsRowShown="0" headerRowDxfId="56" dataDxfId="55" headerRowBorderDxfId="53" tableBorderDxfId="54" totalsRowBorderDxfId="52" headerRowCellStyle="Normal 4" dataCellStyle="Normal 4">
  <autoFilter ref="B37:I41" xr:uid="{3E5EE273-1D85-4E6F-817E-E09384A46346}"/>
  <tableColumns count="8">
    <tableColumn id="1" xr3:uid="{E9AF4BD9-03B9-464B-9C85-6406BC969F04}" name="Pattern of use" dataDxfId="51" dataCellStyle="Normal 4"/>
    <tableColumn id="2" xr3:uid="{F1B9477D-545E-4ECF-A245-B4D97E160BC9}" name="Total Area Hectares (ha)" dataDxfId="50" dataCellStyle="Normal 4"/>
    <tableColumn id="3" xr3:uid="{A99BC96E-BDDA-43F4-8823-FD3931465A29}" name="Average Yield per hectare (kg/ha)" dataDxfId="49" dataCellStyle="Normal 4"/>
    <tableColumn id="4" xr3:uid="{7409928F-11B0-4013-8BF9-6949470AAE72}" name="Total Expected Yield per Year" dataDxfId="48" dataCellStyle="Normal 4"/>
    <tableColumn id="5" xr3:uid="{54A98DB0-D030-4F28-9E50-B353C03D9AEC}" name="Post Harvest Losses(%)" dataDxfId="47" dataCellStyle="Normal 4"/>
    <tableColumn id="6" xr3:uid="{990E1A62-1682-4C35-AB4F-409E9266ABA9}" name="Expected Average Yield Available for Processing" dataDxfId="46" dataCellStyle="Normal 4"/>
    <tableColumn id="7" xr3:uid="{4A9AE80B-1A3E-4139-84B8-997BA2C1693C}" name="Average Energy Usage (Wh/kg/)" dataDxfId="45" dataCellStyle="Normal 4"/>
    <tableColumn id="8" xr3:uid="{ECA34C43-A2FF-4DAB-BDD9-6ECB70340663}" name="Annual Energy Usage for Processing (KWh/kg/year)" dataDxfId="44" dataCellStyle="Comma"/>
  </tableColumns>
  <tableStyleInfo name="TableStyleMedium7"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44B17E46-1533-4EA8-BBB8-44B301EB51D0}" name="Table9" displayName="Table9" ref="B55:I60" totalsRowShown="0" headerRowDxfId="43" dataDxfId="42" headerRowBorderDxfId="40" tableBorderDxfId="41" totalsRowBorderDxfId="39" headerRowCellStyle="Normal 4" dataCellStyle="Normal 4">
  <autoFilter ref="B55:I60" xr:uid="{282DB003-B3B8-434E-82D0-570E63D73421}"/>
  <tableColumns count="8">
    <tableColumn id="1" xr3:uid="{7BF7F6C4-6AF0-471A-8C87-0096F30ED5B6}" name="Pattern of use" dataDxfId="38" dataCellStyle="Normal 4"/>
    <tableColumn id="2" xr3:uid="{70B60BCD-A9F0-4CCF-8FB9-00A08D5E56FB}" name="Total Area Hectares (ha)" dataDxfId="37" dataCellStyle="Normal 4"/>
    <tableColumn id="3" xr3:uid="{0F0DE200-01C6-4DFF-9F1B-75E65480156E}" name="Average Yield per hectare (kg/ha)" dataDxfId="36" dataCellStyle="Normal 4"/>
    <tableColumn id="4" xr3:uid="{BED59F9C-4462-4430-BD3A-521401EFFCEB}" name="Total Expected Yield per Year" dataDxfId="35" dataCellStyle="Normal 4"/>
    <tableColumn id="5" xr3:uid="{21E14ED4-1AFE-4EB3-925C-EBB06D651758}" name="Post Harvest Losses(%)" dataDxfId="34" dataCellStyle="Normal 4"/>
    <tableColumn id="6" xr3:uid="{9A87E866-9EBC-43A4-BA07-3963885F8D0A}" name="Expected Average Yield Available for Processing" dataDxfId="33" dataCellStyle="Normal 4"/>
    <tableColumn id="7" xr3:uid="{B7C238BE-292B-4A5F-AC2E-679BDD383306}" name="Average Energy Usage (Wh/kg/yr)" dataDxfId="32" dataCellStyle="Normal 4"/>
    <tableColumn id="8" xr3:uid="{8D9B298E-F82A-4AB4-8030-04127D573C27}" name="Annual Energy Usage for Processing (KWh/kg/year)" dataDxfId="31" dataCellStyle="Normal 4"/>
  </tableColumns>
  <tableStyleInfo name="TableStyleMedium4"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7F699A4E-F633-412A-B0A3-09E075500AD8}" name="Table10" displayName="Table10" ref="B77:F80" totalsRowShown="0">
  <autoFilter ref="B77:F80" xr:uid="{E710CA22-79F8-46A3-BA3C-3B9BC2EC9466}"/>
  <tableColumns count="5">
    <tableColumn id="1" xr3:uid="{640BC087-C571-4CA2-8950-F7B9C09BE726}" name="Column1"/>
    <tableColumn id="2" xr3:uid="{7B6543A3-6844-4B6D-B7CE-D17F0ADDB6F4}" name="Column2"/>
    <tableColumn id="3" xr3:uid="{07332B31-FCA0-454D-95A8-D3C5C62EC61F}" name="Column3"/>
    <tableColumn id="4" xr3:uid="{F2252E81-2BF9-4672-A706-4362895E4283}" name="Column4"/>
    <tableColumn id="5" xr3:uid="{21BCF05C-907B-4991-9D71-1D01B0419369}" name="Column5">
      <calculatedColumnFormula>D78/E78</calculatedColumnFormula>
    </tableColumn>
  </tableColumns>
  <tableStyleInfo name="TableStyleMedium7"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36C7C616-0992-417A-82DD-1109C09BDC2E}" name="Table11" displayName="Table11" ref="A1:AD6" totalsRowShown="0" headerRowDxfId="30" headerRowCellStyle="Normal 4" dataCellStyle="Normal 4">
  <autoFilter ref="A1:AD6" xr:uid="{78DD9C32-3141-4590-9D24-AF576A88D41F}"/>
  <tableColumns count="30">
    <tableColumn id="1" xr3:uid="{8649B8A2-55CC-4D8F-BF00-ABF2ED863FC3}" name="Area" dataCellStyle="Normal 4"/>
    <tableColumn id="2" xr3:uid="{F4AAB4E9-8A98-4121-AA82-EEB57E4B5545}" name="Item" dataCellStyle="Normal 4"/>
    <tableColumn id="3" xr3:uid="{80B21EA6-E545-41FD-B167-6A37BBB5D178}" name="Group" dataCellStyle="Normal 4"/>
    <tableColumn id="4" xr3:uid="{E76855CA-C248-4671-B12A-09F10D1003B9}" name="Element" dataCellStyle="Normal 4"/>
    <tableColumn id="5" xr3:uid="{A92F6D1E-0598-40FB-8AAC-D11B482A2841}" name="Unit" dataCellStyle="Normal 4"/>
    <tableColumn id="6" xr3:uid="{94CCCA5E-2DE1-4F7B-9E26-0FC62F263488}" name="Y1995" dataCellStyle="Normal 4"/>
    <tableColumn id="7" xr3:uid="{95F39503-949E-473E-AA9C-6FD1A35A4BB7}" name="Y1996" dataCellStyle="Normal 4"/>
    <tableColumn id="8" xr3:uid="{4E698FCD-F9FD-407F-A406-C4BE11DD18FB}" name="Y1997" dataCellStyle="Normal 4"/>
    <tableColumn id="9" xr3:uid="{47C1823F-029B-44EC-936F-1ED32790235B}" name="Y1998" dataCellStyle="Normal 4"/>
    <tableColumn id="10" xr3:uid="{A0857FB2-9DC6-49FB-BA90-B51CF6520FB8}" name="Y1999" dataCellStyle="Normal 4"/>
    <tableColumn id="11" xr3:uid="{63845CB9-5091-48AE-BC9C-E4C8D411069F}" name="Y2000" dataCellStyle="Normal 4"/>
    <tableColumn id="12" xr3:uid="{786D2536-979F-4DC7-ACE4-A05269CFEBE8}" name="Y2001" dataCellStyle="Normal 4"/>
    <tableColumn id="13" xr3:uid="{960BDB09-86F9-43BE-81D8-18C2089539E8}" name="Y2002" dataCellStyle="Normal 4"/>
    <tableColumn id="14" xr3:uid="{2BDA20CB-AA4E-4D4E-947F-099A4B45F568}" name="Y2003" dataCellStyle="Normal 4"/>
    <tableColumn id="15" xr3:uid="{BDD22462-C3BF-4EB6-A02C-E3D466E39421}" name="Y2004" dataCellStyle="Normal 4"/>
    <tableColumn id="16" xr3:uid="{A864C3E6-A6A7-4B80-823D-0AEB00624964}" name="Y2005" dataCellStyle="Normal 4"/>
    <tableColumn id="17" xr3:uid="{ECC16FC0-E952-4A68-BEBE-B2AC7237AAB5}" name="Y2006" dataCellStyle="Normal 4"/>
    <tableColumn id="18" xr3:uid="{4390F3C1-1C76-4DE2-8074-2108F9D61C5C}" name="Y2007" dataCellStyle="Normal 4"/>
    <tableColumn id="19" xr3:uid="{80214DA9-CD72-45C7-AE64-C7637B546A82}" name="Y2008" dataCellStyle="Normal 4"/>
    <tableColumn id="20" xr3:uid="{A1649EE8-8B9A-4C0B-AD28-7EC65B9FB8A0}" name="Y2009" dataCellStyle="Normal 4"/>
    <tableColumn id="21" xr3:uid="{987A6137-7736-4902-A296-2DE7B7330584}" name="Y2010" dataCellStyle="Normal 4"/>
    <tableColumn id="22" xr3:uid="{4F4B039A-2F34-474F-8F6D-508E3FB3EC16}" name="Y2011" dataCellStyle="Normal 4"/>
    <tableColumn id="23" xr3:uid="{8637D09C-419E-49A5-9152-43D90C37FDF8}" name="Y2012" dataCellStyle="Normal 4"/>
    <tableColumn id="24" xr3:uid="{02B4ADCE-0A8B-41E9-B9C1-6EE3E49D1981}" name="Y2013" dataCellStyle="Normal 4"/>
    <tableColumn id="25" xr3:uid="{F264DB02-AAF8-4B88-A7D5-26A88BAFE0AF}" name="Y2014" dataCellStyle="Normal 4"/>
    <tableColumn id="26" xr3:uid="{8CEBFC3F-4D45-4219-8EF4-B6CB37528145}" name="Y2015" dataCellStyle="Normal 4"/>
    <tableColumn id="27" xr3:uid="{0497B6DB-2579-463E-B7B5-22C438F2EE97}" name="Y2016" dataCellStyle="Normal 4"/>
    <tableColumn id="28" xr3:uid="{243915EE-CFB0-49E5-861D-A7E3F2F7B9C4}" name="Y2017" dataCellStyle="Normal 4"/>
    <tableColumn id="29" xr3:uid="{9C367C55-88B0-48B5-959F-16972F415D18}" name="Y2018" dataCellStyle="Normal 4"/>
    <tableColumn id="30" xr3:uid="{0CD3C9BE-5F63-4B86-92A0-11CEA5C78B32}" name="Average (1995-2018)" dataCellStyle="Normal 4"/>
  </tableColumns>
  <tableStyleInfo name="TableStyleLight16"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9CF8C2C-A99C-43D6-8DF0-DA6DEC238F0F}" name="Table12" displayName="Table12" ref="A9:AD15" totalsRowShown="0" headerRowCellStyle="Normal 4" dataCellStyle="Normal 4">
  <autoFilter ref="A9:AD15" xr:uid="{B3921CC6-48DE-4BA7-B25D-11F0533B0B43}"/>
  <tableColumns count="30">
    <tableColumn id="1" xr3:uid="{9F619E7D-23AC-4996-8709-E72DB26D0364}" name="Column1" dataCellStyle="Normal 4"/>
    <tableColumn id="2" xr3:uid="{E5476CCB-95F8-48B5-88DE-1D4D44757EC3}" name="Column2" dataCellStyle="Normal 4"/>
    <tableColumn id="3" xr3:uid="{07C749EF-6633-40D3-9A6D-86B37225617B}" name="Column3" dataCellStyle="Normal 4"/>
    <tableColumn id="4" xr3:uid="{7BBE7ADE-B109-44D6-A741-6DC93EF229E3}" name="Column4" dataCellStyle="Normal 4"/>
    <tableColumn id="5" xr3:uid="{F096D46E-F976-4212-A858-87CA3003873D}" name="Column5" dataCellStyle="Normal 4"/>
    <tableColumn id="6" xr3:uid="{A063289E-815C-4BD0-A851-84030C0F33AD}" name="Column6" dataCellStyle="Normal 4"/>
    <tableColumn id="7" xr3:uid="{93DD378A-3CF8-4933-A65D-62A84D2CAE6B}" name="Column7" dataCellStyle="Normal 4"/>
    <tableColumn id="8" xr3:uid="{4B523DB1-54FE-497F-85F3-D8B8B7586324}" name="Column8" dataCellStyle="Normal 4"/>
    <tableColumn id="9" xr3:uid="{00BBA34D-EDB3-4CCB-AFB9-A6CC27688554}" name="Column9" dataCellStyle="Normal 4"/>
    <tableColumn id="10" xr3:uid="{AF2D45FF-DA3C-4CBA-861D-384A09CD3638}" name="Column10" dataCellStyle="Normal 4"/>
    <tableColumn id="11" xr3:uid="{C53B73C0-916B-4172-AACB-50A4AA591DC8}" name="Column11" dataCellStyle="Normal 4"/>
    <tableColumn id="12" xr3:uid="{EFAF081E-0179-437E-AE33-8C6D7BA58FE7}" name="Column12" dataCellStyle="Normal 4"/>
    <tableColumn id="13" xr3:uid="{4326B797-DEE5-46CA-A1D7-EB1A2E05D977}" name="Column13" dataCellStyle="Normal 4"/>
    <tableColumn id="14" xr3:uid="{862BD67C-C5C9-4418-8908-71B5A5DBBFAB}" name="Column14" dataCellStyle="Normal 4"/>
    <tableColumn id="15" xr3:uid="{A052FCC5-29DD-4C40-9408-9B48DB7930F7}" name="Column15" dataCellStyle="Normal 4"/>
    <tableColumn id="16" xr3:uid="{AA794532-86E7-448D-85F4-BC86A95EC28F}" name="Column16" dataCellStyle="Normal 4"/>
    <tableColumn id="17" xr3:uid="{B249BFDD-3405-4079-B9FE-5BF1F2E64A58}" name="Column17" dataCellStyle="Normal 4"/>
    <tableColumn id="18" xr3:uid="{FD7BA26B-08BB-46F0-AA89-5D4D00395427}" name="Column18" dataCellStyle="Normal 4"/>
    <tableColumn id="19" xr3:uid="{D4E0739E-AF47-4651-AACC-DDB50D42AFE4}" name="Column19" dataCellStyle="Normal 4"/>
    <tableColumn id="20" xr3:uid="{486FCB75-81D1-418B-8E54-DE7646495E5B}" name="Column20" dataCellStyle="Normal 4"/>
    <tableColumn id="21" xr3:uid="{8EEC6540-D368-4653-A8D3-D95B0A4CAABF}" name="Column21" dataCellStyle="Normal 4"/>
    <tableColumn id="22" xr3:uid="{5F86EA19-0884-4B8A-BB70-C963BCA910E4}" name="Column22" dataCellStyle="Normal 4"/>
    <tableColumn id="23" xr3:uid="{7CDA2B3E-5FBF-497E-AD23-4916C9DF9AB3}" name="Column23" dataCellStyle="Normal 4"/>
    <tableColumn id="24" xr3:uid="{2928D9ED-BCF5-4943-9015-A11D2DF11C4A}" name="Column24" dataCellStyle="Normal 4"/>
    <tableColumn id="25" xr3:uid="{C68DF061-FDDE-4352-9983-9EC143ED63AD}" name="Column25" dataCellStyle="Normal 4"/>
    <tableColumn id="26" xr3:uid="{CD0C4902-8115-4F68-A0B9-7504A2FDC0FB}" name="Column26" dataCellStyle="Normal 4"/>
    <tableColumn id="27" xr3:uid="{F0E56F8C-9CF8-4187-991C-AD7C8BE5CBC0}" name="Column27" dataCellStyle="Normal 4"/>
    <tableColumn id="28" xr3:uid="{3127ABDC-0B95-4EF1-8156-868C47C33AE0}" name="Column28" dataCellStyle="Normal 4"/>
    <tableColumn id="29" xr3:uid="{E40F2F2B-6787-4939-873D-537FD064CCB4}" name="Column29" dataCellStyle="Normal 4"/>
    <tableColumn id="30" xr3:uid="{1F865957-9F95-49C7-9257-CE1FFAA272CF}" name="Column30" dataCellStyle="Normal 4"/>
  </tableColumns>
  <tableStyleInfo name="TableStyleLight16"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9ACF8D4A-B10E-4D30-AAA5-C0BBD55EDF3E}" name="Table13" displayName="Table13" ref="A17:AD49" totalsRowShown="0" headerRowCellStyle="Normal 4" dataCellStyle="Normal 4">
  <autoFilter ref="A17:AD49" xr:uid="{C8F8FE10-61DD-4708-B037-3885168FF10C}"/>
  <tableColumns count="30">
    <tableColumn id="1" xr3:uid="{FBAEC659-6A52-46D6-BD28-8551580AB534}" name="Column1" dataCellStyle="Normal 4"/>
    <tableColumn id="2" xr3:uid="{A886F64E-A8B7-45FA-897C-01B406B33663}" name="Column2" dataCellStyle="Normal 4"/>
    <tableColumn id="3" xr3:uid="{8471ABED-CCBF-42D0-B3C9-86475C749147}" name="Column3" dataCellStyle="Normal 4"/>
    <tableColumn id="4" xr3:uid="{50A78EEE-F3AD-4B7E-8D3D-5DB161A2DF85}" name="Column4" dataCellStyle="Normal 4"/>
    <tableColumn id="5" xr3:uid="{DCDCB5EF-4B0D-4C03-9E5D-46AEE2738F4C}" name="Column5" dataCellStyle="Normal 4"/>
    <tableColumn id="6" xr3:uid="{D96303CA-A343-4A4A-80BD-D104BC5F9F1C}" name="Column6" dataCellStyle="Normal 4"/>
    <tableColumn id="7" xr3:uid="{6DEBE1D8-373C-4437-A96E-AF9E5B020C37}" name="Column7" dataCellStyle="Normal 4"/>
    <tableColumn id="8" xr3:uid="{763D19B7-CDF4-446B-9DA2-1F4A92248BF5}" name="Column8" dataCellStyle="Normal 4"/>
    <tableColumn id="9" xr3:uid="{CC0B9CEE-3EFE-4695-B34C-CB90A86EA7A0}" name="Column9" dataCellStyle="Normal 4"/>
    <tableColumn id="10" xr3:uid="{459F1754-01BE-4568-84C5-46E454E88977}" name="Column10" dataCellStyle="Normal 4"/>
    <tableColumn id="11" xr3:uid="{34409218-8C51-4A5C-AC5A-136451966800}" name="Column11" dataCellStyle="Normal 4"/>
    <tableColumn id="12" xr3:uid="{9214E583-E8E2-4357-AE49-0A46C7291CF2}" name="Column12" dataCellStyle="Normal 4"/>
    <tableColumn id="13" xr3:uid="{CAAF62DA-00D1-4BD3-92F5-1954FD68A704}" name="Column13" dataCellStyle="Normal 4"/>
    <tableColumn id="14" xr3:uid="{9E3E14D6-4C1F-4820-AD28-4710943988FE}" name="Column14" dataCellStyle="Normal 4"/>
    <tableColumn id="15" xr3:uid="{D2A47056-FF56-4405-BF40-F87FBD2B9122}" name="Column15" dataCellStyle="Normal 4"/>
    <tableColumn id="16" xr3:uid="{0EA68BDF-7659-420F-8B93-30A728D4C901}" name="Column16" dataCellStyle="Normal 4"/>
    <tableColumn id="17" xr3:uid="{60C3AE50-9671-4126-9DE0-3F21FD23E2B4}" name="Column17" dataCellStyle="Normal 4"/>
    <tableColumn id="18" xr3:uid="{7A099B4E-5145-454F-ABDB-3CF12E6F1655}" name="Column18" dataCellStyle="Normal 4"/>
    <tableColumn id="19" xr3:uid="{B260E74E-6883-42F1-A3FD-1AA032F2F34A}" name="Column19" dataCellStyle="Normal 4"/>
    <tableColumn id="20" xr3:uid="{AFDD20B2-86AA-4B50-BFC5-579FDFE3B080}" name="Column20" dataCellStyle="Normal 4"/>
    <tableColumn id="21" xr3:uid="{5E16A2AB-8228-41C2-BB7B-6533B6F4431A}" name="Column21" dataCellStyle="Normal 4"/>
    <tableColumn id="22" xr3:uid="{4E056882-F988-4C88-BDFE-F67341D7C61C}" name="Column22" dataCellStyle="Normal 4"/>
    <tableColumn id="23" xr3:uid="{D8CEB8AD-BD12-4297-AF5D-806572759B6B}" name="Column23" dataCellStyle="Normal 4"/>
    <tableColumn id="24" xr3:uid="{5B47D692-6E2D-43D2-B681-BA4754E4E096}" name="Column24" dataCellStyle="Normal 4"/>
    <tableColumn id="25" xr3:uid="{B2BE29C2-4147-4567-A385-842D94BF22DA}" name="Column25" dataCellStyle="Normal 4"/>
    <tableColumn id="26" xr3:uid="{15125974-3BF8-4732-9EE2-54274D4B195A}" name="Column26" dataCellStyle="Normal 4"/>
    <tableColumn id="27" xr3:uid="{E5C452CC-EE83-40D1-8DE9-D12ECC37E8B4}" name="Column27" dataCellStyle="Normal 4"/>
    <tableColumn id="28" xr3:uid="{1A431CBF-97FE-43D9-89BC-1CA7EAF8DDDB}" name="Column28" dataCellStyle="Normal 4"/>
    <tableColumn id="29" xr3:uid="{51AEE58A-99C2-49EE-82EE-A59EC6173B51}" name="Column29" dataCellStyle="Normal 4"/>
    <tableColumn id="30" xr3:uid="{8E0943AC-03D6-4C63-8093-DADF1E878487}" name="Column30" dataCellStyle="Normal 4"/>
  </tableColumns>
  <tableStyleInfo name="TableStyleLight16"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table" Target="../tables/table2.xml"/><Relationship Id="rId7" Type="http://schemas.openxmlformats.org/officeDocument/2006/relationships/table" Target="../tables/table6.xml"/><Relationship Id="rId2" Type="http://schemas.openxmlformats.org/officeDocument/2006/relationships/printerSettings" Target="../printerSettings/printerSettings9.bin"/><Relationship Id="rId1" Type="http://schemas.openxmlformats.org/officeDocument/2006/relationships/hyperlink" Target="https://agronomy.emu.ee/wp-content/uploads/2018/05/Vol16S2_5.pdf" TargetMode="External"/><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hyperlink" Target="https://ghgprotocol.org/sites/default/files/Emission_Factors_from_Cross_Sector_Tools_March_2017.xlsx" TargetMode="External"/></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hyperlink" Target="https://ghgprotocol.org/calculation-tools" TargetMode="External"/></Relationships>
</file>

<file path=xl/worksheets/_rels/sheet22.xml.rels><?xml version="1.0" encoding="UTF-8" standalone="yes"?>
<Relationships xmlns="http://schemas.openxmlformats.org/package/2006/relationships"><Relationship Id="rId2" Type="http://schemas.openxmlformats.org/officeDocument/2006/relationships/printerSettings" Target="../printerSettings/printerSettings21.bin"/><Relationship Id="rId1" Type="http://schemas.openxmlformats.org/officeDocument/2006/relationships/hyperlink" Target="https://ghgprotocol.org/sites/default/files/Emission_Factors_from_Cross_Sector_Tools_March_2017.xlsx" TargetMode="External"/></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25.bin"/><Relationship Id="rId1" Type="http://schemas.openxmlformats.org/officeDocument/2006/relationships/hyperlink" Target="https://ghgprotocol.org/sites/default/files/Emission_Factors_from_Cross_Sector_Tools_March_2017.xlsx" TargetMode="External"/></Relationships>
</file>

<file path=xl/worksheets/_rels/sheet27.xml.rels><?xml version="1.0" encoding="UTF-8" standalone="yes"?>
<Relationships xmlns="http://schemas.openxmlformats.org/package/2006/relationships"><Relationship Id="rId3" Type="http://schemas.openxmlformats.org/officeDocument/2006/relationships/table" Target="../tables/table8.xml"/><Relationship Id="rId2" Type="http://schemas.openxmlformats.org/officeDocument/2006/relationships/table" Target="../tables/table7.xml"/><Relationship Id="rId1" Type="http://schemas.openxmlformats.org/officeDocument/2006/relationships/printerSettings" Target="../printerSettings/printerSettings26.bin"/><Relationship Id="rId6" Type="http://schemas.openxmlformats.org/officeDocument/2006/relationships/table" Target="../tables/table11.xml"/><Relationship Id="rId5" Type="http://schemas.openxmlformats.org/officeDocument/2006/relationships/table" Target="../tables/table10.xml"/><Relationship Id="rId4" Type="http://schemas.openxmlformats.org/officeDocument/2006/relationships/table" Target="../tables/table9.xml"/></Relationships>
</file>

<file path=xl/worksheets/_rels/sheet28.xml.rels><?xml version="1.0" encoding="UTF-8" standalone="yes"?>
<Relationships xmlns="http://schemas.openxmlformats.org/package/2006/relationships"><Relationship Id="rId3" Type="http://schemas.openxmlformats.org/officeDocument/2006/relationships/table" Target="../tables/table13.xml"/><Relationship Id="rId2" Type="http://schemas.openxmlformats.org/officeDocument/2006/relationships/table" Target="../tables/table12.xml"/><Relationship Id="rId1" Type="http://schemas.openxmlformats.org/officeDocument/2006/relationships/printerSettings" Target="../printerSettings/printerSettings27.bin"/><Relationship Id="rId6" Type="http://schemas.openxmlformats.org/officeDocument/2006/relationships/table" Target="../tables/table16.xml"/><Relationship Id="rId5" Type="http://schemas.openxmlformats.org/officeDocument/2006/relationships/table" Target="../tables/table15.xml"/><Relationship Id="rId4" Type="http://schemas.openxmlformats.org/officeDocument/2006/relationships/table" Target="../tables/table14.xml"/></Relationships>
</file>

<file path=xl/worksheets/_rels/sheet29.xml.rels><?xml version="1.0" encoding="UTF-8" standalone="yes"?>
<Relationships xmlns="http://schemas.openxmlformats.org/package/2006/relationships"><Relationship Id="rId3" Type="http://schemas.openxmlformats.org/officeDocument/2006/relationships/table" Target="../tables/table18.xml"/><Relationship Id="rId2" Type="http://schemas.openxmlformats.org/officeDocument/2006/relationships/table" Target="../tables/table17.xml"/><Relationship Id="rId1" Type="http://schemas.openxmlformats.org/officeDocument/2006/relationships/printerSettings" Target="../printerSettings/printerSettings28.bin"/><Relationship Id="rId6" Type="http://schemas.openxmlformats.org/officeDocument/2006/relationships/table" Target="../tables/table21.xml"/><Relationship Id="rId5" Type="http://schemas.openxmlformats.org/officeDocument/2006/relationships/table" Target="../tables/table20.xml"/><Relationship Id="rId4" Type="http://schemas.openxmlformats.org/officeDocument/2006/relationships/table" Target="../tables/table19.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8" Type="http://schemas.openxmlformats.org/officeDocument/2006/relationships/control" Target="../activeX/activeX4.xml"/><Relationship Id="rId3" Type="http://schemas.openxmlformats.org/officeDocument/2006/relationships/vmlDrawing" Target="../drawings/vmlDrawing1.vml"/><Relationship Id="rId7" Type="http://schemas.openxmlformats.org/officeDocument/2006/relationships/control" Target="../activeX/activeX3.xml"/><Relationship Id="rId2" Type="http://schemas.openxmlformats.org/officeDocument/2006/relationships/drawing" Target="../drawings/drawing1.xml"/><Relationship Id="rId1" Type="http://schemas.openxmlformats.org/officeDocument/2006/relationships/printerSettings" Target="../printerSettings/printerSettings29.bin"/><Relationship Id="rId6" Type="http://schemas.openxmlformats.org/officeDocument/2006/relationships/control" Target="../activeX/activeX2.xml"/><Relationship Id="rId5" Type="http://schemas.openxmlformats.org/officeDocument/2006/relationships/image" Target="../media/image1.emf"/><Relationship Id="rId9" Type="http://schemas.openxmlformats.org/officeDocument/2006/relationships/image" Target="../media/image2.emf"/><Relationship Id="rId4" Type="http://schemas.openxmlformats.org/officeDocument/2006/relationships/control" Target="../activeX/activeX1.xml"/></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3" Type="http://schemas.openxmlformats.org/officeDocument/2006/relationships/hyperlink" Target="http://www.ansd.sn/ressources/ses/SES-Sedhiou-2019.pdf" TargetMode="External"/><Relationship Id="rId2" Type="http://schemas.openxmlformats.org/officeDocument/2006/relationships/hyperlink" Target="http://www.ansd.sn/ressources/publications/12-SES-2017-2018_Peche-aquaculture.pdf" TargetMode="External"/><Relationship Id="rId1" Type="http://schemas.openxmlformats.org/officeDocument/2006/relationships/hyperlink" Target="https://livestocklab.ifas.ufl.edu/media/livestocklabifasufledu/pdf-/LSIL_Livestock_Systems_Overview_Ethiopia_2021_08.pdf" TargetMode="External"/><Relationship Id="rId6" Type="http://schemas.openxmlformats.org/officeDocument/2006/relationships/printerSettings" Target="../printerSettings/printerSettings34.bin"/><Relationship Id="rId5" Type="http://schemas.openxmlformats.org/officeDocument/2006/relationships/hyperlink" Target="https://www.stat-guinee.org/images/Documents/Publications/INS/annuelles/annuaire/ANNUAIRE_STATISTIQUE_AGRICOLE__2019_INS_FINALISE.pdf" TargetMode="External"/><Relationship Id="rId4" Type="http://schemas.openxmlformats.org/officeDocument/2006/relationships/hyperlink" Target="http://www.ansd.sn/ressources/ses/SES-Kolda-2019.pdf" TargetMode="External"/></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3" Type="http://schemas.openxmlformats.org/officeDocument/2006/relationships/table" Target="../tables/table23.xml"/><Relationship Id="rId2" Type="http://schemas.openxmlformats.org/officeDocument/2006/relationships/table" Target="../tables/table22.xml"/><Relationship Id="rId1" Type="http://schemas.openxmlformats.org/officeDocument/2006/relationships/printerSettings" Target="../printerSettings/printerSettings36.bin"/><Relationship Id="rId6" Type="http://schemas.openxmlformats.org/officeDocument/2006/relationships/table" Target="../tables/table26.xml"/><Relationship Id="rId5" Type="http://schemas.openxmlformats.org/officeDocument/2006/relationships/table" Target="../tables/table25.xml"/><Relationship Id="rId4" Type="http://schemas.openxmlformats.org/officeDocument/2006/relationships/table" Target="../tables/table2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5.bin"/><Relationship Id="rId1" Type="http://schemas.openxmlformats.org/officeDocument/2006/relationships/hyperlink" Target="https://ghgprotocol.org/calculation-tools"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s://ghgprotocol.org/sites/default/files/Emission_Factors_from_Cross_Sector_Tools_March_2017.xlsx" TargetMode="External"/></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s://ghgprotocol.org/sites/default/files/Emission_Factors_from_Cross_Sector_Tools_March_2017.xlsx" TargetMode="Externa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s://www.adb.org/sites/default/files/publication/28555/estimating-carbon-footprints-road-projects.pdf" TargetMode="External"/><Relationship Id="rId1" Type="http://schemas.openxmlformats.org/officeDocument/2006/relationships/hyperlink" Target="https://www.adb.org/sites/default/files/publication/28555/estimating-carbon-footprints-road-projects.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245C6C-431C-4188-AD9A-8EAD6FD4801D}">
  <sheetPr codeName="Sheet28">
    <tabColor rgb="FF0070C0"/>
  </sheetPr>
  <dimension ref="A1:E7"/>
  <sheetViews>
    <sheetView zoomScale="130" zoomScaleNormal="130" workbookViewId="0">
      <selection activeCell="C4" sqref="C4"/>
    </sheetView>
  </sheetViews>
  <sheetFormatPr defaultRowHeight="12.6"/>
  <cols>
    <col min="1" max="1" width="15.42578125" customWidth="1"/>
    <col min="2" max="2" width="31.7109375" customWidth="1"/>
    <col min="3" max="3" width="30.140625" customWidth="1"/>
    <col min="4" max="4" width="18.28515625" customWidth="1"/>
    <col min="5" max="5" width="37.140625" customWidth="1"/>
  </cols>
  <sheetData>
    <row r="1" spans="1:5">
      <c r="B1" s="2" t="s">
        <v>0</v>
      </c>
    </row>
    <row r="2" spans="1:5" ht="12.95" thickBot="1">
      <c r="B2" s="2"/>
    </row>
    <row r="3" spans="1:5" ht="26.1">
      <c r="A3" s="448" t="s">
        <v>1</v>
      </c>
      <c r="B3" s="449" t="s">
        <v>2</v>
      </c>
      <c r="C3" s="450" t="s">
        <v>3</v>
      </c>
      <c r="D3" s="734" t="s">
        <v>4</v>
      </c>
      <c r="E3" s="737" t="s">
        <v>5</v>
      </c>
    </row>
    <row r="4" spans="1:5">
      <c r="A4" s="445" t="s">
        <v>6</v>
      </c>
      <c r="B4" s="19">
        <v>15379000</v>
      </c>
      <c r="C4" s="732">
        <f>+'Emissions CalculationsTogo'!C57</f>
        <v>2804321.5515269428</v>
      </c>
      <c r="D4" s="735">
        <f>+C4/B4</f>
        <v>0.18234745767130131</v>
      </c>
      <c r="E4" s="18" t="s">
        <v>7</v>
      </c>
    </row>
    <row r="5" spans="1:5">
      <c r="A5" s="445" t="s">
        <v>8</v>
      </c>
      <c r="B5" s="19">
        <v>26611005</v>
      </c>
      <c r="C5" s="732">
        <f>+'Emissions CalculationsSenegal'!C59</f>
        <v>4401651.0069563035</v>
      </c>
      <c r="D5" s="735">
        <f>+C5/B5</f>
        <v>0.16540716921274876</v>
      </c>
      <c r="E5" s="18" t="s">
        <v>9</v>
      </c>
    </row>
    <row r="6" spans="1:5">
      <c r="A6" s="445" t="s">
        <v>10</v>
      </c>
      <c r="B6" s="19">
        <v>19246000</v>
      </c>
      <c r="C6" s="732">
        <f>+'Emissions CalculationsGuinea '!C58</f>
        <v>3667901.5170707563</v>
      </c>
      <c r="D6" s="735">
        <f>+C6/B6</f>
        <v>0.19057993957553551</v>
      </c>
      <c r="E6" s="18" t="s">
        <v>11</v>
      </c>
    </row>
    <row r="7" spans="1:5" ht="12.95" thickBot="1">
      <c r="A7" s="446" t="s">
        <v>12</v>
      </c>
      <c r="B7" s="447">
        <f>SUM(B4:B6)</f>
        <v>61236005</v>
      </c>
      <c r="C7" s="733">
        <f>SUM(C4:C6)</f>
        <v>10873874.075554002</v>
      </c>
      <c r="D7" s="736">
        <f>+C7/B7</f>
        <v>0.17757321163511569</v>
      </c>
      <c r="E7" s="18"/>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95BF85-230E-4CE2-884E-183FAA500E85}">
  <sheetPr codeName="Sheet14">
    <tabColor theme="7" tint="-0.249977111117893"/>
  </sheetPr>
  <dimension ref="B1:L117"/>
  <sheetViews>
    <sheetView zoomScale="115" zoomScaleNormal="115" workbookViewId="0">
      <selection activeCell="E85" sqref="E85"/>
    </sheetView>
  </sheetViews>
  <sheetFormatPr defaultColWidth="8.7109375" defaultRowHeight="14.45"/>
  <cols>
    <col min="1" max="1" width="8.7109375" style="56"/>
    <col min="2" max="2" width="13.85546875" style="56" customWidth="1"/>
    <col min="3" max="3" width="27.140625" style="56" customWidth="1"/>
    <col min="4" max="4" width="30.5703125" style="56" customWidth="1"/>
    <col min="5" max="5" width="27.140625" style="56" customWidth="1"/>
    <col min="6" max="6" width="22.5703125" style="56" bestFit="1" customWidth="1"/>
    <col min="7" max="7" width="28.140625" style="56" customWidth="1"/>
    <col min="8" max="8" width="30" style="56" customWidth="1"/>
    <col min="9" max="9" width="32" style="56" customWidth="1"/>
    <col min="10" max="10" width="3.85546875" style="56" customWidth="1"/>
    <col min="11" max="11" width="14.5703125" style="56" customWidth="1"/>
    <col min="12" max="12" width="12.42578125" style="56" customWidth="1"/>
    <col min="13" max="16384" width="8.7109375" style="56"/>
  </cols>
  <sheetData>
    <row r="1" spans="2:12" ht="23.45">
      <c r="C1" s="891" t="s">
        <v>512</v>
      </c>
      <c r="D1" s="891"/>
      <c r="E1" s="891"/>
      <c r="F1" s="891"/>
      <c r="G1" s="57"/>
    </row>
    <row r="2" spans="2:12">
      <c r="F2" s="850" t="s">
        <v>513</v>
      </c>
      <c r="G2" s="56">
        <v>0.8</v>
      </c>
    </row>
    <row r="3" spans="2:12" ht="18.600000000000001" hidden="1">
      <c r="C3" s="67" t="s">
        <v>514</v>
      </c>
    </row>
    <row r="4" spans="2:12" s="52" customFormat="1" ht="29.1" hidden="1">
      <c r="B4" s="75" t="s">
        <v>515</v>
      </c>
      <c r="C4" s="76" t="s">
        <v>516</v>
      </c>
      <c r="D4" s="77" t="s">
        <v>517</v>
      </c>
      <c r="E4" s="77" t="s">
        <v>518</v>
      </c>
      <c r="F4" s="76" t="s">
        <v>519</v>
      </c>
      <c r="G4" s="76" t="s">
        <v>520</v>
      </c>
      <c r="H4" s="76" t="s">
        <v>521</v>
      </c>
      <c r="I4" s="72" t="s">
        <v>522</v>
      </c>
    </row>
    <row r="5" spans="2:12" hidden="1">
      <c r="B5" s="68" t="s">
        <v>523</v>
      </c>
      <c r="C5" s="78">
        <v>8746.48</v>
      </c>
      <c r="D5" s="78">
        <f>+'Ethiopia Crop Yields'!AD15/10</f>
        <v>1743.4283333333333</v>
      </c>
      <c r="E5" s="54">
        <f>+C5*D5</f>
        <v>15248861.048933333</v>
      </c>
      <c r="F5" s="54">
        <v>0.12</v>
      </c>
      <c r="G5" s="54">
        <f>+E5*(1-F5)</f>
        <v>13418997.723061332</v>
      </c>
      <c r="H5" s="55">
        <v>1603.08</v>
      </c>
      <c r="I5" s="851">
        <f>+(H5*G5)/1000</f>
        <v>21511726.869885158</v>
      </c>
    </row>
    <row r="6" spans="2:12" ht="23.1" hidden="1">
      <c r="B6" s="68" t="s">
        <v>524</v>
      </c>
      <c r="C6" s="54">
        <v>1962</v>
      </c>
      <c r="D6" s="78">
        <f>'Ethiopia Crop Yields'!AD71/10</f>
        <v>9877.359375</v>
      </c>
      <c r="E6" s="54">
        <f>+C6*D6</f>
        <v>19379379.09375</v>
      </c>
      <c r="F6" s="54">
        <v>0.12</v>
      </c>
      <c r="G6" s="54">
        <f>+E6*(1-F6)</f>
        <v>17053853.602499999</v>
      </c>
      <c r="H6" s="55">
        <v>8322</v>
      </c>
      <c r="I6" s="851">
        <f>+(H6*G6)/1000</f>
        <v>141922169.68000501</v>
      </c>
    </row>
    <row r="7" spans="2:12" ht="23.1" hidden="1">
      <c r="B7" s="68" t="s">
        <v>525</v>
      </c>
      <c r="C7" s="78">
        <v>2842.6060000000002</v>
      </c>
      <c r="D7" s="78">
        <f>+'Ethiopia Crop Yields'!AD64/10</f>
        <v>1754.3859164957848</v>
      </c>
      <c r="E7" s="54">
        <f>+C7*D7</f>
        <v>4987027.9325464172</v>
      </c>
      <c r="F7" s="54">
        <v>0.12</v>
      </c>
      <c r="G7" s="54">
        <f>+E7*(1-F7)</f>
        <v>4388584.5806408469</v>
      </c>
      <c r="H7" s="55">
        <v>5080.7999999999993</v>
      </c>
      <c r="I7" s="851">
        <f>+(H7*G7)/1000</f>
        <v>22297520.53732001</v>
      </c>
    </row>
    <row r="8" spans="2:12" ht="23.1" hidden="1">
      <c r="B8" s="68" t="s">
        <v>526</v>
      </c>
      <c r="C8" s="78">
        <v>6997.1840000000002</v>
      </c>
      <c r="D8" s="78">
        <f>+'Ethiopia Crop Yields'!AD49/10</f>
        <v>5914.1751657369232</v>
      </c>
      <c r="E8" s="54">
        <f>+C8*D8</f>
        <v>41382571.842891745</v>
      </c>
      <c r="F8" s="54">
        <v>0.12</v>
      </c>
      <c r="G8" s="54">
        <f>+E8*(1-F8)</f>
        <v>36416663.221744739</v>
      </c>
      <c r="H8" s="55">
        <v>1261.4399999999998</v>
      </c>
      <c r="I8" s="851">
        <f>+(H8*G8)/1000</f>
        <v>45937435.654437676</v>
      </c>
    </row>
    <row r="9" spans="2:12" hidden="1">
      <c r="B9" s="73" t="s">
        <v>12</v>
      </c>
      <c r="C9" s="84">
        <f>SUM(C5:C8)</f>
        <v>20548.27</v>
      </c>
      <c r="D9" s="62">
        <f>SUM(D5:D8)</f>
        <v>19289.34879056604</v>
      </c>
      <c r="E9" s="62">
        <f>SUM(E5:E8)</f>
        <v>80997839.918121487</v>
      </c>
      <c r="F9" s="62"/>
      <c r="G9" s="62">
        <f>SUM(G5:G8)</f>
        <v>71278099.127946913</v>
      </c>
      <c r="H9" s="62">
        <f>SUM(H5:H8)</f>
        <v>16267.32</v>
      </c>
      <c r="I9" s="74">
        <f>SUM(I5:I8)</f>
        <v>231668852.74164784</v>
      </c>
    </row>
    <row r="10" spans="2:12" hidden="1">
      <c r="B10" s="61"/>
      <c r="C10" s="62"/>
      <c r="D10" s="62"/>
      <c r="E10" s="62"/>
      <c r="F10" s="62"/>
      <c r="G10" s="62"/>
      <c r="H10" s="62"/>
      <c r="I10" s="63"/>
    </row>
    <row r="11" spans="2:12" ht="23.45" hidden="1" customHeight="1">
      <c r="B11" s="108" t="s">
        <v>527</v>
      </c>
      <c r="C11" s="55"/>
      <c r="D11" s="852">
        <f>I9</f>
        <v>231668852.74164784</v>
      </c>
      <c r="F11" s="57"/>
      <c r="G11" s="57"/>
      <c r="H11" s="57"/>
      <c r="I11" s="57"/>
    </row>
    <row r="12" spans="2:12" ht="23.45" hidden="1" customHeight="1">
      <c r="B12" s="108" t="s">
        <v>528</v>
      </c>
      <c r="C12" s="55"/>
      <c r="D12" s="853">
        <v>0.56171000000000004</v>
      </c>
      <c r="F12" s="854" t="s">
        <v>529</v>
      </c>
      <c r="G12" s="701">
        <f>D16/(365*12)</f>
        <v>31874.093438030057</v>
      </c>
      <c r="H12" s="57"/>
      <c r="I12" s="57"/>
    </row>
    <row r="13" spans="2:12" ht="23.45" hidden="1" customHeight="1">
      <c r="B13" s="108" t="s">
        <v>530</v>
      </c>
      <c r="C13" s="55"/>
      <c r="D13" s="852">
        <f>D11*D12</f>
        <v>130130711.27351102</v>
      </c>
      <c r="F13" s="855"/>
      <c r="G13" s="57"/>
      <c r="H13" s="57"/>
      <c r="I13" s="57"/>
    </row>
    <row r="14" spans="2:12" ht="38.450000000000003" hidden="1">
      <c r="B14" s="108" t="s">
        <v>531</v>
      </c>
      <c r="C14" s="55"/>
      <c r="D14" s="852">
        <f>EthiopiaDigesterAnaly!B68</f>
        <v>18443887.866653681</v>
      </c>
      <c r="E14" s="57"/>
      <c r="F14" s="18"/>
      <c r="G14" s="17" t="s">
        <v>532</v>
      </c>
      <c r="H14" s="17" t="s">
        <v>533</v>
      </c>
      <c r="I14" s="17" t="s">
        <v>534</v>
      </c>
      <c r="K14" s="17" t="s">
        <v>535</v>
      </c>
      <c r="L14" s="19">
        <v>45961086</v>
      </c>
    </row>
    <row r="15" spans="2:12" ht="24" hidden="1" customHeight="1">
      <c r="B15" s="108" t="s">
        <v>536</v>
      </c>
      <c r="C15" s="55"/>
      <c r="D15" s="852">
        <f>D13-D14</f>
        <v>111686823.40685734</v>
      </c>
      <c r="E15" s="57"/>
      <c r="F15" s="18" t="s">
        <v>511</v>
      </c>
      <c r="G15" s="19">
        <v>31874</v>
      </c>
      <c r="H15" s="18">
        <f>G15/$G$19</f>
        <v>0.63756925969635747</v>
      </c>
      <c r="I15" s="755">
        <f>H15*$L$16/1000</f>
        <v>22669.212401016142</v>
      </c>
      <c r="K15" s="17" t="s">
        <v>537</v>
      </c>
      <c r="L15" s="19">
        <v>10405400</v>
      </c>
    </row>
    <row r="16" spans="2:12" ht="51" hidden="1">
      <c r="B16" s="108" t="s">
        <v>538</v>
      </c>
      <c r="C16" s="55"/>
      <c r="D16" s="856">
        <f>D15/PVEfficiency</f>
        <v>139608529.25857165</v>
      </c>
      <c r="E16" s="57"/>
      <c r="F16" s="18" t="s">
        <v>10</v>
      </c>
      <c r="G16" s="19">
        <v>5245</v>
      </c>
      <c r="H16" s="18">
        <f t="shared" ref="H16:H18" si="0">G16/$G$19</f>
        <v>0.10491468805632789</v>
      </c>
      <c r="I16" s="755">
        <f t="shared" ref="I16:I18" si="1">H16*$L$16/1000</f>
        <v>3730.3137053187447</v>
      </c>
      <c r="K16" s="17" t="s">
        <v>539</v>
      </c>
      <c r="L16" s="755">
        <f>L14-L15</f>
        <v>35555686</v>
      </c>
    </row>
    <row r="17" spans="2:12" ht="26.1" hidden="1">
      <c r="B17" s="109" t="s">
        <v>540</v>
      </c>
      <c r="C17" s="55"/>
      <c r="D17" s="754">
        <f>'Revised PV calculations'!C10</f>
        <v>20866.940534576923</v>
      </c>
      <c r="E17" s="57"/>
      <c r="F17" s="18" t="s">
        <v>8</v>
      </c>
      <c r="G17" s="19">
        <v>3597</v>
      </c>
      <c r="H17" s="18">
        <f t="shared" si="0"/>
        <v>7.1950073010221424E-2</v>
      </c>
      <c r="I17" s="755">
        <f t="shared" si="1"/>
        <v>2558.2342036285081</v>
      </c>
      <c r="K17" s="17" t="s">
        <v>541</v>
      </c>
      <c r="L17" s="755">
        <v>1</v>
      </c>
    </row>
    <row r="18" spans="2:12" hidden="1">
      <c r="B18" s="79"/>
      <c r="D18" s="66"/>
      <c r="E18" s="57"/>
      <c r="F18" s="18" t="s">
        <v>6</v>
      </c>
      <c r="G18" s="19">
        <v>9277</v>
      </c>
      <c r="H18" s="18">
        <f t="shared" si="0"/>
        <v>0.1855659792370932</v>
      </c>
      <c r="I18" s="755">
        <f t="shared" si="1"/>
        <v>6597.9256900366054</v>
      </c>
    </row>
    <row r="19" spans="2:12" hidden="1">
      <c r="B19" s="79"/>
      <c r="D19" s="66"/>
      <c r="E19" s="57"/>
      <c r="F19" s="756" t="s">
        <v>12</v>
      </c>
      <c r="G19" s="757">
        <f>SUM(G15:G18)</f>
        <v>49993</v>
      </c>
      <c r="H19" s="756"/>
      <c r="I19" s="755">
        <f>SUM(I15:I18)</f>
        <v>35555.686000000002</v>
      </c>
    </row>
    <row r="20" spans="2:12" ht="18.600000000000001">
      <c r="B20" s="67" t="s">
        <v>542</v>
      </c>
      <c r="D20" s="66"/>
      <c r="E20" s="57"/>
      <c r="F20" s="57"/>
      <c r="G20" s="57"/>
      <c r="H20" s="57"/>
      <c r="I20" s="57"/>
    </row>
    <row r="21" spans="2:12" s="52" customFormat="1" ht="29.1">
      <c r="B21" s="69" t="s">
        <v>515</v>
      </c>
      <c r="C21" s="70" t="s">
        <v>516</v>
      </c>
      <c r="D21" s="70" t="s">
        <v>517</v>
      </c>
      <c r="E21" s="70" t="s">
        <v>518</v>
      </c>
      <c r="F21" s="71" t="s">
        <v>519</v>
      </c>
      <c r="G21" s="71" t="s">
        <v>520</v>
      </c>
      <c r="H21" s="71" t="s">
        <v>521</v>
      </c>
      <c r="I21" s="72" t="s">
        <v>522</v>
      </c>
    </row>
    <row r="22" spans="2:12">
      <c r="B22" s="68" t="s">
        <v>523</v>
      </c>
      <c r="C22" s="54">
        <v>3960</v>
      </c>
      <c r="D22" s="78" t="e">
        <f>#REF!/10</f>
        <v>#REF!</v>
      </c>
      <c r="E22" s="54" t="e">
        <f>+C22*D22</f>
        <v>#REF!</v>
      </c>
      <c r="F22" s="54">
        <v>0.12</v>
      </c>
      <c r="G22" s="54" t="e">
        <f>+E22*(1-F22)</f>
        <v>#REF!</v>
      </c>
      <c r="H22" s="55">
        <v>1603.08</v>
      </c>
      <c r="I22" s="851" t="e">
        <f>+(H22*G22)/1000</f>
        <v>#REF!</v>
      </c>
    </row>
    <row r="23" spans="2:12" ht="23.1">
      <c r="B23" s="68" t="s">
        <v>524</v>
      </c>
      <c r="C23" s="54">
        <v>150</v>
      </c>
      <c r="D23" s="78" t="e">
        <f>#REF!/10</f>
        <v>#REF!</v>
      </c>
      <c r="E23" s="54" t="e">
        <f>+C23*D23</f>
        <v>#REF!</v>
      </c>
      <c r="F23" s="54">
        <v>0.12</v>
      </c>
      <c r="G23" s="54" t="e">
        <f>+E23*(1-F23)</f>
        <v>#REF!</v>
      </c>
      <c r="H23" s="55">
        <v>8322</v>
      </c>
      <c r="I23" s="851" t="e">
        <f>+(H23*G23)/1000</f>
        <v>#REF!</v>
      </c>
    </row>
    <row r="24" spans="2:12" ht="23.1">
      <c r="B24" s="68" t="s">
        <v>525</v>
      </c>
      <c r="C24" s="54">
        <v>4445</v>
      </c>
      <c r="D24" s="78" t="e">
        <f>#REF!/10</f>
        <v>#REF!</v>
      </c>
      <c r="E24" s="54" t="e">
        <f>+C24*D24</f>
        <v>#REF!</v>
      </c>
      <c r="F24" s="54">
        <v>0.12</v>
      </c>
      <c r="G24" s="54" t="e">
        <f>+E24*(1-F24)</f>
        <v>#REF!</v>
      </c>
      <c r="H24" s="55">
        <v>5080.7999999999993</v>
      </c>
      <c r="I24" s="851" t="e">
        <f>+(H24*G24)/1000</f>
        <v>#REF!</v>
      </c>
    </row>
    <row r="25" spans="2:12" ht="23.1">
      <c r="B25" s="68" t="s">
        <v>526</v>
      </c>
      <c r="C25" s="54">
        <v>3255</v>
      </c>
      <c r="D25" s="78" t="e">
        <f>#REF!/10</f>
        <v>#REF!</v>
      </c>
      <c r="E25" s="54" t="e">
        <f>+C25*D25</f>
        <v>#REF!</v>
      </c>
      <c r="F25" s="54">
        <v>0.12</v>
      </c>
      <c r="G25" s="54" t="e">
        <f>+E25*(1-F25)</f>
        <v>#REF!</v>
      </c>
      <c r="H25" s="55">
        <v>1261.4399999999998</v>
      </c>
      <c r="I25" s="851" t="e">
        <f>+(H25*G25)/1000</f>
        <v>#REF!</v>
      </c>
    </row>
    <row r="26" spans="2:12">
      <c r="B26" s="73" t="s">
        <v>12</v>
      </c>
      <c r="C26" s="62">
        <f>SUM(C22:C25)</f>
        <v>11810</v>
      </c>
      <c r="D26" s="62"/>
      <c r="E26" s="857"/>
      <c r="F26" s="62"/>
      <c r="G26" s="62" t="e">
        <f>SUM(G22:G25)</f>
        <v>#REF!</v>
      </c>
      <c r="H26" s="62"/>
      <c r="I26" s="81" t="e">
        <f>SUM(I22:I25)</f>
        <v>#REF!</v>
      </c>
    </row>
    <row r="27" spans="2:12" ht="22.5" customHeight="1">
      <c r="B27" s="108" t="s">
        <v>543</v>
      </c>
      <c r="C27" s="90"/>
      <c r="D27" s="852" t="e">
        <f>I26</f>
        <v>#REF!</v>
      </c>
      <c r="E27" s="57"/>
      <c r="F27" s="57"/>
      <c r="G27" s="57"/>
      <c r="H27" s="57"/>
      <c r="I27" s="57"/>
    </row>
    <row r="28" spans="2:12" ht="22.5" customHeight="1">
      <c r="B28" s="108" t="s">
        <v>528</v>
      </c>
      <c r="C28" s="90"/>
      <c r="D28" s="856">
        <v>0.61845000000000006</v>
      </c>
      <c r="E28" s="57"/>
      <c r="F28" s="57"/>
      <c r="G28" s="57"/>
      <c r="H28" s="57"/>
      <c r="I28" s="57"/>
    </row>
    <row r="29" spans="2:12" ht="22.5" customHeight="1">
      <c r="B29" s="108" t="s">
        <v>544</v>
      </c>
      <c r="C29" s="90"/>
      <c r="D29" s="852" t="e">
        <f>D27*D28</f>
        <v>#REF!</v>
      </c>
      <c r="E29" s="57"/>
      <c r="F29" s="57"/>
      <c r="G29" s="57"/>
      <c r="H29" s="57"/>
      <c r="I29" s="57"/>
    </row>
    <row r="30" spans="2:12" ht="21.6" customHeight="1">
      <c r="B30" s="108" t="s">
        <v>531</v>
      </c>
      <c r="C30" s="90"/>
      <c r="D30" s="852">
        <f>GuineaDigesterAnaly!B68</f>
        <v>18093515.808175437</v>
      </c>
      <c r="E30" s="57"/>
      <c r="F30" s="858"/>
      <c r="G30" s="57"/>
      <c r="H30" s="57"/>
      <c r="I30" s="57"/>
    </row>
    <row r="31" spans="2:12" ht="21.6" customHeight="1">
      <c r="B31" s="108" t="s">
        <v>536</v>
      </c>
      <c r="C31" s="90"/>
      <c r="D31" s="852" t="e">
        <f>D29-D30</f>
        <v>#REF!</v>
      </c>
      <c r="E31" s="57"/>
      <c r="F31" s="858"/>
      <c r="G31" s="57"/>
      <c r="H31" s="57"/>
      <c r="I31" s="57"/>
    </row>
    <row r="32" spans="2:12">
      <c r="B32" s="108" t="s">
        <v>538</v>
      </c>
      <c r="C32" s="90"/>
      <c r="D32" s="852" t="e">
        <f>D31/PVEfficiency</f>
        <v>#REF!</v>
      </c>
      <c r="E32" s="57"/>
      <c r="F32" s="65"/>
      <c r="G32" s="57"/>
      <c r="H32" s="57"/>
      <c r="I32" s="57"/>
    </row>
    <row r="33" spans="2:9">
      <c r="B33" s="109" t="s">
        <v>540</v>
      </c>
      <c r="C33" s="90"/>
      <c r="D33" s="85">
        <f>'Revised PV calculations'!C21</f>
        <v>4250.6550399999996</v>
      </c>
      <c r="E33" s="65"/>
      <c r="F33" s="65"/>
      <c r="G33" s="57"/>
      <c r="H33" s="57"/>
      <c r="I33" s="57"/>
    </row>
    <row r="34" spans="2:9">
      <c r="B34" s="80"/>
      <c r="C34" s="86"/>
      <c r="D34" s="83"/>
      <c r="E34" s="65"/>
      <c r="F34" s="65"/>
      <c r="G34" s="57"/>
      <c r="H34" s="57"/>
      <c r="I34" s="57"/>
    </row>
    <row r="35" spans="2:9">
      <c r="B35" s="82"/>
      <c r="D35" s="83"/>
      <c r="E35" s="65"/>
      <c r="F35" s="65"/>
      <c r="G35" s="57"/>
      <c r="H35" s="57"/>
      <c r="I35" s="57"/>
    </row>
    <row r="36" spans="2:9" ht="18.600000000000001">
      <c r="B36" s="67" t="s">
        <v>545</v>
      </c>
      <c r="D36" s="83"/>
      <c r="E36" s="65"/>
      <c r="F36" s="65"/>
      <c r="G36" s="57"/>
      <c r="H36" s="57"/>
      <c r="I36" s="57"/>
    </row>
    <row r="37" spans="2:9" s="52" customFormat="1" ht="29.1">
      <c r="B37" s="69" t="s">
        <v>515</v>
      </c>
      <c r="C37" s="70" t="s">
        <v>516</v>
      </c>
      <c r="D37" s="70" t="s">
        <v>517</v>
      </c>
      <c r="E37" s="70" t="s">
        <v>518</v>
      </c>
      <c r="F37" s="71" t="s">
        <v>519</v>
      </c>
      <c r="G37" s="71" t="s">
        <v>520</v>
      </c>
      <c r="H37" s="71" t="s">
        <v>521</v>
      </c>
      <c r="I37" s="72" t="s">
        <v>522</v>
      </c>
    </row>
    <row r="38" spans="2:9">
      <c r="B38" s="68" t="s">
        <v>523</v>
      </c>
      <c r="C38" s="54">
        <v>3890</v>
      </c>
      <c r="D38" s="78">
        <f>'Senegal Crop Yields (3)'!AD18/10</f>
        <v>1339.3158333333336</v>
      </c>
      <c r="E38" s="54">
        <f>+C38*D38</f>
        <v>5209938.5916666677</v>
      </c>
      <c r="F38" s="54">
        <v>0.12</v>
      </c>
      <c r="G38" s="54">
        <f>+E38*(1-F38)</f>
        <v>4584745.9606666677</v>
      </c>
      <c r="H38" s="55">
        <v>1603.08</v>
      </c>
      <c r="I38" s="851">
        <f>+(H38*G38)/1000</f>
        <v>7349714.5546255214</v>
      </c>
    </row>
    <row r="39" spans="2:9" ht="23.1">
      <c r="B39" s="68" t="s">
        <v>525</v>
      </c>
      <c r="C39" s="54">
        <v>6650</v>
      </c>
      <c r="D39" s="78">
        <f>Table22[[#Totals],[Column30]]/10</f>
        <v>576.2479166666667</v>
      </c>
      <c r="E39" s="54">
        <f>+C39*D39</f>
        <v>3832048.6458333335</v>
      </c>
      <c r="F39" s="54">
        <v>0.12</v>
      </c>
      <c r="G39" s="54">
        <f>+E39*(1-F39)</f>
        <v>3372202.8083333336</v>
      </c>
      <c r="H39" s="55">
        <v>5080.7999999999993</v>
      </c>
      <c r="I39" s="851">
        <f>+(H39*G39)/1000</f>
        <v>17133488.028579999</v>
      </c>
    </row>
    <row r="40" spans="2:9" ht="23.1">
      <c r="B40" s="68" t="s">
        <v>526</v>
      </c>
      <c r="C40" s="54">
        <v>1400</v>
      </c>
      <c r="D40" s="78">
        <f>'Senegal Crop Yields (3)'!AD28/10</f>
        <v>3941.8648809523811</v>
      </c>
      <c r="E40" s="54">
        <f>+C40*D40</f>
        <v>5518610.833333334</v>
      </c>
      <c r="F40" s="54">
        <v>0.12</v>
      </c>
      <c r="G40" s="54">
        <f>+E40*(1-F40)</f>
        <v>4856377.5333333341</v>
      </c>
      <c r="H40" s="55">
        <v>1261.4399999999998</v>
      </c>
      <c r="I40" s="851">
        <f>+(H40*G40)/1000</f>
        <v>6126028.8756479993</v>
      </c>
    </row>
    <row r="41" spans="2:9">
      <c r="B41" s="73" t="s">
        <v>12</v>
      </c>
      <c r="C41" s="62">
        <f>SUM(C38:C40)</f>
        <v>11940</v>
      </c>
      <c r="D41" s="84"/>
      <c r="E41" s="857">
        <f>SUM(E38:E40)</f>
        <v>14560598.070833335</v>
      </c>
      <c r="F41" s="62"/>
      <c r="G41" s="62"/>
      <c r="H41" s="62"/>
      <c r="I41" s="74">
        <f>SUM(I38:I40)</f>
        <v>30609231.45885352</v>
      </c>
    </row>
    <row r="42" spans="2:9">
      <c r="B42" s="53"/>
      <c r="C42" s="54"/>
      <c r="D42" s="54"/>
      <c r="E42" s="54"/>
      <c r="F42" s="54"/>
      <c r="G42" s="54"/>
      <c r="H42" s="54"/>
      <c r="I42" s="54"/>
    </row>
    <row r="43" spans="2:9">
      <c r="B43" s="108" t="s">
        <v>527</v>
      </c>
      <c r="C43" s="90"/>
      <c r="D43" s="112">
        <f>I41</f>
        <v>30609231.45885352</v>
      </c>
      <c r="E43" s="54"/>
      <c r="F43" s="856">
        <f>+C41*D41</f>
        <v>0</v>
      </c>
      <c r="G43" s="54"/>
      <c r="H43" s="54"/>
      <c r="I43" s="54"/>
    </row>
    <row r="44" spans="2:9">
      <c r="B44" s="108" t="s">
        <v>528</v>
      </c>
      <c r="C44" s="90"/>
      <c r="D44" s="702">
        <v>0.72301000000000004</v>
      </c>
      <c r="E44" s="54"/>
      <c r="F44" s="859"/>
      <c r="G44" s="54"/>
      <c r="H44" s="54"/>
      <c r="I44" s="54"/>
    </row>
    <row r="45" spans="2:9">
      <c r="B45" s="108" t="s">
        <v>544</v>
      </c>
      <c r="C45" s="90"/>
      <c r="D45" s="112">
        <f>D43*D44</f>
        <v>22130780.437065683</v>
      </c>
      <c r="E45" s="54"/>
      <c r="F45" s="859"/>
      <c r="G45" s="54"/>
      <c r="H45" s="54"/>
      <c r="I45" s="54"/>
    </row>
    <row r="46" spans="2:9">
      <c r="B46" s="108" t="s">
        <v>531</v>
      </c>
      <c r="C46" s="90"/>
      <c r="D46" s="112">
        <f>SenegalDigesterAnaly!B68</f>
        <v>9527047.6820815783</v>
      </c>
      <c r="E46" s="54"/>
      <c r="F46" s="54"/>
      <c r="G46" s="54"/>
      <c r="H46" s="54"/>
      <c r="I46" s="54"/>
    </row>
    <row r="47" spans="2:9">
      <c r="B47" s="108" t="s">
        <v>536</v>
      </c>
      <c r="C47" s="90"/>
      <c r="D47" s="112">
        <f>D45-D46</f>
        <v>12603732.754984105</v>
      </c>
      <c r="E47" s="54"/>
      <c r="F47" s="54"/>
      <c r="G47" s="54"/>
      <c r="H47" s="54"/>
      <c r="I47" s="54"/>
    </row>
    <row r="48" spans="2:9">
      <c r="B48" s="108" t="s">
        <v>538</v>
      </c>
      <c r="C48" s="90"/>
      <c r="D48" s="112">
        <f>D47/PVEfficiency</f>
        <v>15754665.943730131</v>
      </c>
      <c r="E48" s="54"/>
      <c r="F48" s="60"/>
      <c r="G48" s="54"/>
      <c r="H48" s="54"/>
      <c r="I48" s="54"/>
    </row>
    <row r="49" spans="2:9">
      <c r="B49" s="109" t="s">
        <v>540</v>
      </c>
      <c r="C49" s="90"/>
      <c r="D49" s="85">
        <f>'Revised PV calculations'!C32</f>
        <v>3273.0852300000006</v>
      </c>
      <c r="E49" s="54"/>
      <c r="F49" s="60"/>
      <c r="G49" s="60"/>
      <c r="H49" s="54"/>
      <c r="I49" s="54"/>
    </row>
    <row r="50" spans="2:9">
      <c r="B50" s="53"/>
      <c r="C50" s="54"/>
      <c r="D50" s="54"/>
      <c r="E50" s="54"/>
      <c r="F50" s="54"/>
      <c r="G50" s="54"/>
      <c r="H50" s="54"/>
      <c r="I50" s="54"/>
    </row>
    <row r="51" spans="2:9">
      <c r="B51" s="53"/>
      <c r="C51" s="54"/>
      <c r="D51" s="54"/>
      <c r="E51" s="54"/>
      <c r="F51" s="54"/>
      <c r="G51" s="54"/>
      <c r="H51" s="54"/>
      <c r="I51" s="54"/>
    </row>
    <row r="52" spans="2:9">
      <c r="B52" s="53"/>
      <c r="C52" s="54"/>
      <c r="D52" s="54"/>
      <c r="E52" s="54"/>
      <c r="F52" s="54"/>
      <c r="G52" s="54"/>
      <c r="H52" s="54"/>
      <c r="I52" s="54"/>
    </row>
    <row r="53" spans="2:9">
      <c r="B53" s="53"/>
      <c r="C53" s="54"/>
      <c r="D53" s="54"/>
      <c r="E53" s="54"/>
      <c r="F53" s="54"/>
      <c r="G53" s="54"/>
      <c r="H53" s="54"/>
      <c r="I53" s="54"/>
    </row>
    <row r="54" spans="2:9" ht="18.600000000000001">
      <c r="B54" s="67" t="s">
        <v>546</v>
      </c>
      <c r="C54" s="54"/>
      <c r="D54" s="54"/>
      <c r="E54" s="54"/>
      <c r="F54" s="54"/>
      <c r="G54" s="54"/>
      <c r="H54" s="54"/>
      <c r="I54" s="54"/>
    </row>
    <row r="55" spans="2:9" ht="29.1">
      <c r="B55" s="89" t="s">
        <v>515</v>
      </c>
      <c r="C55" s="64" t="s">
        <v>516</v>
      </c>
      <c r="D55" s="64" t="s">
        <v>517</v>
      </c>
      <c r="E55" s="64" t="s">
        <v>518</v>
      </c>
      <c r="F55" s="64" t="s">
        <v>519</v>
      </c>
      <c r="G55" s="64" t="s">
        <v>520</v>
      </c>
      <c r="H55" s="64" t="s">
        <v>547</v>
      </c>
      <c r="I55" s="860" t="s">
        <v>522</v>
      </c>
    </row>
    <row r="56" spans="2:9">
      <c r="B56" s="68" t="s">
        <v>523</v>
      </c>
      <c r="C56" s="54">
        <v>5115</v>
      </c>
      <c r="D56" s="78">
        <f>'Togo Crop Yields (4)'!AI20/10</f>
        <v>1138.8715517241378</v>
      </c>
      <c r="E56" s="54">
        <f>+C56*D56</f>
        <v>5825327.9870689651</v>
      </c>
      <c r="F56" s="54">
        <v>0.12</v>
      </c>
      <c r="G56" s="54">
        <f>+E56*(1-F56)</f>
        <v>5126288.6286206897</v>
      </c>
      <c r="H56" s="55">
        <v>1603.08</v>
      </c>
      <c r="I56" s="88">
        <f>+(H56*G56)/1000</f>
        <v>8217850.774769255</v>
      </c>
    </row>
    <row r="57" spans="2:9" ht="23.1">
      <c r="B57" s="68" t="s">
        <v>524</v>
      </c>
      <c r="C57" s="54">
        <v>425</v>
      </c>
      <c r="D57" s="78">
        <f>'Togo Crop Yields (4)'!AI51/10</f>
        <v>5324.0844827586207</v>
      </c>
      <c r="E57" s="54">
        <f>+C57*D57</f>
        <v>2262735.9051724137</v>
      </c>
      <c r="F57" s="54">
        <v>0.12</v>
      </c>
      <c r="G57" s="54">
        <f>+E57*(1-F57)</f>
        <v>1991207.596551724</v>
      </c>
      <c r="H57" s="55">
        <v>8322</v>
      </c>
      <c r="I57" s="88">
        <f>+(H57*G57)/1000</f>
        <v>16570829.618503446</v>
      </c>
    </row>
    <row r="58" spans="2:9" ht="23.1">
      <c r="B58" s="68" t="s">
        <v>525</v>
      </c>
      <c r="C58" s="54">
        <v>5400</v>
      </c>
      <c r="D58" s="78">
        <f>'Togo Crop Yields (4)'!AI44/10</f>
        <v>1013.4868142471975</v>
      </c>
      <c r="E58" s="54">
        <f>+C58*D58</f>
        <v>5472828.7969348663</v>
      </c>
      <c r="F58" s="54">
        <v>0.12</v>
      </c>
      <c r="G58" s="54">
        <f>+E58*(1-F58)</f>
        <v>4816089.3413026826</v>
      </c>
      <c r="H58" s="55">
        <v>5080.7999999999993</v>
      </c>
      <c r="I58" s="88">
        <f>+(H58*G58)/1000</f>
        <v>24469586.725290664</v>
      </c>
    </row>
    <row r="59" spans="2:9" ht="23.1">
      <c r="B59" s="68" t="s">
        <v>526</v>
      </c>
      <c r="C59" s="54">
        <v>4488</v>
      </c>
      <c r="D59" s="78">
        <f>'Togo Crop Yields (4)'!AI31/10</f>
        <v>5924.9803334596445</v>
      </c>
      <c r="E59" s="54">
        <f>+C59*D59</f>
        <v>26591311.736566886</v>
      </c>
      <c r="F59" s="54">
        <v>0.12</v>
      </c>
      <c r="G59" s="54">
        <f>+E59*(1-F59)</f>
        <v>23400354.32817886</v>
      </c>
      <c r="H59" s="55">
        <v>1261.4399999999998</v>
      </c>
      <c r="I59" s="88">
        <f>+(H59*G59)/1000</f>
        <v>29518142.963737939</v>
      </c>
    </row>
    <row r="60" spans="2:9">
      <c r="B60" s="73" t="s">
        <v>12</v>
      </c>
      <c r="C60" s="62">
        <f>SUM(C56:C59)</f>
        <v>15428</v>
      </c>
      <c r="D60" s="62"/>
      <c r="E60" s="63">
        <f>SUM(E56:E59)</f>
        <v>40152204.425743133</v>
      </c>
      <c r="F60" s="62"/>
      <c r="G60" s="62">
        <f>SUM(G56:G59)</f>
        <v>35333939.894653961</v>
      </c>
      <c r="H60" s="62"/>
      <c r="I60" s="81">
        <f>SUM(I56:I59)</f>
        <v>78776410.082301304</v>
      </c>
    </row>
    <row r="61" spans="2:9">
      <c r="B61" s="108" t="s">
        <v>527</v>
      </c>
      <c r="C61" s="55"/>
      <c r="D61" s="113">
        <f>I60</f>
        <v>78776410.082301304</v>
      </c>
      <c r="E61" s="54"/>
      <c r="F61" s="54"/>
      <c r="G61" s="54"/>
      <c r="H61" s="54"/>
      <c r="I61" s="54"/>
    </row>
    <row r="62" spans="2:9">
      <c r="B62" s="108" t="s">
        <v>528</v>
      </c>
      <c r="C62" s="55"/>
      <c r="D62" s="703">
        <v>0.63158000000000003</v>
      </c>
      <c r="E62" s="54"/>
      <c r="F62" s="54"/>
      <c r="G62" s="54"/>
      <c r="H62" s="54"/>
      <c r="I62" s="54"/>
    </row>
    <row r="63" spans="2:9">
      <c r="B63" s="108" t="s">
        <v>544</v>
      </c>
      <c r="C63" s="55"/>
      <c r="D63" s="113">
        <f>D61*D62</f>
        <v>49753605.079779863</v>
      </c>
      <c r="E63" s="54"/>
      <c r="F63" s="54"/>
      <c r="G63" s="54"/>
      <c r="H63" s="54"/>
      <c r="I63" s="54"/>
    </row>
    <row r="64" spans="2:9">
      <c r="B64" s="108" t="s">
        <v>531</v>
      </c>
      <c r="C64" s="55"/>
      <c r="D64" s="113">
        <f>TogoDigesterAnaly!B68</f>
        <v>17246537.115842253</v>
      </c>
      <c r="E64" s="54"/>
      <c r="F64" s="60"/>
      <c r="G64" s="54"/>
      <c r="H64" s="54"/>
      <c r="I64" s="54"/>
    </row>
    <row r="65" spans="2:9">
      <c r="B65" s="108" t="s">
        <v>536</v>
      </c>
      <c r="C65" s="55"/>
      <c r="D65" s="113">
        <f>D63-D64</f>
        <v>32507067.96393761</v>
      </c>
      <c r="E65" s="54"/>
      <c r="F65" s="60"/>
      <c r="G65" s="54"/>
      <c r="H65" s="54"/>
      <c r="I65" s="54"/>
    </row>
    <row r="66" spans="2:9">
      <c r="B66" s="108" t="s">
        <v>538</v>
      </c>
      <c r="C66" s="55"/>
      <c r="D66" s="852">
        <f>D65/PVEfficiency</f>
        <v>40633834.954922013</v>
      </c>
      <c r="E66" s="54"/>
      <c r="F66" s="859"/>
      <c r="G66" s="54"/>
      <c r="H66" s="54"/>
      <c r="I66" s="54"/>
    </row>
    <row r="67" spans="2:9">
      <c r="B67" s="109" t="s">
        <v>540</v>
      </c>
      <c r="C67" s="55"/>
      <c r="D67" s="85">
        <f>'Revised PV calculations'!C43</f>
        <v>7166.5265709615387</v>
      </c>
      <c r="E67" s="54"/>
      <c r="F67" s="54"/>
      <c r="G67" s="54"/>
      <c r="H67" s="54"/>
      <c r="I67" s="54"/>
    </row>
    <row r="68" spans="2:9">
      <c r="B68" s="80"/>
      <c r="D68" s="87"/>
      <c r="E68" s="57"/>
      <c r="F68" s="57"/>
      <c r="G68" s="57"/>
      <c r="H68" s="57"/>
      <c r="I68" s="57"/>
    </row>
    <row r="69" spans="2:9">
      <c r="B69" s="106" t="s">
        <v>548</v>
      </c>
      <c r="D69" s="704">
        <f>+D33+D49+D67</f>
        <v>14690.26684096154</v>
      </c>
      <c r="E69" s="57"/>
      <c r="F69" s="57"/>
      <c r="G69" s="57"/>
      <c r="H69" s="57"/>
      <c r="I69" s="57"/>
    </row>
    <row r="70" spans="2:9">
      <c r="B70" s="80"/>
      <c r="D70" s="87"/>
      <c r="E70" s="57"/>
      <c r="F70" s="57"/>
      <c r="G70" s="57"/>
      <c r="H70" s="57"/>
      <c r="I70" s="57"/>
    </row>
    <row r="71" spans="2:9" ht="21">
      <c r="B71" s="80"/>
      <c r="C71" s="892" t="s">
        <v>549</v>
      </c>
      <c r="D71" s="892"/>
      <c r="E71" s="892"/>
      <c r="F71" s="892"/>
      <c r="G71" s="57"/>
      <c r="H71" s="57"/>
      <c r="I71" s="57"/>
    </row>
    <row r="72" spans="2:9" ht="21">
      <c r="B72" s="80"/>
      <c r="C72" s="650" t="s">
        <v>550</v>
      </c>
      <c r="D72" s="101"/>
      <c r="E72" s="650" t="s">
        <v>21</v>
      </c>
      <c r="F72" s="101"/>
      <c r="G72" s="57"/>
      <c r="H72" s="57"/>
      <c r="I72" s="57"/>
    </row>
    <row r="73" spans="2:9">
      <c r="B73" s="80"/>
      <c r="C73" s="649" t="s">
        <v>551</v>
      </c>
      <c r="D73" s="645"/>
      <c r="E73" s="645" t="s">
        <v>552</v>
      </c>
      <c r="F73" s="645">
        <v>5</v>
      </c>
      <c r="G73" s="57"/>
      <c r="H73" s="57"/>
      <c r="I73" s="57"/>
    </row>
    <row r="74" spans="2:9">
      <c r="B74" s="80"/>
      <c r="C74" s="649" t="s">
        <v>553</v>
      </c>
      <c r="D74" s="645"/>
      <c r="E74" s="645" t="s">
        <v>554</v>
      </c>
      <c r="F74" s="645">
        <f>F73*365</f>
        <v>1825</v>
      </c>
      <c r="G74" s="57"/>
      <c r="H74" s="57"/>
      <c r="I74" s="57"/>
    </row>
    <row r="75" spans="2:9" ht="21">
      <c r="B75" s="80"/>
      <c r="C75" s="648" t="s">
        <v>555</v>
      </c>
      <c r="D75" s="647" t="s">
        <v>556</v>
      </c>
      <c r="E75" s="645"/>
      <c r="F75" s="101"/>
      <c r="G75" s="57"/>
      <c r="H75" s="57"/>
      <c r="I75" s="57"/>
    </row>
    <row r="76" spans="2:9" ht="21">
      <c r="B76" s="80"/>
      <c r="C76" s="649" t="s">
        <v>557</v>
      </c>
      <c r="D76" s="647" t="s">
        <v>558</v>
      </c>
      <c r="E76" s="101"/>
      <c r="F76" s="101"/>
      <c r="G76" s="57"/>
      <c r="H76" s="57"/>
      <c r="I76" s="57"/>
    </row>
    <row r="77" spans="2:9">
      <c r="B77" t="s">
        <v>559</v>
      </c>
      <c r="C77" t="s">
        <v>560</v>
      </c>
      <c r="D77" s="2" t="s">
        <v>561</v>
      </c>
      <c r="E77" t="s">
        <v>562</v>
      </c>
      <c r="F77" t="s">
        <v>563</v>
      </c>
      <c r="G77"/>
      <c r="H77" s="57"/>
      <c r="I77" s="57"/>
    </row>
    <row r="78" spans="2:9" ht="26.1">
      <c r="B78"/>
      <c r="C78"/>
      <c r="D78" s="33" t="s">
        <v>564</v>
      </c>
      <c r="E78" s="33" t="s">
        <v>565</v>
      </c>
      <c r="F78" s="115" t="s">
        <v>566</v>
      </c>
      <c r="G78"/>
      <c r="H78" s="57"/>
      <c r="I78" s="57"/>
    </row>
    <row r="79" spans="2:9">
      <c r="B79" s="2" t="s">
        <v>567</v>
      </c>
      <c r="D79">
        <f>132/1000</f>
        <v>0.13200000000000001</v>
      </c>
      <c r="E79">
        <v>2</v>
      </c>
      <c r="F79" s="91">
        <f>D79/E79</f>
        <v>6.6000000000000003E-2</v>
      </c>
      <c r="G79" s="57"/>
      <c r="H79" s="57">
        <v>1.0000000000000001E-5</v>
      </c>
      <c r="I79" s="57"/>
    </row>
    <row r="80" spans="2:9">
      <c r="B80" s="2" t="s">
        <v>568</v>
      </c>
      <c r="D80">
        <f>(1/0.1)*D79</f>
        <v>1.32</v>
      </c>
      <c r="E80">
        <v>5</v>
      </c>
      <c r="F80" s="91">
        <f>D80/E80</f>
        <v>0.26400000000000001</v>
      </c>
      <c r="G80" s="57"/>
      <c r="H80" s="57">
        <f>Table10[[#This Row],[Column5]]/0.25</f>
        <v>1.056</v>
      </c>
      <c r="I80" s="57"/>
    </row>
    <row r="81" spans="2:12" ht="15" thickBot="1">
      <c r="B81" s="2"/>
      <c r="D81"/>
      <c r="E81"/>
      <c r="F81" s="91"/>
      <c r="G81" s="57"/>
      <c r="H81" s="57"/>
      <c r="I81" s="57"/>
    </row>
    <row r="82" spans="2:12">
      <c r="B82" s="893" t="s">
        <v>569</v>
      </c>
      <c r="C82" s="894"/>
      <c r="D82" s="894"/>
      <c r="E82" s="894"/>
      <c r="F82" s="145" t="s">
        <v>569</v>
      </c>
      <c r="G82" s="143"/>
      <c r="H82" s="143"/>
      <c r="I82" s="143"/>
    </row>
    <row r="83" spans="2:12" ht="26.45">
      <c r="B83" s="92"/>
      <c r="C83" s="92" t="s">
        <v>570</v>
      </c>
      <c r="D83" s="140" t="s">
        <v>571</v>
      </c>
      <c r="E83" s="139" t="str">
        <f>C91</f>
        <v>Solar energy generation per year (kWh/year)</v>
      </c>
      <c r="F83" s="144" t="s">
        <v>572</v>
      </c>
      <c r="G83" s="2"/>
      <c r="H83" s="57"/>
      <c r="L83" s="850" t="s">
        <v>573</v>
      </c>
    </row>
    <row r="84" spans="2:12" hidden="1">
      <c r="B84" s="93"/>
      <c r="C84" s="94" t="s">
        <v>511</v>
      </c>
      <c r="D84" s="138">
        <f>EnergyDemand!$C$9*0.25</f>
        <v>5137.0675000000001</v>
      </c>
      <c r="E84" s="141">
        <f>F84*(1-0.2)*F74</f>
        <v>1980031.2972000004</v>
      </c>
      <c r="F84" s="60">
        <f>F80*D84</f>
        <v>1356.1858200000001</v>
      </c>
      <c r="G84" s="850"/>
      <c r="H84" s="646">
        <f>F80*D84</f>
        <v>1356.1858200000001</v>
      </c>
      <c r="I84" s="646">
        <f>F84/H84</f>
        <v>1</v>
      </c>
      <c r="K84" s="646">
        <f>H84*0.25</f>
        <v>339.04645500000004</v>
      </c>
    </row>
    <row r="85" spans="2:12">
      <c r="B85" s="93"/>
      <c r="C85" s="94" t="s">
        <v>10</v>
      </c>
      <c r="D85" s="138">
        <f>EnergyDemand!$C$26*0.25</f>
        <v>2952.5</v>
      </c>
      <c r="E85" s="141">
        <f>F85*(1-0.2)*F74</f>
        <v>1138011.6000000001</v>
      </c>
      <c r="F85" s="60">
        <f>F80*D85</f>
        <v>779.46</v>
      </c>
      <c r="G85" s="850"/>
      <c r="H85" s="850"/>
    </row>
    <row r="86" spans="2:12">
      <c r="B86" s="93"/>
      <c r="C86" s="94" t="s">
        <v>8</v>
      </c>
      <c r="D86" s="138">
        <f>+EnergyDemand!$C$41*0.25</f>
        <v>2985</v>
      </c>
      <c r="E86" s="141">
        <f>F86*(1-0.2)*F74</f>
        <v>1150538.4000000001</v>
      </c>
      <c r="F86" s="141">
        <f>F80*D86</f>
        <v>788.04000000000008</v>
      </c>
    </row>
    <row r="87" spans="2:12">
      <c r="B87" s="93"/>
      <c r="C87" s="94" t="s">
        <v>6</v>
      </c>
      <c r="D87" s="138">
        <f>+EnergyDemand!$C$60*0.25</f>
        <v>3857</v>
      </c>
      <c r="E87" s="141">
        <f>F87*(1-0.2)*F74</f>
        <v>1486642.08</v>
      </c>
      <c r="F87" s="861">
        <f>F80*D87</f>
        <v>1018.248</v>
      </c>
      <c r="G87" s="850"/>
    </row>
    <row r="88" spans="2:12">
      <c r="B88" s="95"/>
      <c r="C88" s="92" t="s">
        <v>574</v>
      </c>
      <c r="D88" s="96">
        <f>SUM(D85:D87)</f>
        <v>9794.5</v>
      </c>
      <c r="E88" s="96">
        <f>SUM(E85:E87)</f>
        <v>3775192.08</v>
      </c>
      <c r="F88" s="96">
        <f>SUM(F85:F87)</f>
        <v>2585.748</v>
      </c>
      <c r="H88" s="646">
        <f>F88*10</f>
        <v>25857.48</v>
      </c>
    </row>
    <row r="89" spans="2:12">
      <c r="B89" s="895" t="s">
        <v>575</v>
      </c>
      <c r="C89" s="896"/>
      <c r="D89" s="896"/>
      <c r="E89" s="897"/>
      <c r="F89"/>
      <c r="G89" s="117"/>
      <c r="H89" s="850"/>
    </row>
    <row r="90" spans="2:12">
      <c r="B90" s="93"/>
      <c r="C90" s="94" t="s">
        <v>576</v>
      </c>
      <c r="D90" s="97"/>
      <c r="E90" s="102">
        <f>F80</f>
        <v>0.26400000000000001</v>
      </c>
      <c r="F90"/>
      <c r="G90" s="116"/>
    </row>
    <row r="91" spans="2:12">
      <c r="B91" s="93"/>
      <c r="C91" s="94" t="s">
        <v>577</v>
      </c>
      <c r="D91" s="97"/>
      <c r="E91" s="142">
        <f>F88*(1-0.2)*F74</f>
        <v>3775192.0800000005</v>
      </c>
      <c r="F91"/>
      <c r="G91" s="117"/>
      <c r="H91" s="862"/>
    </row>
    <row r="92" spans="2:12">
      <c r="B92" s="93"/>
      <c r="C92" s="94" t="s">
        <v>578</v>
      </c>
      <c r="D92" s="98"/>
      <c r="E92" s="98">
        <f>(E90*D88)</f>
        <v>2585.748</v>
      </c>
      <c r="F92"/>
      <c r="G92" s="119"/>
      <c r="H92" s="850"/>
    </row>
    <row r="93" spans="2:12">
      <c r="B93" s="95"/>
      <c r="C93" s="92" t="s">
        <v>579</v>
      </c>
      <c r="D93" s="99" t="s">
        <v>580</v>
      </c>
      <c r="E93" s="100">
        <f>E92*1.5</f>
        <v>3878.6220000000003</v>
      </c>
      <c r="F93"/>
      <c r="G93" s="118"/>
    </row>
    <row r="94" spans="2:12">
      <c r="B94" s="103"/>
      <c r="C94" s="103"/>
      <c r="D94" s="104"/>
      <c r="E94" s="105"/>
      <c r="F94"/>
      <c r="G94" s="119"/>
    </row>
    <row r="95" spans="2:12">
      <c r="B95" s="103"/>
      <c r="C95" s="103"/>
      <c r="D95" s="104"/>
      <c r="E95" s="105"/>
      <c r="F95"/>
      <c r="G95" s="58"/>
    </row>
    <row r="96" spans="2:12">
      <c r="B96" s="110" t="s">
        <v>581</v>
      </c>
      <c r="C96" s="103"/>
      <c r="D96" s="104"/>
      <c r="E96" s="111" t="e">
        <f>+D16+D32+D48+D66</f>
        <v>#REF!</v>
      </c>
      <c r="F96"/>
      <c r="G96" s="58"/>
      <c r="H96" s="850"/>
    </row>
    <row r="97" spans="2:7">
      <c r="B97" s="110" t="s">
        <v>582</v>
      </c>
      <c r="C97" s="103"/>
      <c r="D97" s="104"/>
      <c r="E97" s="111">
        <f>+E91</f>
        <v>3775192.0800000005</v>
      </c>
      <c r="F97" s="114"/>
      <c r="G97" s="58"/>
    </row>
    <row r="98" spans="2:7">
      <c r="B98" s="110" t="s">
        <v>583</v>
      </c>
      <c r="C98" s="103"/>
      <c r="D98" s="104"/>
      <c r="E98" s="111" t="e">
        <f>E96+E97</f>
        <v>#REF!</v>
      </c>
      <c r="F98" s="114"/>
      <c r="G98" s="117"/>
    </row>
    <row r="99" spans="2:7" ht="18">
      <c r="B99" s="106" t="s">
        <v>584</v>
      </c>
      <c r="C99" s="103"/>
      <c r="D99" s="104"/>
      <c r="E99" s="107">
        <f>D69+E92</f>
        <v>17276.014840961539</v>
      </c>
      <c r="F99"/>
      <c r="G99" s="58"/>
    </row>
    <row r="100" spans="2:7">
      <c r="B100" s="103"/>
      <c r="C100" s="103"/>
      <c r="D100" s="104"/>
      <c r="E100" s="105"/>
      <c r="F100"/>
      <c r="G100" s="58"/>
    </row>
    <row r="101" spans="2:7">
      <c r="B101" s="103"/>
      <c r="C101" s="103"/>
      <c r="D101" s="104"/>
      <c r="E101" s="105"/>
      <c r="F101"/>
      <c r="G101" s="58"/>
    </row>
    <row r="102" spans="2:7">
      <c r="C102" s="52" t="s">
        <v>585</v>
      </c>
    </row>
    <row r="103" spans="2:7" ht="40.5" customHeight="1">
      <c r="C103" s="643" t="s">
        <v>586</v>
      </c>
      <c r="D103" s="59"/>
      <c r="E103" s="59"/>
      <c r="F103" s="59"/>
      <c r="G103" s="59"/>
    </row>
    <row r="104" spans="2:7" ht="130.5">
      <c r="C104" s="862" t="s">
        <v>587</v>
      </c>
    </row>
    <row r="105" spans="2:7" ht="174">
      <c r="C105" s="862" t="s">
        <v>588</v>
      </c>
    </row>
    <row r="106" spans="2:7">
      <c r="C106" s="850" t="s">
        <v>589</v>
      </c>
    </row>
    <row r="107" spans="2:7">
      <c r="C107" s="850" t="s">
        <v>590</v>
      </c>
    </row>
    <row r="108" spans="2:7">
      <c r="C108" s="850" t="s">
        <v>591</v>
      </c>
    </row>
    <row r="109" spans="2:7" ht="144.94999999999999">
      <c r="C109" s="862" t="s">
        <v>592</v>
      </c>
    </row>
    <row r="110" spans="2:7" ht="217.5">
      <c r="C110" s="862" t="s">
        <v>593</v>
      </c>
    </row>
    <row r="111" spans="2:7">
      <c r="C111" s="850" t="s">
        <v>594</v>
      </c>
    </row>
    <row r="112" spans="2:7" ht="144.94999999999999">
      <c r="C112" s="862" t="s">
        <v>595</v>
      </c>
    </row>
    <row r="113" spans="3:3" ht="130.5">
      <c r="C113" s="862" t="s">
        <v>596</v>
      </c>
    </row>
    <row r="114" spans="3:3">
      <c r="C114" s="850" t="s">
        <v>597</v>
      </c>
    </row>
    <row r="115" spans="3:3" ht="362.45">
      <c r="C115" s="644" t="s">
        <v>598</v>
      </c>
    </row>
    <row r="116" spans="3:3">
      <c r="C116" s="57"/>
    </row>
    <row r="117" spans="3:3">
      <c r="C117" s="57"/>
    </row>
  </sheetData>
  <mergeCells count="4">
    <mergeCell ref="C1:F1"/>
    <mergeCell ref="C71:F71"/>
    <mergeCell ref="B82:E82"/>
    <mergeCell ref="B89:E89"/>
  </mergeCells>
  <phoneticPr fontId="62" type="noConversion"/>
  <hyperlinks>
    <hyperlink ref="C103" r:id="rId1" display="https://agronomy.emu.ee/wp-content/uploads/2018/05/Vol16S2_5.pdf" xr:uid="{9C6E34E6-A553-4EC3-8390-CC13B485AFE5}"/>
  </hyperlinks>
  <pageMargins left="0.7" right="0.7" top="0.75" bottom="0.75" header="0.3" footer="0.3"/>
  <pageSetup paperSize="9" orientation="portrait" r:id="rId2"/>
  <tableParts count="5">
    <tablePart r:id="rId3"/>
    <tablePart r:id="rId4"/>
    <tablePart r:id="rId5"/>
    <tablePart r:id="rId6"/>
    <tablePart r:id="rId7"/>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AB41E-112F-4BB3-8275-561978BA7AA4}">
  <sheetPr codeName="Sheet6">
    <tabColor rgb="FFFF0000"/>
  </sheetPr>
  <dimension ref="A1:AB70"/>
  <sheetViews>
    <sheetView zoomScale="90" zoomScaleNormal="90" workbookViewId="0">
      <selection activeCell="D18" sqref="D18"/>
    </sheetView>
  </sheetViews>
  <sheetFormatPr defaultColWidth="11.42578125" defaultRowHeight="14.45"/>
  <cols>
    <col min="1" max="1" width="18" style="122" customWidth="1"/>
    <col min="2" max="2" width="74.28515625" style="122" customWidth="1"/>
    <col min="3" max="3" width="24.85546875" style="122" bestFit="1" customWidth="1"/>
    <col min="4" max="4" width="20.85546875" style="122" customWidth="1"/>
    <col min="5" max="5" width="16.42578125" style="122" bestFit="1" customWidth="1"/>
    <col min="6" max="23" width="15.7109375" style="122" bestFit="1" customWidth="1"/>
    <col min="24" max="24" width="15" style="122" customWidth="1"/>
    <col min="25" max="25" width="17.28515625" style="122" customWidth="1"/>
    <col min="26" max="26" width="17.42578125" style="122" customWidth="1"/>
    <col min="27" max="27" width="16.140625" style="122" customWidth="1"/>
    <col min="28" max="28" width="14.85546875" style="122" customWidth="1"/>
    <col min="29" max="16384" width="11.42578125" style="122"/>
  </cols>
  <sheetData>
    <row r="1" spans="1:28" ht="17.45">
      <c r="A1" s="152"/>
      <c r="B1" s="152"/>
      <c r="C1" s="152"/>
      <c r="D1" s="156" t="s">
        <v>599</v>
      </c>
      <c r="E1" s="152"/>
      <c r="F1" s="152"/>
      <c r="G1" s="152"/>
      <c r="H1" s="152"/>
      <c r="I1" s="152"/>
      <c r="J1" s="152"/>
      <c r="K1" s="152"/>
      <c r="L1" s="152"/>
      <c r="M1" s="152"/>
      <c r="N1" s="152"/>
      <c r="O1" s="152"/>
      <c r="P1" s="152"/>
      <c r="Q1" s="152"/>
      <c r="R1" s="152"/>
      <c r="S1" s="152"/>
      <c r="T1" s="152"/>
      <c r="U1" s="152"/>
      <c r="V1" s="152"/>
      <c r="W1" s="152"/>
      <c r="X1" s="152"/>
      <c r="Y1" s="152"/>
      <c r="Z1" s="152"/>
      <c r="AA1" s="152"/>
      <c r="AB1" s="152"/>
    </row>
    <row r="2" spans="1:28">
      <c r="A2" s="152"/>
      <c r="B2" s="151"/>
      <c r="C2" s="155"/>
      <c r="E2" s="155"/>
      <c r="F2" s="155"/>
      <c r="G2" s="155"/>
      <c r="H2" s="155"/>
      <c r="I2" s="155"/>
      <c r="J2" s="155"/>
      <c r="K2" s="155"/>
      <c r="L2" s="155"/>
      <c r="M2" s="155"/>
      <c r="N2" s="155"/>
      <c r="O2" s="155"/>
      <c r="P2" s="155"/>
      <c r="Q2" s="155"/>
      <c r="R2" s="155"/>
      <c r="S2" s="155"/>
      <c r="T2" s="155"/>
      <c r="U2" s="155"/>
      <c r="V2" s="155"/>
      <c r="W2" s="155"/>
      <c r="X2" s="155"/>
      <c r="Y2" s="155"/>
      <c r="Z2" s="155"/>
      <c r="AA2" s="155"/>
      <c r="AB2" s="155"/>
    </row>
    <row r="3" spans="1:28" ht="17.45">
      <c r="A3" s="152"/>
      <c r="B3" s="151" t="s">
        <v>14</v>
      </c>
      <c r="C3" s="152"/>
      <c r="D3" s="152"/>
      <c r="E3" s="152"/>
      <c r="F3" s="155"/>
      <c r="G3" s="159" t="s">
        <v>66</v>
      </c>
      <c r="H3" s="158"/>
      <c r="I3" s="155"/>
      <c r="J3" s="155"/>
      <c r="K3" s="155"/>
      <c r="L3" s="155"/>
      <c r="M3" s="155"/>
      <c r="N3" s="155"/>
      <c r="O3" s="155"/>
      <c r="P3" s="155"/>
      <c r="Q3" s="155"/>
      <c r="R3" s="155"/>
      <c r="S3" s="155"/>
      <c r="T3" s="155"/>
      <c r="U3" s="155"/>
      <c r="V3" s="155"/>
      <c r="W3" s="155"/>
      <c r="X3" s="155"/>
      <c r="Y3" s="155"/>
      <c r="Z3" s="155"/>
      <c r="AA3" s="155"/>
      <c r="AB3" s="155"/>
    </row>
    <row r="4" spans="1:28">
      <c r="A4" s="152"/>
      <c r="B4" s="153" t="s">
        <v>16</v>
      </c>
      <c r="C4" s="152"/>
      <c r="D4" s="152"/>
      <c r="E4" s="152"/>
      <c r="F4" s="155"/>
      <c r="G4" s="837" t="s">
        <v>17</v>
      </c>
      <c r="H4" s="155"/>
      <c r="I4" s="155"/>
      <c r="J4" s="193">
        <f>EnergyDemand!F84/1000</f>
        <v>1.3561858200000001</v>
      </c>
      <c r="K4" s="155"/>
      <c r="L4" s="155"/>
      <c r="M4" s="155"/>
      <c r="N4" s="155"/>
      <c r="O4" s="155"/>
      <c r="P4" s="155"/>
      <c r="Q4" s="155"/>
      <c r="R4" s="155"/>
      <c r="S4" s="155"/>
      <c r="T4" s="155"/>
      <c r="U4" s="155"/>
      <c r="V4" s="155"/>
      <c r="W4" s="155"/>
      <c r="X4" s="155"/>
      <c r="Y4" s="155"/>
      <c r="Z4" s="155"/>
      <c r="AA4" s="155"/>
      <c r="AB4" s="155"/>
    </row>
    <row r="5" spans="1:28" ht="17.45">
      <c r="A5" s="152"/>
      <c r="B5" s="154" t="s">
        <v>18</v>
      </c>
      <c r="C5" s="152"/>
      <c r="D5" s="152"/>
      <c r="E5" s="152"/>
      <c r="F5" s="155"/>
      <c r="G5" s="837" t="s">
        <v>19</v>
      </c>
      <c r="H5" s="156"/>
      <c r="I5" s="155"/>
      <c r="J5" s="469">
        <f>EnergyDemand!D17/1000</f>
        <v>20.866940534576923</v>
      </c>
      <c r="K5" s="155"/>
      <c r="L5" s="155"/>
      <c r="M5" s="155"/>
      <c r="N5" s="155"/>
      <c r="O5" s="155"/>
      <c r="P5" s="155"/>
      <c r="Q5" s="155"/>
      <c r="R5" s="155"/>
      <c r="S5" s="155"/>
      <c r="T5" s="155"/>
      <c r="U5" s="155"/>
      <c r="V5" s="155"/>
      <c r="W5" s="155"/>
      <c r="X5" s="155"/>
      <c r="Y5" s="155"/>
      <c r="Z5" s="155"/>
      <c r="AA5" s="155"/>
      <c r="AB5" s="155"/>
    </row>
    <row r="6" spans="1:28" ht="17.45">
      <c r="A6" s="152"/>
      <c r="B6" s="151"/>
      <c r="C6" s="155"/>
      <c r="D6" s="156"/>
      <c r="E6" s="155"/>
      <c r="F6" s="155"/>
      <c r="G6" s="837" t="s">
        <v>20</v>
      </c>
      <c r="H6" s="155"/>
      <c r="I6" s="155"/>
      <c r="J6" s="470">
        <f>+'Assump&amp;Est_Ethiopia'!D24</f>
        <v>10102.930418076921</v>
      </c>
      <c r="K6" s="155"/>
      <c r="L6" s="155"/>
      <c r="M6" s="155"/>
      <c r="N6" s="155"/>
      <c r="O6" s="155"/>
      <c r="P6" s="155"/>
      <c r="Q6" s="155"/>
      <c r="R6" s="155"/>
      <c r="S6" s="155"/>
      <c r="T6" s="155"/>
      <c r="U6" s="155"/>
      <c r="V6" s="155"/>
      <c r="W6" s="155"/>
      <c r="X6" s="155"/>
      <c r="Y6" s="155"/>
      <c r="Z6" s="155"/>
      <c r="AA6" s="155"/>
      <c r="AB6" s="155"/>
    </row>
    <row r="7" spans="1:28">
      <c r="A7" s="152"/>
      <c r="B7" s="151"/>
      <c r="C7" s="155"/>
      <c r="D7" s="155"/>
      <c r="E7" s="155"/>
      <c r="F7" s="155"/>
      <c r="G7" s="155"/>
      <c r="H7" s="155"/>
      <c r="I7" s="155"/>
      <c r="J7" s="155"/>
      <c r="K7" s="155"/>
      <c r="L7" s="155"/>
      <c r="M7" s="155"/>
      <c r="N7" s="155"/>
      <c r="O7" s="155"/>
      <c r="P7" s="155"/>
      <c r="Q7" s="155"/>
      <c r="R7" s="155"/>
      <c r="S7" s="155"/>
      <c r="T7" s="155"/>
      <c r="U7" s="155"/>
      <c r="V7" s="155"/>
      <c r="W7" s="155"/>
      <c r="X7" s="155"/>
      <c r="Y7" s="155"/>
      <c r="Z7" s="155"/>
      <c r="AA7" s="155"/>
      <c r="AB7" s="155"/>
    </row>
    <row r="8" spans="1:28">
      <c r="A8" s="157" t="s">
        <v>21</v>
      </c>
      <c r="B8" s="153" t="s">
        <v>22</v>
      </c>
      <c r="C8" s="184">
        <v>0.64</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row>
    <row r="9" spans="1:28">
      <c r="A9" s="152"/>
      <c r="B9" s="151" t="s">
        <v>23</v>
      </c>
      <c r="C9" s="162">
        <f>5*365</f>
        <v>1825</v>
      </c>
      <c r="D9" s="163"/>
      <c r="E9" s="163"/>
      <c r="F9" s="163"/>
      <c r="G9" s="163"/>
      <c r="H9" s="163"/>
      <c r="I9" s="163"/>
      <c r="J9" s="163"/>
      <c r="K9" s="163"/>
      <c r="L9" s="163"/>
      <c r="M9" s="163"/>
      <c r="N9" s="163"/>
      <c r="O9" s="163"/>
      <c r="P9" s="163"/>
      <c r="Q9" s="163"/>
      <c r="R9" s="163"/>
      <c r="S9" s="163"/>
      <c r="T9" s="163"/>
      <c r="U9" s="163"/>
      <c r="V9" s="163"/>
      <c r="W9" s="163"/>
      <c r="X9" s="163"/>
      <c r="Y9" s="163"/>
      <c r="Z9" s="163"/>
      <c r="AA9" s="163"/>
      <c r="AB9" s="163"/>
    </row>
    <row r="10" spans="1:28">
      <c r="A10" s="152"/>
      <c r="B10" s="151" t="s">
        <v>24</v>
      </c>
      <c r="C10" s="162">
        <f>12*365</f>
        <v>4380</v>
      </c>
      <c r="D10" s="163"/>
      <c r="E10" s="163"/>
      <c r="F10" s="163"/>
      <c r="G10" s="163"/>
      <c r="H10" s="163"/>
      <c r="I10" s="163"/>
      <c r="J10" s="163"/>
      <c r="K10" s="163"/>
      <c r="L10" s="163"/>
      <c r="M10" s="163"/>
      <c r="N10" s="163"/>
      <c r="O10" s="163"/>
      <c r="P10" s="163"/>
      <c r="Q10" s="163"/>
      <c r="R10" s="163"/>
      <c r="S10" s="163"/>
      <c r="T10" s="163"/>
      <c r="U10" s="163"/>
      <c r="V10" s="163"/>
      <c r="W10" s="163"/>
      <c r="X10" s="163"/>
      <c r="Y10" s="163"/>
      <c r="Z10" s="163"/>
      <c r="AA10" s="163"/>
      <c r="AB10" s="163"/>
    </row>
    <row r="11" spans="1:28">
      <c r="A11" s="152"/>
      <c r="B11" s="151" t="s">
        <v>25</v>
      </c>
      <c r="C11" s="162">
        <f>12*365</f>
        <v>4380</v>
      </c>
      <c r="D11" s="163"/>
      <c r="E11" s="163"/>
      <c r="F11" s="163"/>
      <c r="G11" s="163"/>
      <c r="H11" s="163"/>
      <c r="I11" s="163"/>
      <c r="J11" s="163"/>
      <c r="K11" s="163"/>
      <c r="L11" s="163"/>
      <c r="M11" s="163"/>
      <c r="N11" s="163"/>
      <c r="O11" s="163"/>
      <c r="P11" s="163"/>
      <c r="Q11" s="163"/>
      <c r="R11" s="163"/>
      <c r="S11" s="163"/>
      <c r="T11" s="163"/>
      <c r="U11" s="163"/>
      <c r="V11" s="163"/>
      <c r="W11" s="163"/>
      <c r="X11" s="163"/>
      <c r="Y11" s="163"/>
      <c r="Z11" s="163"/>
      <c r="AA11" s="163"/>
      <c r="AB11" s="163"/>
    </row>
    <row r="12" spans="1:28">
      <c r="A12" s="152"/>
      <c r="B12" s="151" t="s">
        <v>26</v>
      </c>
      <c r="C12" s="162">
        <v>0.8</v>
      </c>
      <c r="D12" s="163"/>
      <c r="E12" s="163"/>
      <c r="F12" s="163"/>
      <c r="G12" s="163"/>
      <c r="H12" s="163"/>
      <c r="I12" s="163"/>
      <c r="J12" s="163"/>
      <c r="K12" s="163"/>
      <c r="L12" s="163"/>
      <c r="M12" s="163"/>
      <c r="N12" s="163"/>
      <c r="O12" s="163"/>
      <c r="P12" s="163"/>
      <c r="Q12" s="163"/>
      <c r="R12" s="163"/>
      <c r="S12" s="163"/>
      <c r="T12" s="163"/>
      <c r="U12" s="163"/>
      <c r="V12" s="163"/>
      <c r="W12" s="163"/>
      <c r="X12" s="163"/>
      <c r="Y12" s="163"/>
      <c r="Z12" s="163"/>
      <c r="AA12" s="163"/>
      <c r="AB12" s="163"/>
    </row>
    <row r="13" spans="1:28">
      <c r="A13" s="152"/>
      <c r="B13" s="151" t="s">
        <v>27</v>
      </c>
      <c r="C13" s="162">
        <v>25</v>
      </c>
      <c r="D13" s="163"/>
      <c r="E13" s="163"/>
      <c r="F13" s="163"/>
      <c r="G13" s="163"/>
      <c r="H13" s="163"/>
      <c r="I13" s="163"/>
      <c r="J13" s="163"/>
      <c r="K13" s="163"/>
      <c r="L13" s="163"/>
      <c r="M13" s="163"/>
      <c r="N13" s="163"/>
      <c r="O13" s="163"/>
      <c r="P13" s="163"/>
      <c r="Q13" s="163"/>
      <c r="R13" s="163"/>
      <c r="S13" s="163"/>
      <c r="T13" s="163"/>
      <c r="U13" s="163"/>
      <c r="V13" s="163"/>
      <c r="W13" s="163"/>
      <c r="X13" s="163"/>
      <c r="Y13" s="163"/>
      <c r="Z13" s="163"/>
      <c r="AA13" s="163"/>
      <c r="AB13" s="163"/>
    </row>
    <row r="14" spans="1:28">
      <c r="A14" s="152"/>
      <c r="B14" s="151" t="s">
        <v>28</v>
      </c>
      <c r="C14" s="165">
        <f>+J6/'SCPZ Biogas Assump&amp; Estimation'!E32</f>
        <v>0.411078220288351</v>
      </c>
      <c r="D14" s="163"/>
      <c r="E14" s="163"/>
      <c r="F14" s="163"/>
      <c r="G14" s="163"/>
      <c r="H14" s="163"/>
      <c r="I14" s="163"/>
      <c r="J14" s="163"/>
      <c r="K14" s="163"/>
      <c r="L14" s="163"/>
      <c r="M14" s="163"/>
      <c r="N14" s="163"/>
      <c r="O14" s="163"/>
      <c r="P14" s="163"/>
      <c r="Q14" s="163"/>
      <c r="R14" s="163"/>
      <c r="S14" s="163"/>
      <c r="T14" s="163"/>
      <c r="U14" s="163"/>
      <c r="V14" s="163"/>
      <c r="W14" s="163"/>
      <c r="X14" s="163"/>
      <c r="Y14" s="163"/>
      <c r="Z14" s="163"/>
      <c r="AA14" s="163"/>
      <c r="AB14" s="163"/>
    </row>
    <row r="15" spans="1:28">
      <c r="A15" s="152"/>
      <c r="B15" s="151"/>
      <c r="C15" s="164"/>
      <c r="D15" s="163"/>
      <c r="E15" s="163"/>
      <c r="F15" s="163"/>
      <c r="G15" s="163"/>
      <c r="H15" s="163"/>
      <c r="I15" s="163"/>
      <c r="J15" s="163"/>
      <c r="K15" s="163"/>
      <c r="L15" s="163"/>
      <c r="M15" s="163"/>
      <c r="N15" s="163"/>
      <c r="O15" s="163"/>
      <c r="P15" s="163"/>
      <c r="Q15" s="163"/>
      <c r="R15" s="163"/>
      <c r="S15" s="163"/>
      <c r="T15" s="163"/>
      <c r="U15" s="163"/>
      <c r="V15" s="163"/>
      <c r="W15" s="163"/>
      <c r="X15" s="163"/>
      <c r="Y15" s="163"/>
      <c r="Z15" s="163"/>
      <c r="AA15" s="163"/>
      <c r="AB15" s="163"/>
    </row>
    <row r="16" spans="1:28">
      <c r="A16" s="152"/>
      <c r="B16" s="120" t="s">
        <v>67</v>
      </c>
      <c r="C16" s="121"/>
      <c r="D16" s="121">
        <v>1</v>
      </c>
      <c r="E16" s="121">
        <v>2</v>
      </c>
      <c r="F16" s="121">
        <v>3</v>
      </c>
      <c r="G16" s="121">
        <v>4</v>
      </c>
      <c r="H16" s="121">
        <v>5</v>
      </c>
      <c r="I16" s="121">
        <v>6</v>
      </c>
      <c r="J16" s="121">
        <v>7</v>
      </c>
      <c r="K16" s="121">
        <v>8</v>
      </c>
      <c r="L16" s="121">
        <v>9</v>
      </c>
      <c r="M16" s="121">
        <v>10</v>
      </c>
      <c r="N16" s="121">
        <v>11</v>
      </c>
      <c r="O16" s="121">
        <v>12</v>
      </c>
      <c r="P16" s="121">
        <v>13</v>
      </c>
      <c r="Q16" s="121">
        <v>14</v>
      </c>
      <c r="R16" s="121">
        <v>15</v>
      </c>
      <c r="S16" s="121">
        <v>16</v>
      </c>
      <c r="T16" s="121">
        <v>17</v>
      </c>
      <c r="U16" s="121">
        <v>18</v>
      </c>
      <c r="V16" s="121">
        <v>19</v>
      </c>
      <c r="W16" s="121">
        <v>20</v>
      </c>
      <c r="X16" s="121">
        <v>21</v>
      </c>
      <c r="Y16" s="121">
        <v>22</v>
      </c>
      <c r="Z16" s="121">
        <v>23</v>
      </c>
      <c r="AA16" s="121">
        <v>24</v>
      </c>
      <c r="AB16" s="121">
        <v>25</v>
      </c>
    </row>
    <row r="17" spans="1:28">
      <c r="A17" s="157" t="s">
        <v>29</v>
      </c>
      <c r="B17" s="839" t="s">
        <v>31</v>
      </c>
      <c r="C17" s="166"/>
      <c r="D17" s="161">
        <f>'EthSolarPV Financial Analysis '!D19/1000</f>
        <v>1980.0312972000004</v>
      </c>
      <c r="E17" s="161">
        <f>+D17</f>
        <v>1980.0312972000004</v>
      </c>
      <c r="F17" s="161">
        <f t="shared" ref="F17:AB19" si="0">+E17</f>
        <v>1980.0312972000004</v>
      </c>
      <c r="G17" s="161">
        <f t="shared" si="0"/>
        <v>1980.0312972000004</v>
      </c>
      <c r="H17" s="161">
        <f t="shared" si="0"/>
        <v>1980.0312972000004</v>
      </c>
      <c r="I17" s="161">
        <f t="shared" si="0"/>
        <v>1980.0312972000004</v>
      </c>
      <c r="J17" s="161">
        <f t="shared" si="0"/>
        <v>1980.0312972000004</v>
      </c>
      <c r="K17" s="161">
        <f t="shared" si="0"/>
        <v>1980.0312972000004</v>
      </c>
      <c r="L17" s="161">
        <f t="shared" si="0"/>
        <v>1980.0312972000004</v>
      </c>
      <c r="M17" s="161">
        <f t="shared" si="0"/>
        <v>1980.0312972000004</v>
      </c>
      <c r="N17" s="161">
        <f t="shared" si="0"/>
        <v>1980.0312972000004</v>
      </c>
      <c r="O17" s="161">
        <f t="shared" si="0"/>
        <v>1980.0312972000004</v>
      </c>
      <c r="P17" s="161">
        <f t="shared" si="0"/>
        <v>1980.0312972000004</v>
      </c>
      <c r="Q17" s="161">
        <f t="shared" si="0"/>
        <v>1980.0312972000004</v>
      </c>
      <c r="R17" s="161">
        <f t="shared" si="0"/>
        <v>1980.0312972000004</v>
      </c>
      <c r="S17" s="161">
        <f t="shared" si="0"/>
        <v>1980.0312972000004</v>
      </c>
      <c r="T17" s="161">
        <f t="shared" si="0"/>
        <v>1980.0312972000004</v>
      </c>
      <c r="U17" s="161">
        <f t="shared" si="0"/>
        <v>1980.0312972000004</v>
      </c>
      <c r="V17" s="161">
        <f t="shared" si="0"/>
        <v>1980.0312972000004</v>
      </c>
      <c r="W17" s="161">
        <f t="shared" si="0"/>
        <v>1980.0312972000004</v>
      </c>
      <c r="X17" s="161">
        <f t="shared" si="0"/>
        <v>1980.0312972000004</v>
      </c>
      <c r="Y17" s="161">
        <f t="shared" si="0"/>
        <v>1980.0312972000004</v>
      </c>
      <c r="Z17" s="161">
        <f t="shared" si="0"/>
        <v>1980.0312972000004</v>
      </c>
      <c r="AA17" s="161">
        <f t="shared" si="0"/>
        <v>1980.0312972000004</v>
      </c>
      <c r="AB17" s="161">
        <f t="shared" si="0"/>
        <v>1980.0312972000004</v>
      </c>
    </row>
    <row r="18" spans="1:28">
      <c r="A18" s="152"/>
      <c r="B18" s="837" t="s">
        <v>32</v>
      </c>
      <c r="C18" s="164"/>
      <c r="D18" s="163">
        <f>'EthSolarPV Financial Analysis '!D20/1000</f>
        <v>73117.759633157548</v>
      </c>
      <c r="E18" s="163">
        <f>+D18</f>
        <v>73117.759633157548</v>
      </c>
      <c r="F18" s="163">
        <f t="shared" si="0"/>
        <v>73117.759633157548</v>
      </c>
      <c r="G18" s="163">
        <f t="shared" si="0"/>
        <v>73117.759633157548</v>
      </c>
      <c r="H18" s="163">
        <f t="shared" si="0"/>
        <v>73117.759633157548</v>
      </c>
      <c r="I18" s="163">
        <f t="shared" si="0"/>
        <v>73117.759633157548</v>
      </c>
      <c r="J18" s="163">
        <f t="shared" si="0"/>
        <v>73117.759633157548</v>
      </c>
      <c r="K18" s="163">
        <f t="shared" si="0"/>
        <v>73117.759633157548</v>
      </c>
      <c r="L18" s="163">
        <f t="shared" si="0"/>
        <v>73117.759633157548</v>
      </c>
      <c r="M18" s="163">
        <f t="shared" si="0"/>
        <v>73117.759633157548</v>
      </c>
      <c r="N18" s="163">
        <f t="shared" si="0"/>
        <v>73117.759633157548</v>
      </c>
      <c r="O18" s="163">
        <f t="shared" si="0"/>
        <v>73117.759633157548</v>
      </c>
      <c r="P18" s="163">
        <f t="shared" si="0"/>
        <v>73117.759633157548</v>
      </c>
      <c r="Q18" s="163">
        <f t="shared" si="0"/>
        <v>73117.759633157548</v>
      </c>
      <c r="R18" s="163">
        <f t="shared" si="0"/>
        <v>73117.759633157548</v>
      </c>
      <c r="S18" s="163">
        <f t="shared" si="0"/>
        <v>73117.759633157548</v>
      </c>
      <c r="T18" s="163">
        <f t="shared" si="0"/>
        <v>73117.759633157548</v>
      </c>
      <c r="U18" s="163">
        <f t="shared" si="0"/>
        <v>73117.759633157548</v>
      </c>
      <c r="V18" s="163">
        <f t="shared" si="0"/>
        <v>73117.759633157548</v>
      </c>
      <c r="W18" s="163">
        <f t="shared" si="0"/>
        <v>73117.759633157548</v>
      </c>
      <c r="X18" s="163">
        <f t="shared" si="0"/>
        <v>73117.759633157548</v>
      </c>
      <c r="Y18" s="163">
        <f t="shared" si="0"/>
        <v>73117.759633157548</v>
      </c>
      <c r="Z18" s="163">
        <f t="shared" si="0"/>
        <v>73117.759633157548</v>
      </c>
      <c r="AA18" s="163">
        <f t="shared" si="0"/>
        <v>73117.759633157548</v>
      </c>
      <c r="AB18" s="163">
        <f t="shared" si="0"/>
        <v>73117.759633157548</v>
      </c>
    </row>
    <row r="19" spans="1:28">
      <c r="A19" s="152"/>
      <c r="B19" s="837" t="s">
        <v>33</v>
      </c>
      <c r="C19" s="164"/>
      <c r="D19" s="163">
        <f>EthiopiaDigesterAnaly!B68/1000</f>
        <v>18443.88786665368</v>
      </c>
      <c r="E19" s="163">
        <f>+D19</f>
        <v>18443.88786665368</v>
      </c>
      <c r="F19" s="163">
        <f t="shared" si="0"/>
        <v>18443.88786665368</v>
      </c>
      <c r="G19" s="163">
        <f t="shared" si="0"/>
        <v>18443.88786665368</v>
      </c>
      <c r="H19" s="163">
        <f t="shared" si="0"/>
        <v>18443.88786665368</v>
      </c>
      <c r="I19" s="163">
        <f t="shared" si="0"/>
        <v>18443.88786665368</v>
      </c>
      <c r="J19" s="163">
        <f t="shared" si="0"/>
        <v>18443.88786665368</v>
      </c>
      <c r="K19" s="163">
        <f t="shared" si="0"/>
        <v>18443.88786665368</v>
      </c>
      <c r="L19" s="163">
        <f t="shared" si="0"/>
        <v>18443.88786665368</v>
      </c>
      <c r="M19" s="163">
        <f t="shared" si="0"/>
        <v>18443.88786665368</v>
      </c>
      <c r="N19" s="163">
        <f t="shared" si="0"/>
        <v>18443.88786665368</v>
      </c>
      <c r="O19" s="163">
        <f t="shared" si="0"/>
        <v>18443.88786665368</v>
      </c>
      <c r="P19" s="163">
        <f t="shared" si="0"/>
        <v>18443.88786665368</v>
      </c>
      <c r="Q19" s="163">
        <f t="shared" si="0"/>
        <v>18443.88786665368</v>
      </c>
      <c r="R19" s="163">
        <f t="shared" si="0"/>
        <v>18443.88786665368</v>
      </c>
      <c r="S19" s="163">
        <f t="shared" si="0"/>
        <v>18443.88786665368</v>
      </c>
      <c r="T19" s="163">
        <f t="shared" si="0"/>
        <v>18443.88786665368</v>
      </c>
      <c r="U19" s="163">
        <f t="shared" si="0"/>
        <v>18443.88786665368</v>
      </c>
      <c r="V19" s="163">
        <f t="shared" si="0"/>
        <v>18443.88786665368</v>
      </c>
      <c r="W19" s="163">
        <f t="shared" si="0"/>
        <v>18443.88786665368</v>
      </c>
      <c r="X19" s="163">
        <f t="shared" si="0"/>
        <v>18443.88786665368</v>
      </c>
      <c r="Y19" s="163">
        <f t="shared" si="0"/>
        <v>18443.88786665368</v>
      </c>
      <c r="Z19" s="163">
        <f t="shared" si="0"/>
        <v>18443.88786665368</v>
      </c>
      <c r="AA19" s="163">
        <f t="shared" si="0"/>
        <v>18443.88786665368</v>
      </c>
      <c r="AB19" s="163">
        <f t="shared" si="0"/>
        <v>18443.88786665368</v>
      </c>
    </row>
    <row r="20" spans="1:28">
      <c r="A20" s="152"/>
      <c r="B20" s="151"/>
      <c r="C20" s="164"/>
      <c r="D20" s="163"/>
      <c r="E20" s="163"/>
      <c r="F20" s="163"/>
      <c r="G20" s="163"/>
      <c r="H20" s="163"/>
      <c r="I20" s="163"/>
      <c r="J20" s="163"/>
      <c r="K20" s="163"/>
      <c r="L20" s="163"/>
      <c r="M20" s="163"/>
      <c r="N20" s="163"/>
      <c r="O20" s="163"/>
      <c r="P20" s="163"/>
      <c r="Q20" s="163"/>
      <c r="R20" s="163"/>
      <c r="S20" s="163"/>
      <c r="T20" s="163"/>
      <c r="U20" s="163"/>
      <c r="V20" s="163"/>
      <c r="W20" s="163"/>
      <c r="X20" s="163"/>
      <c r="Y20" s="163"/>
      <c r="Z20" s="163"/>
      <c r="AA20" s="163"/>
      <c r="AB20" s="163"/>
    </row>
    <row r="21" spans="1:28">
      <c r="A21" s="152"/>
      <c r="B21" s="123"/>
      <c r="C21" s="131"/>
      <c r="D21" s="124"/>
      <c r="E21" s="124"/>
      <c r="F21" s="124"/>
      <c r="G21" s="124"/>
      <c r="H21" s="124"/>
      <c r="I21" s="124"/>
      <c r="J21" s="124"/>
      <c r="K21" s="124"/>
      <c r="L21" s="124"/>
      <c r="M21" s="124"/>
      <c r="N21" s="124"/>
      <c r="O21" s="124"/>
      <c r="P21" s="124"/>
      <c r="Q21" s="124"/>
      <c r="R21" s="124"/>
      <c r="S21" s="124"/>
      <c r="T21" s="124"/>
      <c r="U21" s="124"/>
      <c r="V21" s="124"/>
      <c r="W21" s="124"/>
      <c r="X21" s="124"/>
      <c r="Y21" s="124"/>
      <c r="Z21" s="124"/>
      <c r="AA21" s="124"/>
      <c r="AB21" s="124"/>
    </row>
    <row r="22" spans="1:28">
      <c r="A22" s="157" t="s">
        <v>34</v>
      </c>
      <c r="B22" s="839" t="s">
        <v>35</v>
      </c>
      <c r="C22" s="169"/>
      <c r="D22" s="170">
        <f>-'EthSolarPV Financial Analysis '!D117</f>
        <v>0</v>
      </c>
      <c r="E22" s="170">
        <f>+D22</f>
        <v>0</v>
      </c>
      <c r="F22" s="170">
        <f t="shared" ref="F22:AB24" si="1">+E22</f>
        <v>0</v>
      </c>
      <c r="G22" s="170">
        <f t="shared" si="1"/>
        <v>0</v>
      </c>
      <c r="H22" s="170">
        <f t="shared" si="1"/>
        <v>0</v>
      </c>
      <c r="I22" s="170">
        <f t="shared" si="1"/>
        <v>0</v>
      </c>
      <c r="J22" s="170">
        <f t="shared" si="1"/>
        <v>0</v>
      </c>
      <c r="K22" s="170">
        <f t="shared" si="1"/>
        <v>0</v>
      </c>
      <c r="L22" s="170">
        <f t="shared" si="1"/>
        <v>0</v>
      </c>
      <c r="M22" s="170">
        <f t="shared" si="1"/>
        <v>0</v>
      </c>
      <c r="N22" s="170">
        <f t="shared" si="1"/>
        <v>0</v>
      </c>
      <c r="O22" s="170">
        <f t="shared" si="1"/>
        <v>0</v>
      </c>
      <c r="P22" s="170">
        <f t="shared" si="1"/>
        <v>0</v>
      </c>
      <c r="Q22" s="170">
        <f t="shared" si="1"/>
        <v>0</v>
      </c>
      <c r="R22" s="170">
        <f t="shared" si="1"/>
        <v>0</v>
      </c>
      <c r="S22" s="170">
        <f t="shared" si="1"/>
        <v>0</v>
      </c>
      <c r="T22" s="170">
        <f t="shared" si="1"/>
        <v>0</v>
      </c>
      <c r="U22" s="170">
        <f t="shared" si="1"/>
        <v>0</v>
      </c>
      <c r="V22" s="170">
        <f t="shared" si="1"/>
        <v>0</v>
      </c>
      <c r="W22" s="170">
        <f t="shared" si="1"/>
        <v>0</v>
      </c>
      <c r="X22" s="170">
        <f t="shared" si="1"/>
        <v>0</v>
      </c>
      <c r="Y22" s="170">
        <f t="shared" si="1"/>
        <v>0</v>
      </c>
      <c r="Z22" s="170">
        <f t="shared" si="1"/>
        <v>0</v>
      </c>
      <c r="AA22" s="170">
        <f t="shared" si="1"/>
        <v>0</v>
      </c>
      <c r="AB22" s="170">
        <f t="shared" si="1"/>
        <v>0</v>
      </c>
    </row>
    <row r="23" spans="1:28">
      <c r="A23" s="151"/>
      <c r="B23" s="837" t="s">
        <v>36</v>
      </c>
      <c r="C23" s="167"/>
      <c r="D23" s="167">
        <f>EthiopiaDigesterAnaly!G12*C13</f>
        <v>196245.4478680247</v>
      </c>
      <c r="E23" s="167">
        <f>+D23</f>
        <v>196245.4478680247</v>
      </c>
      <c r="F23" s="167">
        <f t="shared" si="1"/>
        <v>196245.4478680247</v>
      </c>
      <c r="G23" s="167">
        <f t="shared" si="1"/>
        <v>196245.4478680247</v>
      </c>
      <c r="H23" s="167">
        <f t="shared" si="1"/>
        <v>196245.4478680247</v>
      </c>
      <c r="I23" s="167">
        <f t="shared" si="1"/>
        <v>196245.4478680247</v>
      </c>
      <c r="J23" s="167">
        <f t="shared" si="1"/>
        <v>196245.4478680247</v>
      </c>
      <c r="K23" s="167">
        <f t="shared" si="1"/>
        <v>196245.4478680247</v>
      </c>
      <c r="L23" s="167">
        <f t="shared" si="1"/>
        <v>196245.4478680247</v>
      </c>
      <c r="M23" s="167">
        <f t="shared" si="1"/>
        <v>196245.4478680247</v>
      </c>
      <c r="N23" s="167">
        <f t="shared" si="1"/>
        <v>196245.4478680247</v>
      </c>
      <c r="O23" s="167">
        <f t="shared" si="1"/>
        <v>196245.4478680247</v>
      </c>
      <c r="P23" s="167">
        <f t="shared" si="1"/>
        <v>196245.4478680247</v>
      </c>
      <c r="Q23" s="167">
        <f t="shared" si="1"/>
        <v>196245.4478680247</v>
      </c>
      <c r="R23" s="167">
        <f t="shared" si="1"/>
        <v>196245.4478680247</v>
      </c>
      <c r="S23" s="167">
        <f t="shared" si="1"/>
        <v>196245.4478680247</v>
      </c>
      <c r="T23" s="167">
        <f t="shared" si="1"/>
        <v>196245.4478680247</v>
      </c>
      <c r="U23" s="167">
        <f t="shared" si="1"/>
        <v>196245.4478680247</v>
      </c>
      <c r="V23" s="167">
        <f t="shared" si="1"/>
        <v>196245.4478680247</v>
      </c>
      <c r="W23" s="167">
        <f t="shared" si="1"/>
        <v>196245.4478680247</v>
      </c>
      <c r="X23" s="167">
        <f t="shared" si="1"/>
        <v>196245.4478680247</v>
      </c>
      <c r="Y23" s="167">
        <f t="shared" si="1"/>
        <v>196245.4478680247</v>
      </c>
      <c r="Z23" s="167">
        <f t="shared" si="1"/>
        <v>196245.4478680247</v>
      </c>
      <c r="AA23" s="167">
        <f t="shared" si="1"/>
        <v>196245.4478680247</v>
      </c>
      <c r="AB23" s="167">
        <f t="shared" si="1"/>
        <v>196245.4478680247</v>
      </c>
    </row>
    <row r="24" spans="1:28">
      <c r="A24" s="151"/>
      <c r="B24" s="837" t="s">
        <v>37</v>
      </c>
      <c r="C24" s="152"/>
      <c r="D24" s="167">
        <f>-'EthBiogas Electricity Fin '!D119</f>
        <v>11804.088234658357</v>
      </c>
      <c r="E24" s="167">
        <f>+D24</f>
        <v>11804.088234658357</v>
      </c>
      <c r="F24" s="167">
        <f t="shared" si="1"/>
        <v>11804.088234658357</v>
      </c>
      <c r="G24" s="167">
        <f t="shared" si="1"/>
        <v>11804.088234658357</v>
      </c>
      <c r="H24" s="167">
        <f t="shared" si="1"/>
        <v>11804.088234658357</v>
      </c>
      <c r="I24" s="167">
        <f t="shared" si="1"/>
        <v>11804.088234658357</v>
      </c>
      <c r="J24" s="167">
        <f t="shared" si="1"/>
        <v>11804.088234658357</v>
      </c>
      <c r="K24" s="167">
        <f t="shared" si="1"/>
        <v>11804.088234658357</v>
      </c>
      <c r="L24" s="167">
        <f t="shared" si="1"/>
        <v>11804.088234658357</v>
      </c>
      <c r="M24" s="167">
        <f t="shared" si="1"/>
        <v>11804.088234658357</v>
      </c>
      <c r="N24" s="167">
        <f t="shared" si="1"/>
        <v>11804.088234658357</v>
      </c>
      <c r="O24" s="167">
        <f t="shared" si="1"/>
        <v>11804.088234658357</v>
      </c>
      <c r="P24" s="167">
        <f t="shared" si="1"/>
        <v>11804.088234658357</v>
      </c>
      <c r="Q24" s="167">
        <f t="shared" si="1"/>
        <v>11804.088234658357</v>
      </c>
      <c r="R24" s="167">
        <f t="shared" si="1"/>
        <v>11804.088234658357</v>
      </c>
      <c r="S24" s="167">
        <f t="shared" si="1"/>
        <v>11804.088234658357</v>
      </c>
      <c r="T24" s="167">
        <f t="shared" si="1"/>
        <v>11804.088234658357</v>
      </c>
      <c r="U24" s="167">
        <f t="shared" si="1"/>
        <v>11804.088234658357</v>
      </c>
      <c r="V24" s="167">
        <f t="shared" si="1"/>
        <v>11804.088234658357</v>
      </c>
      <c r="W24" s="167">
        <f t="shared" si="1"/>
        <v>11804.088234658357</v>
      </c>
      <c r="X24" s="167">
        <f t="shared" si="1"/>
        <v>11804.088234658357</v>
      </c>
      <c r="Y24" s="167">
        <f t="shared" si="1"/>
        <v>11804.088234658357</v>
      </c>
      <c r="Z24" s="167">
        <f t="shared" si="1"/>
        <v>11804.088234658357</v>
      </c>
      <c r="AA24" s="167">
        <f t="shared" si="1"/>
        <v>11804.088234658357</v>
      </c>
      <c r="AB24" s="167">
        <f t="shared" si="1"/>
        <v>11804.088234658357</v>
      </c>
    </row>
    <row r="25" spans="1:28">
      <c r="A25" s="151"/>
      <c r="B25" s="837" t="s">
        <v>71</v>
      </c>
      <c r="C25" s="152"/>
      <c r="D25" s="167">
        <f>+D56</f>
        <v>0</v>
      </c>
      <c r="E25" s="167">
        <f t="shared" ref="E25:AB25" si="2">+E56</f>
        <v>0</v>
      </c>
      <c r="F25" s="167">
        <f t="shared" si="2"/>
        <v>0</v>
      </c>
      <c r="G25" s="167">
        <f t="shared" si="2"/>
        <v>0</v>
      </c>
      <c r="H25" s="167">
        <f t="shared" si="2"/>
        <v>0</v>
      </c>
      <c r="I25" s="167">
        <f t="shared" si="2"/>
        <v>128300</v>
      </c>
      <c r="J25" s="167">
        <f t="shared" si="2"/>
        <v>128300</v>
      </c>
      <c r="K25" s="167">
        <f t="shared" si="2"/>
        <v>128300</v>
      </c>
      <c r="L25" s="167">
        <f t="shared" si="2"/>
        <v>128300</v>
      </c>
      <c r="M25" s="167">
        <f t="shared" si="2"/>
        <v>128300</v>
      </c>
      <c r="N25" s="167">
        <f t="shared" si="2"/>
        <v>128300</v>
      </c>
      <c r="O25" s="167">
        <f t="shared" si="2"/>
        <v>128300</v>
      </c>
      <c r="P25" s="167">
        <f t="shared" si="2"/>
        <v>128300</v>
      </c>
      <c r="Q25" s="167">
        <f t="shared" si="2"/>
        <v>128300</v>
      </c>
      <c r="R25" s="167">
        <f t="shared" si="2"/>
        <v>128300</v>
      </c>
      <c r="S25" s="167">
        <f t="shared" si="2"/>
        <v>128300</v>
      </c>
      <c r="T25" s="167">
        <f t="shared" si="2"/>
        <v>128300</v>
      </c>
      <c r="U25" s="167">
        <f t="shared" si="2"/>
        <v>128300</v>
      </c>
      <c r="V25" s="167">
        <f t="shared" si="2"/>
        <v>128300</v>
      </c>
      <c r="W25" s="167">
        <f t="shared" si="2"/>
        <v>128300</v>
      </c>
      <c r="X25" s="167">
        <f t="shared" si="2"/>
        <v>128300</v>
      </c>
      <c r="Y25" s="167">
        <f t="shared" si="2"/>
        <v>128300</v>
      </c>
      <c r="Z25" s="167">
        <f t="shared" si="2"/>
        <v>128300</v>
      </c>
      <c r="AA25" s="167">
        <f t="shared" si="2"/>
        <v>128300</v>
      </c>
      <c r="AB25" s="167">
        <f t="shared" si="2"/>
        <v>128300</v>
      </c>
    </row>
    <row r="26" spans="1:28">
      <c r="A26" s="151"/>
      <c r="B26" s="837" t="s">
        <v>39</v>
      </c>
      <c r="C26" s="152"/>
      <c r="D26" s="167">
        <f>+D45</f>
        <v>26548.403600000001</v>
      </c>
      <c r="E26" s="167">
        <f t="shared" ref="E26:AB26" si="3">+E45</f>
        <v>26548.403600000001</v>
      </c>
      <c r="F26" s="167">
        <f t="shared" si="3"/>
        <v>26548.403600000001</v>
      </c>
      <c r="G26" s="167">
        <f t="shared" si="3"/>
        <v>26548.403600000001</v>
      </c>
      <c r="H26" s="167">
        <f t="shared" si="3"/>
        <v>26548.403600000001</v>
      </c>
      <c r="I26" s="167">
        <f t="shared" si="3"/>
        <v>26548.403600000001</v>
      </c>
      <c r="J26" s="167">
        <f t="shared" si="3"/>
        <v>26548.403600000001</v>
      </c>
      <c r="K26" s="167">
        <f t="shared" si="3"/>
        <v>26548.403600000001</v>
      </c>
      <c r="L26" s="167">
        <f t="shared" si="3"/>
        <v>26548.403600000001</v>
      </c>
      <c r="M26" s="167">
        <f t="shared" si="3"/>
        <v>26548.403600000001</v>
      </c>
      <c r="N26" s="167">
        <f t="shared" si="3"/>
        <v>26548.403600000001</v>
      </c>
      <c r="O26" s="167">
        <f t="shared" si="3"/>
        <v>26548.403600000001</v>
      </c>
      <c r="P26" s="167">
        <f t="shared" si="3"/>
        <v>26548.403600000001</v>
      </c>
      <c r="Q26" s="167">
        <f t="shared" si="3"/>
        <v>26548.403600000001</v>
      </c>
      <c r="R26" s="167">
        <f t="shared" si="3"/>
        <v>26548.403600000001</v>
      </c>
      <c r="S26" s="167">
        <f t="shared" si="3"/>
        <v>26548.403600000001</v>
      </c>
      <c r="T26" s="167">
        <f t="shared" si="3"/>
        <v>26548.403600000001</v>
      </c>
      <c r="U26" s="167">
        <f t="shared" si="3"/>
        <v>26548.403600000001</v>
      </c>
      <c r="V26" s="167">
        <f t="shared" si="3"/>
        <v>26548.403600000001</v>
      </c>
      <c r="W26" s="167">
        <f t="shared" si="3"/>
        <v>26548.403600000001</v>
      </c>
      <c r="X26" s="167">
        <f t="shared" si="3"/>
        <v>26548.403600000001</v>
      </c>
      <c r="Y26" s="167">
        <f t="shared" si="3"/>
        <v>26548.403600000001</v>
      </c>
      <c r="Z26" s="167">
        <f t="shared" si="3"/>
        <v>26548.403600000001</v>
      </c>
      <c r="AA26" s="167">
        <f t="shared" si="3"/>
        <v>26548.403600000001</v>
      </c>
      <c r="AB26" s="167">
        <f t="shared" si="3"/>
        <v>26548.403600000001</v>
      </c>
    </row>
    <row r="27" spans="1:28">
      <c r="A27" s="151"/>
      <c r="B27" s="151" t="s">
        <v>40</v>
      </c>
      <c r="C27" s="172"/>
      <c r="D27" s="168">
        <f t="shared" ref="D27:AB27" si="4">SUM(D22:D26)</f>
        <v>234597.93970268304</v>
      </c>
      <c r="E27" s="168">
        <f t="shared" si="4"/>
        <v>234597.93970268304</v>
      </c>
      <c r="F27" s="168">
        <f t="shared" si="4"/>
        <v>234597.93970268304</v>
      </c>
      <c r="G27" s="168">
        <f t="shared" si="4"/>
        <v>234597.93970268304</v>
      </c>
      <c r="H27" s="168">
        <f t="shared" si="4"/>
        <v>234597.93970268304</v>
      </c>
      <c r="I27" s="168">
        <f t="shared" si="4"/>
        <v>362897.93970268307</v>
      </c>
      <c r="J27" s="168">
        <f t="shared" si="4"/>
        <v>362897.93970268307</v>
      </c>
      <c r="K27" s="168">
        <f t="shared" si="4"/>
        <v>362897.93970268307</v>
      </c>
      <c r="L27" s="168">
        <f t="shared" si="4"/>
        <v>362897.93970268307</v>
      </c>
      <c r="M27" s="168">
        <f t="shared" si="4"/>
        <v>362897.93970268307</v>
      </c>
      <c r="N27" s="168">
        <f t="shared" si="4"/>
        <v>362897.93970268307</v>
      </c>
      <c r="O27" s="168">
        <f t="shared" si="4"/>
        <v>362897.93970268307</v>
      </c>
      <c r="P27" s="168">
        <f t="shared" si="4"/>
        <v>362897.93970268307</v>
      </c>
      <c r="Q27" s="168">
        <f t="shared" si="4"/>
        <v>362897.93970268307</v>
      </c>
      <c r="R27" s="168">
        <f t="shared" si="4"/>
        <v>362897.93970268307</v>
      </c>
      <c r="S27" s="168">
        <f t="shared" si="4"/>
        <v>362897.93970268307</v>
      </c>
      <c r="T27" s="168">
        <f t="shared" si="4"/>
        <v>362897.93970268307</v>
      </c>
      <c r="U27" s="168">
        <f t="shared" si="4"/>
        <v>362897.93970268307</v>
      </c>
      <c r="V27" s="168">
        <f t="shared" si="4"/>
        <v>362897.93970268307</v>
      </c>
      <c r="W27" s="168">
        <f t="shared" si="4"/>
        <v>362897.93970268307</v>
      </c>
      <c r="X27" s="168">
        <f t="shared" si="4"/>
        <v>362897.93970268307</v>
      </c>
      <c r="Y27" s="168">
        <f t="shared" si="4"/>
        <v>362897.93970268307</v>
      </c>
      <c r="Z27" s="168">
        <f t="shared" si="4"/>
        <v>362897.93970268307</v>
      </c>
      <c r="AA27" s="168">
        <f t="shared" si="4"/>
        <v>362897.93970268307</v>
      </c>
      <c r="AB27" s="168">
        <f t="shared" si="4"/>
        <v>362897.93970268307</v>
      </c>
    </row>
    <row r="28" spans="1:28">
      <c r="A28" s="152"/>
      <c r="B28" s="152"/>
      <c r="C28" s="152"/>
      <c r="D28" s="171"/>
      <c r="E28" s="171"/>
      <c r="F28" s="171"/>
      <c r="G28" s="171"/>
      <c r="H28" s="171"/>
      <c r="I28" s="171"/>
      <c r="J28" s="171"/>
      <c r="K28" s="171"/>
      <c r="L28" s="171"/>
      <c r="M28" s="171"/>
      <c r="N28" s="171"/>
      <c r="O28" s="171"/>
      <c r="P28" s="171"/>
      <c r="Q28" s="171"/>
      <c r="R28" s="171"/>
      <c r="S28" s="171"/>
      <c r="T28" s="171"/>
      <c r="U28" s="171"/>
      <c r="V28" s="171"/>
      <c r="W28" s="171"/>
      <c r="X28" s="171"/>
      <c r="Y28" s="171"/>
      <c r="Z28" s="171"/>
      <c r="AA28" s="171"/>
      <c r="AB28" s="171"/>
    </row>
    <row r="29" spans="1:28" ht="29.1">
      <c r="A29" s="173" t="s">
        <v>41</v>
      </c>
      <c r="B29" s="839" t="s">
        <v>44</v>
      </c>
      <c r="C29" s="169"/>
      <c r="D29" s="175">
        <f>'EthSolarPV Financial Analysis '!D19*'EthSolarPV Financial Analysis '!D23/1000</f>
        <v>0</v>
      </c>
      <c r="E29" s="170">
        <f>+D29</f>
        <v>0</v>
      </c>
      <c r="F29" s="170">
        <f t="shared" ref="F29:AB32" si="5">+E29</f>
        <v>0</v>
      </c>
      <c r="G29" s="170">
        <f t="shared" si="5"/>
        <v>0</v>
      </c>
      <c r="H29" s="170">
        <f t="shared" si="5"/>
        <v>0</v>
      </c>
      <c r="I29" s="170">
        <f t="shared" si="5"/>
        <v>0</v>
      </c>
      <c r="J29" s="170">
        <f t="shared" si="5"/>
        <v>0</v>
      </c>
      <c r="K29" s="170">
        <f t="shared" si="5"/>
        <v>0</v>
      </c>
      <c r="L29" s="170">
        <f t="shared" si="5"/>
        <v>0</v>
      </c>
      <c r="M29" s="170">
        <f t="shared" si="5"/>
        <v>0</v>
      </c>
      <c r="N29" s="170">
        <f t="shared" si="5"/>
        <v>0</v>
      </c>
      <c r="O29" s="170">
        <f t="shared" si="5"/>
        <v>0</v>
      </c>
      <c r="P29" s="170">
        <f t="shared" si="5"/>
        <v>0</v>
      </c>
      <c r="Q29" s="170">
        <f t="shared" si="5"/>
        <v>0</v>
      </c>
      <c r="R29" s="170">
        <f t="shared" si="5"/>
        <v>0</v>
      </c>
      <c r="S29" s="170">
        <f t="shared" si="5"/>
        <v>0</v>
      </c>
      <c r="T29" s="170">
        <f t="shared" si="5"/>
        <v>0</v>
      </c>
      <c r="U29" s="170">
        <f t="shared" si="5"/>
        <v>0</v>
      </c>
      <c r="V29" s="170">
        <f t="shared" si="5"/>
        <v>0</v>
      </c>
      <c r="W29" s="170">
        <f t="shared" si="5"/>
        <v>0</v>
      </c>
      <c r="X29" s="170">
        <f t="shared" si="5"/>
        <v>0</v>
      </c>
      <c r="Y29" s="170">
        <f t="shared" si="5"/>
        <v>0</v>
      </c>
      <c r="Z29" s="170">
        <f t="shared" si="5"/>
        <v>0</v>
      </c>
      <c r="AA29" s="170">
        <f t="shared" si="5"/>
        <v>0</v>
      </c>
      <c r="AB29" s="170">
        <f t="shared" si="5"/>
        <v>0</v>
      </c>
    </row>
    <row r="30" spans="1:28">
      <c r="A30" s="152"/>
      <c r="B30" s="837" t="s">
        <v>45</v>
      </c>
      <c r="C30" s="152"/>
      <c r="D30" s="174">
        <f>'EthSolarPV Financial Analysis '!D20*'EthSolarPV Financial Analysis '!D23/1000</f>
        <v>0</v>
      </c>
      <c r="E30" s="167">
        <f>+D30</f>
        <v>0</v>
      </c>
      <c r="F30" s="167">
        <f t="shared" si="5"/>
        <v>0</v>
      </c>
      <c r="G30" s="167">
        <f t="shared" si="5"/>
        <v>0</v>
      </c>
      <c r="H30" s="167">
        <f t="shared" si="5"/>
        <v>0</v>
      </c>
      <c r="I30" s="167">
        <f t="shared" si="5"/>
        <v>0</v>
      </c>
      <c r="J30" s="167">
        <f t="shared" si="5"/>
        <v>0</v>
      </c>
      <c r="K30" s="167">
        <f t="shared" si="5"/>
        <v>0</v>
      </c>
      <c r="L30" s="167">
        <f t="shared" si="5"/>
        <v>0</v>
      </c>
      <c r="M30" s="167">
        <f t="shared" si="5"/>
        <v>0</v>
      </c>
      <c r="N30" s="167">
        <f t="shared" si="5"/>
        <v>0</v>
      </c>
      <c r="O30" s="167">
        <f t="shared" si="5"/>
        <v>0</v>
      </c>
      <c r="P30" s="167">
        <f t="shared" si="5"/>
        <v>0</v>
      </c>
      <c r="Q30" s="167">
        <f t="shared" si="5"/>
        <v>0</v>
      </c>
      <c r="R30" s="167">
        <f t="shared" si="5"/>
        <v>0</v>
      </c>
      <c r="S30" s="167">
        <f t="shared" si="5"/>
        <v>0</v>
      </c>
      <c r="T30" s="167">
        <f t="shared" si="5"/>
        <v>0</v>
      </c>
      <c r="U30" s="167">
        <f t="shared" si="5"/>
        <v>0</v>
      </c>
      <c r="V30" s="167">
        <f t="shared" si="5"/>
        <v>0</v>
      </c>
      <c r="W30" s="167">
        <f t="shared" si="5"/>
        <v>0</v>
      </c>
      <c r="X30" s="167">
        <f t="shared" si="5"/>
        <v>0</v>
      </c>
      <c r="Y30" s="167">
        <f t="shared" si="5"/>
        <v>0</v>
      </c>
      <c r="Z30" s="167">
        <f t="shared" si="5"/>
        <v>0</v>
      </c>
      <c r="AA30" s="167">
        <f t="shared" si="5"/>
        <v>0</v>
      </c>
      <c r="AB30" s="167">
        <f t="shared" si="5"/>
        <v>0</v>
      </c>
    </row>
    <row r="31" spans="1:28">
      <c r="A31" s="152"/>
      <c r="B31" s="837" t="s">
        <v>46</v>
      </c>
      <c r="C31" s="152">
        <f>+'Emissions CalculationsEthio'!C1324</f>
        <v>0</v>
      </c>
      <c r="D31" s="174">
        <f>EthiopiaDigesterAnaly!J12</f>
        <v>174658.44860254199</v>
      </c>
      <c r="E31" s="167">
        <f>+D31</f>
        <v>174658.44860254199</v>
      </c>
      <c r="F31" s="167">
        <f t="shared" si="5"/>
        <v>174658.44860254199</v>
      </c>
      <c r="G31" s="167">
        <f t="shared" si="5"/>
        <v>174658.44860254199</v>
      </c>
      <c r="H31" s="167">
        <f t="shared" si="5"/>
        <v>174658.44860254199</v>
      </c>
      <c r="I31" s="167">
        <f t="shared" si="5"/>
        <v>174658.44860254199</v>
      </c>
      <c r="J31" s="167">
        <f t="shared" si="5"/>
        <v>174658.44860254199</v>
      </c>
      <c r="K31" s="167">
        <f t="shared" si="5"/>
        <v>174658.44860254199</v>
      </c>
      <c r="L31" s="167">
        <f t="shared" si="5"/>
        <v>174658.44860254199</v>
      </c>
      <c r="M31" s="167">
        <f t="shared" si="5"/>
        <v>174658.44860254199</v>
      </c>
      <c r="N31" s="167">
        <f t="shared" si="5"/>
        <v>174658.44860254199</v>
      </c>
      <c r="O31" s="167">
        <f t="shared" si="5"/>
        <v>174658.44860254199</v>
      </c>
      <c r="P31" s="167">
        <f t="shared" si="5"/>
        <v>174658.44860254199</v>
      </c>
      <c r="Q31" s="167">
        <f t="shared" si="5"/>
        <v>174658.44860254199</v>
      </c>
      <c r="R31" s="167">
        <f t="shared" si="5"/>
        <v>174658.44860254199</v>
      </c>
      <c r="S31" s="167">
        <f t="shared" si="5"/>
        <v>174658.44860254199</v>
      </c>
      <c r="T31" s="167">
        <f t="shared" si="5"/>
        <v>174658.44860254199</v>
      </c>
      <c r="U31" s="167">
        <f t="shared" si="5"/>
        <v>174658.44860254199</v>
      </c>
      <c r="V31" s="167">
        <f t="shared" si="5"/>
        <v>174658.44860254199</v>
      </c>
      <c r="W31" s="167">
        <f t="shared" si="5"/>
        <v>174658.44860254199</v>
      </c>
      <c r="X31" s="167">
        <f t="shared" si="5"/>
        <v>174658.44860254199</v>
      </c>
      <c r="Y31" s="167">
        <f t="shared" si="5"/>
        <v>174658.44860254199</v>
      </c>
      <c r="Z31" s="167">
        <f t="shared" si="5"/>
        <v>174658.44860254199</v>
      </c>
      <c r="AA31" s="167">
        <f t="shared" si="5"/>
        <v>174658.44860254199</v>
      </c>
      <c r="AB31" s="167">
        <f t="shared" si="5"/>
        <v>174658.44860254199</v>
      </c>
    </row>
    <row r="32" spans="1:28">
      <c r="A32" s="152"/>
      <c r="B32" s="837" t="s">
        <v>47</v>
      </c>
      <c r="C32" s="152"/>
      <c r="D32" s="174">
        <f>-'EthBiogas Electricity Fin '!D119</f>
        <v>11804.088234658357</v>
      </c>
      <c r="E32" s="167">
        <f>+D32</f>
        <v>11804.088234658357</v>
      </c>
      <c r="F32" s="167">
        <f t="shared" si="5"/>
        <v>11804.088234658357</v>
      </c>
      <c r="G32" s="167">
        <f t="shared" si="5"/>
        <v>11804.088234658357</v>
      </c>
      <c r="H32" s="167">
        <f t="shared" si="5"/>
        <v>11804.088234658357</v>
      </c>
      <c r="I32" s="167">
        <f t="shared" si="5"/>
        <v>11804.088234658357</v>
      </c>
      <c r="J32" s="167">
        <f t="shared" si="5"/>
        <v>11804.088234658357</v>
      </c>
      <c r="K32" s="167">
        <f t="shared" si="5"/>
        <v>11804.088234658357</v>
      </c>
      <c r="L32" s="167">
        <f t="shared" si="5"/>
        <v>11804.088234658357</v>
      </c>
      <c r="M32" s="167">
        <f t="shared" si="5"/>
        <v>11804.088234658357</v>
      </c>
      <c r="N32" s="167">
        <f t="shared" si="5"/>
        <v>11804.088234658357</v>
      </c>
      <c r="O32" s="167">
        <f t="shared" si="5"/>
        <v>11804.088234658357</v>
      </c>
      <c r="P32" s="167">
        <f t="shared" si="5"/>
        <v>11804.088234658357</v>
      </c>
      <c r="Q32" s="167">
        <f t="shared" si="5"/>
        <v>11804.088234658357</v>
      </c>
      <c r="R32" s="167">
        <f t="shared" si="5"/>
        <v>11804.088234658357</v>
      </c>
      <c r="S32" s="167">
        <f t="shared" si="5"/>
        <v>11804.088234658357</v>
      </c>
      <c r="T32" s="167">
        <f t="shared" si="5"/>
        <v>11804.088234658357</v>
      </c>
      <c r="U32" s="167">
        <f t="shared" si="5"/>
        <v>11804.088234658357</v>
      </c>
      <c r="V32" s="167">
        <f t="shared" si="5"/>
        <v>11804.088234658357</v>
      </c>
      <c r="W32" s="167">
        <f t="shared" si="5"/>
        <v>11804.088234658357</v>
      </c>
      <c r="X32" s="167">
        <f t="shared" si="5"/>
        <v>11804.088234658357</v>
      </c>
      <c r="Y32" s="167">
        <f t="shared" si="5"/>
        <v>11804.088234658357</v>
      </c>
      <c r="Z32" s="167">
        <f t="shared" si="5"/>
        <v>11804.088234658357</v>
      </c>
      <c r="AA32" s="167">
        <f t="shared" si="5"/>
        <v>11804.088234658357</v>
      </c>
      <c r="AB32" s="167">
        <f t="shared" si="5"/>
        <v>11804.088234658357</v>
      </c>
    </row>
    <row r="33" spans="1:28">
      <c r="A33" s="152"/>
      <c r="B33" s="837"/>
      <c r="C33" s="152"/>
      <c r="D33" s="174"/>
      <c r="E33" s="167"/>
      <c r="F33" s="167"/>
      <c r="G33" s="167"/>
      <c r="H33" s="167"/>
      <c r="I33" s="167"/>
      <c r="J33" s="167"/>
      <c r="K33" s="167"/>
      <c r="L33" s="167"/>
      <c r="M33" s="167"/>
      <c r="N33" s="167"/>
      <c r="O33" s="167"/>
      <c r="P33" s="167"/>
      <c r="Q33" s="167"/>
      <c r="R33" s="167"/>
      <c r="S33" s="167"/>
      <c r="T33" s="167"/>
      <c r="U33" s="167"/>
      <c r="V33" s="167"/>
      <c r="W33" s="167"/>
      <c r="X33" s="167"/>
      <c r="Y33" s="167"/>
      <c r="Z33" s="167"/>
      <c r="AA33" s="167"/>
      <c r="AB33" s="167"/>
    </row>
    <row r="34" spans="1:28" hidden="1">
      <c r="A34" s="152"/>
      <c r="D34" s="125"/>
      <c r="E34" s="125"/>
      <c r="F34" s="125"/>
      <c r="G34" s="125"/>
      <c r="H34" s="125"/>
      <c r="I34" s="125"/>
      <c r="J34" s="125"/>
      <c r="K34" s="125"/>
      <c r="L34" s="125"/>
      <c r="M34" s="125"/>
      <c r="N34" s="125"/>
      <c r="O34" s="125"/>
      <c r="P34" s="125"/>
      <c r="Q34" s="125"/>
      <c r="R34" s="125"/>
      <c r="S34" s="125"/>
      <c r="T34" s="125"/>
      <c r="U34" s="125"/>
      <c r="V34" s="125"/>
      <c r="W34" s="125"/>
      <c r="X34" s="125"/>
      <c r="Y34" s="125"/>
      <c r="Z34" s="125"/>
      <c r="AA34" s="125"/>
      <c r="AB34" s="125"/>
    </row>
    <row r="35" spans="1:28" hidden="1">
      <c r="A35" s="152"/>
      <c r="B35" s="126" t="s">
        <v>49</v>
      </c>
      <c r="C35" s="129"/>
      <c r="D35" s="127"/>
      <c r="E35" s="127"/>
      <c r="F35" s="127"/>
      <c r="G35" s="127"/>
      <c r="H35" s="127"/>
      <c r="I35" s="127"/>
      <c r="J35" s="127"/>
      <c r="K35" s="127"/>
      <c r="L35" s="127"/>
      <c r="M35" s="127"/>
      <c r="N35" s="127"/>
      <c r="O35" s="127"/>
      <c r="P35" s="127"/>
      <c r="Q35" s="127"/>
      <c r="R35" s="127"/>
      <c r="S35" s="127"/>
      <c r="T35" s="127"/>
      <c r="U35" s="127"/>
      <c r="V35" s="127"/>
      <c r="W35" s="127"/>
      <c r="X35" s="127"/>
      <c r="Y35" s="127"/>
      <c r="Z35" s="127"/>
      <c r="AA35" s="127"/>
      <c r="AB35" s="127"/>
    </row>
    <row r="36" spans="1:28" hidden="1">
      <c r="A36" s="152"/>
      <c r="B36" s="122" t="s">
        <v>50</v>
      </c>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0"/>
      <c r="AB36" s="130"/>
    </row>
    <row r="37" spans="1:28" hidden="1">
      <c r="A37" s="152"/>
      <c r="B37" s="122" t="s">
        <v>51</v>
      </c>
      <c r="C37" s="131"/>
      <c r="D37" s="128">
        <f>0.4*122136259/15/1000</f>
        <v>3256.9669066666665</v>
      </c>
      <c r="E37" s="128">
        <f t="shared" ref="E37:AB37" si="6">0.4*122136259/15/1000</f>
        <v>3256.9669066666665</v>
      </c>
      <c r="F37" s="128">
        <f t="shared" si="6"/>
        <v>3256.9669066666665</v>
      </c>
      <c r="G37" s="128">
        <f t="shared" si="6"/>
        <v>3256.9669066666665</v>
      </c>
      <c r="H37" s="128">
        <f t="shared" si="6"/>
        <v>3256.9669066666665</v>
      </c>
      <c r="I37" s="128">
        <f t="shared" si="6"/>
        <v>3256.9669066666665</v>
      </c>
      <c r="J37" s="128">
        <f t="shared" si="6"/>
        <v>3256.9669066666665</v>
      </c>
      <c r="K37" s="128">
        <f t="shared" si="6"/>
        <v>3256.9669066666665</v>
      </c>
      <c r="L37" s="128">
        <f t="shared" si="6"/>
        <v>3256.9669066666665</v>
      </c>
      <c r="M37" s="128">
        <f t="shared" si="6"/>
        <v>3256.9669066666665</v>
      </c>
      <c r="N37" s="128">
        <f t="shared" si="6"/>
        <v>3256.9669066666665</v>
      </c>
      <c r="O37" s="128">
        <f t="shared" si="6"/>
        <v>3256.9669066666665</v>
      </c>
      <c r="P37" s="128">
        <f t="shared" si="6"/>
        <v>3256.9669066666665</v>
      </c>
      <c r="Q37" s="128">
        <f t="shared" si="6"/>
        <v>3256.9669066666665</v>
      </c>
      <c r="R37" s="128">
        <f t="shared" si="6"/>
        <v>3256.9669066666665</v>
      </c>
      <c r="S37" s="128">
        <f t="shared" si="6"/>
        <v>3256.9669066666665</v>
      </c>
      <c r="T37" s="128">
        <f t="shared" si="6"/>
        <v>3256.9669066666665</v>
      </c>
      <c r="U37" s="128">
        <f t="shared" si="6"/>
        <v>3256.9669066666665</v>
      </c>
      <c r="V37" s="128">
        <f t="shared" si="6"/>
        <v>3256.9669066666665</v>
      </c>
      <c r="W37" s="128">
        <f t="shared" si="6"/>
        <v>3256.9669066666665</v>
      </c>
      <c r="X37" s="128">
        <f t="shared" si="6"/>
        <v>3256.9669066666665</v>
      </c>
      <c r="Y37" s="128">
        <f t="shared" si="6"/>
        <v>3256.9669066666665</v>
      </c>
      <c r="Z37" s="128">
        <f t="shared" si="6"/>
        <v>3256.9669066666665</v>
      </c>
      <c r="AA37" s="128">
        <f t="shared" si="6"/>
        <v>3256.9669066666665</v>
      </c>
      <c r="AB37" s="128">
        <f t="shared" si="6"/>
        <v>3256.9669066666665</v>
      </c>
    </row>
    <row r="38" spans="1:28" hidden="1">
      <c r="A38" s="152"/>
      <c r="B38" s="122" t="s">
        <v>52</v>
      </c>
      <c r="C38" s="131"/>
      <c r="D38" s="132">
        <v>374.51</v>
      </c>
      <c r="E38" s="132">
        <v>374.51</v>
      </c>
      <c r="F38" s="132">
        <v>374.51</v>
      </c>
      <c r="G38" s="132">
        <v>374.51</v>
      </c>
      <c r="H38" s="132">
        <v>374.51</v>
      </c>
      <c r="I38" s="132">
        <v>374.51</v>
      </c>
      <c r="J38" s="132">
        <v>374.51</v>
      </c>
      <c r="K38" s="132">
        <v>374.51</v>
      </c>
      <c r="L38" s="132">
        <v>374.51</v>
      </c>
      <c r="M38" s="132">
        <v>374.51</v>
      </c>
      <c r="N38" s="132">
        <v>374.51</v>
      </c>
      <c r="O38" s="132">
        <v>374.51</v>
      </c>
      <c r="P38" s="132">
        <v>374.51</v>
      </c>
      <c r="Q38" s="132">
        <v>374.51</v>
      </c>
      <c r="R38" s="132">
        <v>374.51</v>
      </c>
      <c r="S38" s="132">
        <v>374.51</v>
      </c>
      <c r="T38" s="132">
        <v>374.51</v>
      </c>
      <c r="U38" s="132">
        <v>374.51</v>
      </c>
      <c r="V38" s="132">
        <v>374.51</v>
      </c>
      <c r="W38" s="132">
        <v>374.51</v>
      </c>
      <c r="X38" s="132">
        <v>374.51</v>
      </c>
      <c r="Y38" s="132">
        <v>374.51</v>
      </c>
      <c r="Z38" s="132">
        <v>374.51</v>
      </c>
      <c r="AA38" s="132">
        <v>374.51</v>
      </c>
      <c r="AB38" s="132">
        <v>374.51</v>
      </c>
    </row>
    <row r="39" spans="1:28" hidden="1">
      <c r="A39" s="152"/>
      <c r="B39" s="122" t="s">
        <v>53</v>
      </c>
      <c r="C39" s="131"/>
      <c r="D39" s="132">
        <v>4.8600000000000003</v>
      </c>
      <c r="E39" s="132">
        <v>4.8600000000000003</v>
      </c>
      <c r="F39" s="132">
        <v>4.8600000000000003</v>
      </c>
      <c r="G39" s="132">
        <v>4.8600000000000003</v>
      </c>
      <c r="H39" s="132">
        <v>4.8600000000000003</v>
      </c>
      <c r="I39" s="132">
        <v>4.8600000000000003</v>
      </c>
      <c r="J39" s="132">
        <v>4.8600000000000003</v>
      </c>
      <c r="K39" s="132">
        <v>4.8600000000000003</v>
      </c>
      <c r="L39" s="132">
        <v>4.8600000000000003</v>
      </c>
      <c r="M39" s="132">
        <v>4.8600000000000003</v>
      </c>
      <c r="N39" s="132">
        <v>4.8600000000000003</v>
      </c>
      <c r="O39" s="132">
        <v>4.8600000000000003</v>
      </c>
      <c r="P39" s="132">
        <v>4.8600000000000003</v>
      </c>
      <c r="Q39" s="132">
        <v>4.8600000000000003</v>
      </c>
      <c r="R39" s="132">
        <v>4.8600000000000003</v>
      </c>
      <c r="S39" s="132">
        <v>4.8600000000000003</v>
      </c>
      <c r="T39" s="132">
        <v>4.8600000000000003</v>
      </c>
      <c r="U39" s="132">
        <v>4.8600000000000003</v>
      </c>
      <c r="V39" s="132">
        <v>4.8600000000000003</v>
      </c>
      <c r="W39" s="132">
        <v>4.8600000000000003</v>
      </c>
      <c r="X39" s="132">
        <v>4.8600000000000003</v>
      </c>
      <c r="Y39" s="132">
        <v>4.8600000000000003</v>
      </c>
      <c r="Z39" s="132">
        <v>4.8600000000000003</v>
      </c>
      <c r="AA39" s="132">
        <v>4.8600000000000003</v>
      </c>
      <c r="AB39" s="132">
        <v>4.8600000000000003</v>
      </c>
    </row>
    <row r="40" spans="1:28" hidden="1">
      <c r="A40" s="152"/>
      <c r="B40" s="122" t="s">
        <v>54</v>
      </c>
      <c r="C40" s="131"/>
      <c r="D40" s="125">
        <f>D38*D39</f>
        <v>1820.1186</v>
      </c>
      <c r="E40" s="125">
        <f t="shared" ref="E40:W40" si="7">E38*E39</f>
        <v>1820.1186</v>
      </c>
      <c r="F40" s="125">
        <f t="shared" si="7"/>
        <v>1820.1186</v>
      </c>
      <c r="G40" s="125">
        <f t="shared" si="7"/>
        <v>1820.1186</v>
      </c>
      <c r="H40" s="125">
        <f t="shared" si="7"/>
        <v>1820.1186</v>
      </c>
      <c r="I40" s="125">
        <f t="shared" si="7"/>
        <v>1820.1186</v>
      </c>
      <c r="J40" s="125">
        <f t="shared" si="7"/>
        <v>1820.1186</v>
      </c>
      <c r="K40" s="125">
        <f t="shared" si="7"/>
        <v>1820.1186</v>
      </c>
      <c r="L40" s="125">
        <f t="shared" si="7"/>
        <v>1820.1186</v>
      </c>
      <c r="M40" s="125">
        <f t="shared" si="7"/>
        <v>1820.1186</v>
      </c>
      <c r="N40" s="125">
        <f t="shared" si="7"/>
        <v>1820.1186</v>
      </c>
      <c r="O40" s="125">
        <f t="shared" si="7"/>
        <v>1820.1186</v>
      </c>
      <c r="P40" s="125">
        <f t="shared" si="7"/>
        <v>1820.1186</v>
      </c>
      <c r="Q40" s="125">
        <f t="shared" si="7"/>
        <v>1820.1186</v>
      </c>
      <c r="R40" s="125">
        <f t="shared" si="7"/>
        <v>1820.1186</v>
      </c>
      <c r="S40" s="125">
        <f t="shared" si="7"/>
        <v>1820.1186</v>
      </c>
      <c r="T40" s="125">
        <f t="shared" si="7"/>
        <v>1820.1186</v>
      </c>
      <c r="U40" s="125">
        <f t="shared" si="7"/>
        <v>1820.1186</v>
      </c>
      <c r="V40" s="125">
        <f t="shared" si="7"/>
        <v>1820.1186</v>
      </c>
      <c r="W40" s="125">
        <f t="shared" si="7"/>
        <v>1820.1186</v>
      </c>
      <c r="X40" s="125">
        <f>X38*X39</f>
        <v>1820.1186</v>
      </c>
      <c r="Y40" s="125">
        <f>Y38*Y39</f>
        <v>1820.1186</v>
      </c>
      <c r="Z40" s="125">
        <f>Z38*Z39</f>
        <v>1820.1186</v>
      </c>
      <c r="AA40" s="125">
        <f>AA38*AA39</f>
        <v>1820.1186</v>
      </c>
      <c r="AB40" s="125">
        <f>AB38*AB39</f>
        <v>1820.1186</v>
      </c>
    </row>
    <row r="41" spans="1:28" hidden="1">
      <c r="A41" s="152"/>
      <c r="D41" s="125"/>
      <c r="E41" s="125"/>
      <c r="F41" s="125"/>
      <c r="G41" s="125"/>
      <c r="H41" s="125"/>
      <c r="I41" s="125"/>
      <c r="J41" s="125"/>
      <c r="K41" s="125"/>
      <c r="L41" s="125"/>
      <c r="M41" s="125"/>
      <c r="N41" s="125"/>
      <c r="O41" s="125"/>
      <c r="P41" s="125"/>
      <c r="Q41" s="125"/>
      <c r="R41" s="125"/>
      <c r="S41" s="125"/>
      <c r="T41" s="125"/>
      <c r="U41" s="125"/>
      <c r="V41" s="125"/>
      <c r="W41" s="125"/>
      <c r="X41" s="125"/>
      <c r="Y41" s="125"/>
      <c r="Z41" s="125"/>
      <c r="AA41" s="125"/>
      <c r="AB41" s="125"/>
    </row>
    <row r="42" spans="1:28">
      <c r="A42" s="157" t="s">
        <v>48</v>
      </c>
      <c r="B42" s="153" t="s">
        <v>55</v>
      </c>
      <c r="C42" s="169"/>
      <c r="D42" s="170"/>
      <c r="E42" s="170"/>
      <c r="F42" s="170"/>
      <c r="G42" s="170"/>
      <c r="H42" s="170"/>
      <c r="I42" s="170"/>
      <c r="J42" s="170"/>
      <c r="K42" s="170"/>
      <c r="L42" s="170"/>
      <c r="M42" s="170"/>
      <c r="N42" s="170"/>
      <c r="O42" s="170"/>
      <c r="P42" s="170"/>
      <c r="Q42" s="170"/>
      <c r="R42" s="170"/>
      <c r="S42" s="170"/>
      <c r="T42" s="170"/>
      <c r="U42" s="170"/>
      <c r="V42" s="170"/>
      <c r="W42" s="170"/>
      <c r="X42" s="170"/>
      <c r="Y42" s="170"/>
      <c r="Z42" s="170"/>
      <c r="AA42" s="170"/>
      <c r="AB42" s="170"/>
    </row>
    <row r="43" spans="1:28">
      <c r="A43" s="152"/>
      <c r="B43" s="152" t="s">
        <v>56</v>
      </c>
      <c r="C43" s="152">
        <v>1.292</v>
      </c>
      <c r="D43" s="167"/>
      <c r="E43" s="167"/>
      <c r="F43" s="167"/>
      <c r="G43" s="167"/>
      <c r="H43" s="167"/>
      <c r="I43" s="167"/>
      <c r="J43" s="167"/>
      <c r="K43" s="167"/>
      <c r="L43" s="167"/>
      <c r="M43" s="167"/>
      <c r="N43" s="167"/>
      <c r="O43" s="167"/>
      <c r="P43" s="167"/>
      <c r="Q43" s="167"/>
      <c r="R43" s="167"/>
      <c r="S43" s="167"/>
      <c r="T43" s="167"/>
      <c r="U43" s="167"/>
      <c r="V43" s="167"/>
      <c r="W43" s="167"/>
      <c r="X43" s="167"/>
      <c r="Y43" s="167"/>
      <c r="Z43" s="167"/>
      <c r="AA43" s="167"/>
      <c r="AB43" s="167"/>
    </row>
    <row r="44" spans="1:28">
      <c r="A44" s="152"/>
      <c r="B44" s="152" t="s">
        <v>57</v>
      </c>
      <c r="C44" s="192">
        <v>20548.3</v>
      </c>
      <c r="D44" s="167"/>
      <c r="E44" s="167"/>
      <c r="F44" s="167"/>
      <c r="G44" s="167"/>
      <c r="H44" s="167"/>
      <c r="I44" s="167"/>
      <c r="J44" s="167"/>
      <c r="K44" s="167"/>
      <c r="L44" s="167"/>
      <c r="M44" s="167"/>
      <c r="N44" s="167"/>
      <c r="O44" s="167"/>
      <c r="P44" s="167"/>
      <c r="Q44" s="167"/>
      <c r="R44" s="167"/>
      <c r="S44" s="167"/>
      <c r="T44" s="167"/>
      <c r="U44" s="167"/>
      <c r="V44" s="167"/>
      <c r="W44" s="167"/>
      <c r="X44" s="167"/>
      <c r="Y44" s="167"/>
      <c r="Z44" s="167"/>
      <c r="AA44" s="167"/>
      <c r="AB44" s="167"/>
    </row>
    <row r="45" spans="1:28">
      <c r="A45" s="152"/>
      <c r="B45" s="152" t="s">
        <v>54</v>
      </c>
      <c r="C45" s="152"/>
      <c r="D45" s="177">
        <f>$C43*$C44</f>
        <v>26548.403600000001</v>
      </c>
      <c r="E45" s="177">
        <f t="shared" ref="E45:W45" si="8">$C43*$C44</f>
        <v>26548.403600000001</v>
      </c>
      <c r="F45" s="177">
        <f t="shared" si="8"/>
        <v>26548.403600000001</v>
      </c>
      <c r="G45" s="177">
        <f t="shared" si="8"/>
        <v>26548.403600000001</v>
      </c>
      <c r="H45" s="177">
        <f t="shared" si="8"/>
        <v>26548.403600000001</v>
      </c>
      <c r="I45" s="177">
        <f t="shared" si="8"/>
        <v>26548.403600000001</v>
      </c>
      <c r="J45" s="177">
        <f t="shared" si="8"/>
        <v>26548.403600000001</v>
      </c>
      <c r="K45" s="177">
        <f t="shared" si="8"/>
        <v>26548.403600000001</v>
      </c>
      <c r="L45" s="177">
        <f t="shared" si="8"/>
        <v>26548.403600000001</v>
      </c>
      <c r="M45" s="177">
        <f t="shared" si="8"/>
        <v>26548.403600000001</v>
      </c>
      <c r="N45" s="177">
        <f t="shared" si="8"/>
        <v>26548.403600000001</v>
      </c>
      <c r="O45" s="177">
        <f t="shared" si="8"/>
        <v>26548.403600000001</v>
      </c>
      <c r="P45" s="177">
        <f t="shared" si="8"/>
        <v>26548.403600000001</v>
      </c>
      <c r="Q45" s="177">
        <f t="shared" si="8"/>
        <v>26548.403600000001</v>
      </c>
      <c r="R45" s="177">
        <f t="shared" si="8"/>
        <v>26548.403600000001</v>
      </c>
      <c r="S45" s="177">
        <f t="shared" si="8"/>
        <v>26548.403600000001</v>
      </c>
      <c r="T45" s="177">
        <f t="shared" si="8"/>
        <v>26548.403600000001</v>
      </c>
      <c r="U45" s="177">
        <f t="shared" si="8"/>
        <v>26548.403600000001</v>
      </c>
      <c r="V45" s="177">
        <f t="shared" si="8"/>
        <v>26548.403600000001</v>
      </c>
      <c r="W45" s="177">
        <f t="shared" si="8"/>
        <v>26548.403600000001</v>
      </c>
      <c r="X45" s="177">
        <f>$C43*$C44</f>
        <v>26548.403600000001</v>
      </c>
      <c r="Y45" s="177">
        <f>$C43*$C44</f>
        <v>26548.403600000001</v>
      </c>
      <c r="Z45" s="177">
        <f>$C43*$C44</f>
        <v>26548.403600000001</v>
      </c>
      <c r="AA45" s="177">
        <f>$C43*$C44</f>
        <v>26548.403600000001</v>
      </c>
      <c r="AB45" s="177">
        <f>$C43*$C44</f>
        <v>26548.403600000001</v>
      </c>
    </row>
    <row r="46" spans="1:28">
      <c r="A46" s="152"/>
      <c r="B46" s="152"/>
      <c r="C46" s="152"/>
      <c r="D46" s="177"/>
      <c r="E46" s="177"/>
      <c r="F46" s="177"/>
      <c r="G46" s="177"/>
      <c r="H46" s="177"/>
      <c r="I46" s="177"/>
      <c r="J46" s="177"/>
      <c r="K46" s="177"/>
      <c r="L46" s="177"/>
      <c r="M46" s="177"/>
      <c r="N46" s="177"/>
      <c r="O46" s="177"/>
      <c r="P46" s="177"/>
      <c r="Q46" s="177"/>
      <c r="R46" s="177"/>
      <c r="S46" s="177"/>
      <c r="T46" s="177"/>
      <c r="U46" s="177"/>
      <c r="V46" s="177"/>
      <c r="W46" s="177"/>
      <c r="X46" s="177"/>
      <c r="Y46" s="177"/>
      <c r="Z46" s="177"/>
      <c r="AA46" s="177"/>
      <c r="AB46" s="177"/>
    </row>
    <row r="47" spans="1:28">
      <c r="A47" s="152"/>
      <c r="B47" s="152"/>
      <c r="C47" s="152"/>
      <c r="D47" s="177"/>
      <c r="E47" s="177"/>
      <c r="F47" s="177"/>
      <c r="G47" s="177"/>
      <c r="H47" s="177"/>
      <c r="I47" s="177"/>
      <c r="J47" s="177"/>
      <c r="K47" s="177"/>
      <c r="L47" s="177"/>
      <c r="M47" s="177"/>
      <c r="N47" s="177"/>
      <c r="O47" s="177"/>
      <c r="P47" s="177"/>
      <c r="Q47" s="177"/>
      <c r="R47" s="177"/>
      <c r="S47" s="177"/>
      <c r="T47" s="177"/>
      <c r="U47" s="177"/>
      <c r="V47" s="177"/>
      <c r="W47" s="177"/>
      <c r="X47" s="177"/>
      <c r="Y47" s="177"/>
      <c r="Z47" s="177"/>
      <c r="AA47" s="177"/>
      <c r="AB47" s="177"/>
    </row>
    <row r="48" spans="1:28" ht="29.1">
      <c r="A48" s="173" t="s">
        <v>72</v>
      </c>
      <c r="B48" s="178"/>
      <c r="C48" s="178" t="s">
        <v>74</v>
      </c>
      <c r="D48" s="178"/>
      <c r="E48" s="178"/>
      <c r="F48" s="178"/>
      <c r="G48" s="178" t="s">
        <v>12</v>
      </c>
      <c r="H48" s="177"/>
      <c r="I48" s="177"/>
      <c r="J48" s="177"/>
      <c r="K48" s="177"/>
      <c r="L48" s="177"/>
      <c r="M48" s="177"/>
      <c r="N48" s="177"/>
      <c r="O48" s="177"/>
      <c r="P48" s="177"/>
      <c r="Q48" s="177"/>
      <c r="R48" s="177"/>
      <c r="S48" s="177"/>
      <c r="T48" s="177"/>
      <c r="U48" s="177"/>
      <c r="V48" s="177"/>
      <c r="W48" s="177"/>
      <c r="X48" s="177"/>
      <c r="Y48" s="177"/>
      <c r="Z48" s="177"/>
      <c r="AA48" s="177"/>
      <c r="AB48" s="177"/>
    </row>
    <row r="49" spans="1:28">
      <c r="A49" s="152"/>
      <c r="B49" s="179"/>
      <c r="C49" s="179" t="s">
        <v>600</v>
      </c>
      <c r="D49" s="179" t="s">
        <v>601</v>
      </c>
      <c r="E49" s="179" t="s">
        <v>602</v>
      </c>
      <c r="F49" s="179" t="s">
        <v>603</v>
      </c>
      <c r="G49" s="179"/>
      <c r="H49" s="177"/>
      <c r="I49" s="177"/>
      <c r="J49" s="177"/>
      <c r="K49" s="177"/>
      <c r="L49" s="177"/>
      <c r="M49" s="177"/>
      <c r="N49" s="177"/>
      <c r="O49" s="177"/>
      <c r="P49" s="177"/>
      <c r="Q49" s="177"/>
      <c r="R49" s="177"/>
      <c r="S49" s="177"/>
      <c r="T49" s="177"/>
      <c r="U49" s="177"/>
      <c r="V49" s="177"/>
      <c r="W49" s="177"/>
      <c r="X49" s="177"/>
      <c r="Y49" s="177"/>
      <c r="Z49" s="177"/>
      <c r="AA49" s="177"/>
      <c r="AB49" s="177"/>
    </row>
    <row r="50" spans="1:28">
      <c r="A50" s="152"/>
      <c r="B50" s="179" t="s">
        <v>604</v>
      </c>
      <c r="C50" s="180">
        <v>0</v>
      </c>
      <c r="D50" s="180">
        <v>0</v>
      </c>
      <c r="E50" s="180">
        <v>30000</v>
      </c>
      <c r="F50" s="180">
        <v>1000</v>
      </c>
      <c r="G50" s="180">
        <f>SUM(C50:F50)</f>
        <v>31000</v>
      </c>
      <c r="H50" s="177"/>
      <c r="I50" s="177"/>
      <c r="J50" s="177"/>
      <c r="K50" s="177"/>
      <c r="L50" s="177"/>
      <c r="M50" s="177"/>
      <c r="N50" s="177"/>
      <c r="O50" s="177"/>
      <c r="P50" s="177"/>
      <c r="Q50" s="177"/>
      <c r="R50" s="177"/>
      <c r="S50" s="177"/>
      <c r="T50" s="177"/>
      <c r="U50" s="177"/>
      <c r="V50" s="177"/>
      <c r="W50" s="177"/>
      <c r="X50" s="177"/>
      <c r="Y50" s="177"/>
      <c r="Z50" s="177"/>
      <c r="AA50" s="177"/>
      <c r="AB50" s="177"/>
    </row>
    <row r="51" spans="1:28">
      <c r="A51" s="152"/>
      <c r="B51" s="179" t="s">
        <v>605</v>
      </c>
      <c r="C51" s="180">
        <v>625</v>
      </c>
      <c r="D51" s="180">
        <v>666</v>
      </c>
      <c r="E51" s="180">
        <v>1000</v>
      </c>
      <c r="F51" s="180">
        <v>1100</v>
      </c>
      <c r="G51" s="180"/>
      <c r="H51" s="177"/>
      <c r="I51" s="177"/>
      <c r="J51" s="177"/>
      <c r="K51" s="177"/>
      <c r="L51" s="177"/>
      <c r="M51" s="177"/>
      <c r="N51" s="177"/>
      <c r="O51" s="177"/>
      <c r="P51" s="177"/>
      <c r="Q51" s="177"/>
      <c r="R51" s="177"/>
      <c r="S51" s="177"/>
      <c r="T51" s="177"/>
      <c r="U51" s="177"/>
      <c r="V51" s="177"/>
      <c r="W51" s="177"/>
      <c r="X51" s="177"/>
      <c r="Y51" s="177"/>
      <c r="Z51" s="177"/>
      <c r="AA51" s="177"/>
      <c r="AB51" s="177"/>
    </row>
    <row r="52" spans="1:28">
      <c r="A52" s="152"/>
      <c r="B52" s="179" t="s">
        <v>606</v>
      </c>
      <c r="C52" s="180">
        <f>C50*C51</f>
        <v>0</v>
      </c>
      <c r="D52" s="180">
        <f>D50*D51</f>
        <v>0</v>
      </c>
      <c r="E52" s="180">
        <f>E50*E51</f>
        <v>30000000</v>
      </c>
      <c r="F52" s="180">
        <f>F50*F51</f>
        <v>1100000</v>
      </c>
      <c r="G52" s="180">
        <f>SUM(C52:F52)</f>
        <v>31100000</v>
      </c>
      <c r="H52" s="177"/>
      <c r="I52" s="177"/>
      <c r="J52" s="177"/>
      <c r="K52" s="177"/>
      <c r="L52" s="177"/>
      <c r="M52" s="177"/>
      <c r="N52" s="177"/>
      <c r="O52" s="177"/>
      <c r="P52" s="177"/>
      <c r="Q52" s="177"/>
      <c r="R52" s="177"/>
      <c r="S52" s="177"/>
      <c r="T52" s="177"/>
      <c r="U52" s="177"/>
      <c r="V52" s="177"/>
      <c r="W52" s="177"/>
      <c r="X52" s="177"/>
      <c r="Y52" s="177"/>
      <c r="Z52" s="177"/>
      <c r="AA52" s="177"/>
      <c r="AB52" s="177"/>
    </row>
    <row r="53" spans="1:28">
      <c r="A53" s="152"/>
      <c r="B53" s="181" t="s">
        <v>607</v>
      </c>
      <c r="C53" s="181">
        <v>2.8</v>
      </c>
      <c r="D53" s="181">
        <v>2.8</v>
      </c>
      <c r="E53" s="181">
        <v>3.9</v>
      </c>
      <c r="F53" s="181">
        <v>11.3</v>
      </c>
      <c r="G53" s="181"/>
      <c r="H53" s="177"/>
      <c r="I53" s="177"/>
      <c r="J53" s="177"/>
      <c r="K53" s="177"/>
      <c r="L53" s="177"/>
      <c r="M53" s="177"/>
      <c r="N53" s="177"/>
      <c r="O53" s="177"/>
      <c r="P53" s="177"/>
      <c r="Q53" s="177"/>
      <c r="R53" s="177"/>
      <c r="S53" s="177"/>
      <c r="T53" s="177"/>
      <c r="U53" s="177"/>
      <c r="V53" s="177"/>
      <c r="W53" s="177"/>
      <c r="X53" s="177"/>
      <c r="Y53" s="177"/>
      <c r="Z53" s="177"/>
      <c r="AA53" s="177"/>
      <c r="AB53" s="177"/>
    </row>
    <row r="54" spans="1:28">
      <c r="A54" s="152"/>
      <c r="B54" s="182" t="s">
        <v>608</v>
      </c>
      <c r="C54" s="183">
        <f>C50*C53</f>
        <v>0</v>
      </c>
      <c r="D54" s="183">
        <f>D50*D53</f>
        <v>0</v>
      </c>
      <c r="E54" s="183">
        <f>E50*E53</f>
        <v>117000</v>
      </c>
      <c r="F54" s="183">
        <f>F50*F53</f>
        <v>11300</v>
      </c>
      <c r="G54" s="183">
        <f>SUM(C54:F54)</f>
        <v>128300</v>
      </c>
      <c r="H54" s="177"/>
      <c r="I54" s="177"/>
      <c r="J54" s="177"/>
      <c r="K54" s="177"/>
      <c r="L54" s="177"/>
      <c r="M54" s="177"/>
      <c r="N54" s="177"/>
      <c r="O54" s="177"/>
      <c r="P54" s="177"/>
      <c r="Q54" s="177"/>
      <c r="R54" s="177"/>
      <c r="S54" s="177"/>
      <c r="T54" s="177"/>
      <c r="U54" s="177"/>
      <c r="V54" s="177"/>
      <c r="W54" s="177"/>
      <c r="X54" s="177"/>
      <c r="Y54" s="177"/>
      <c r="Z54" s="177"/>
      <c r="AA54" s="177"/>
      <c r="AB54" s="177"/>
    </row>
    <row r="55" spans="1:28">
      <c r="A55" s="152"/>
      <c r="B55" s="152"/>
      <c r="C55" s="152"/>
      <c r="D55" s="177"/>
      <c r="E55" s="177"/>
      <c r="F55" s="177"/>
      <c r="G55" s="177"/>
      <c r="H55" s="177"/>
      <c r="I55" s="177"/>
      <c r="J55" s="177"/>
      <c r="K55" s="177"/>
      <c r="L55" s="177"/>
      <c r="M55" s="177"/>
      <c r="N55" s="177"/>
      <c r="O55" s="177"/>
      <c r="P55" s="177"/>
      <c r="Q55" s="177"/>
      <c r="R55" s="177"/>
      <c r="S55" s="177"/>
      <c r="T55" s="177"/>
      <c r="U55" s="177"/>
      <c r="V55" s="177"/>
      <c r="W55" s="177"/>
      <c r="X55" s="177"/>
      <c r="Y55" s="177"/>
      <c r="Z55" s="177"/>
      <c r="AA55" s="177"/>
      <c r="AB55" s="177"/>
    </row>
    <row r="56" spans="1:28" s="150" customFormat="1">
      <c r="A56" s="841"/>
      <c r="B56" s="200" t="s">
        <v>78</v>
      </c>
      <c r="C56" s="841"/>
      <c r="D56" s="201">
        <v>0</v>
      </c>
      <c r="E56" s="863">
        <v>0</v>
      </c>
      <c r="F56" s="863">
        <v>0</v>
      </c>
      <c r="G56" s="863">
        <v>0</v>
      </c>
      <c r="H56" s="863">
        <v>0</v>
      </c>
      <c r="I56" s="863">
        <f>G54</f>
        <v>128300</v>
      </c>
      <c r="J56" s="863">
        <f>I56</f>
        <v>128300</v>
      </c>
      <c r="K56" s="863">
        <f t="shared" ref="K56:AB56" si="9">J56</f>
        <v>128300</v>
      </c>
      <c r="L56" s="863">
        <f t="shared" si="9"/>
        <v>128300</v>
      </c>
      <c r="M56" s="863">
        <f t="shared" si="9"/>
        <v>128300</v>
      </c>
      <c r="N56" s="863">
        <f t="shared" si="9"/>
        <v>128300</v>
      </c>
      <c r="O56" s="863">
        <f t="shared" si="9"/>
        <v>128300</v>
      </c>
      <c r="P56" s="863">
        <f t="shared" si="9"/>
        <v>128300</v>
      </c>
      <c r="Q56" s="863">
        <f t="shared" si="9"/>
        <v>128300</v>
      </c>
      <c r="R56" s="863">
        <f t="shared" si="9"/>
        <v>128300</v>
      </c>
      <c r="S56" s="863">
        <f t="shared" si="9"/>
        <v>128300</v>
      </c>
      <c r="T56" s="863">
        <f t="shared" si="9"/>
        <v>128300</v>
      </c>
      <c r="U56" s="863">
        <f t="shared" si="9"/>
        <v>128300</v>
      </c>
      <c r="V56" s="863">
        <f t="shared" si="9"/>
        <v>128300</v>
      </c>
      <c r="W56" s="863">
        <f t="shared" si="9"/>
        <v>128300</v>
      </c>
      <c r="X56" s="863">
        <f t="shared" si="9"/>
        <v>128300</v>
      </c>
      <c r="Y56" s="863">
        <f t="shared" si="9"/>
        <v>128300</v>
      </c>
      <c r="Z56" s="863">
        <f t="shared" si="9"/>
        <v>128300</v>
      </c>
      <c r="AA56" s="863">
        <f t="shared" si="9"/>
        <v>128300</v>
      </c>
      <c r="AB56" s="863">
        <f t="shared" si="9"/>
        <v>128300</v>
      </c>
    </row>
    <row r="57" spans="1:28">
      <c r="A57" s="152"/>
      <c r="B57" s="188"/>
      <c r="C57" s="152"/>
      <c r="D57" s="202"/>
      <c r="E57" s="171"/>
      <c r="F57" s="171"/>
      <c r="G57" s="171"/>
      <c r="H57" s="171"/>
      <c r="I57" s="171"/>
      <c r="J57" s="171"/>
      <c r="K57" s="171"/>
      <c r="L57" s="171"/>
      <c r="M57" s="171"/>
      <c r="N57" s="171"/>
      <c r="O57" s="171"/>
      <c r="P57" s="171"/>
      <c r="Q57" s="171"/>
      <c r="R57" s="171"/>
      <c r="S57" s="171"/>
      <c r="T57" s="171"/>
      <c r="U57" s="171"/>
      <c r="V57" s="171"/>
      <c r="W57" s="171"/>
      <c r="X57" s="171"/>
      <c r="Y57" s="171"/>
      <c r="Z57" s="171"/>
      <c r="AA57" s="171"/>
      <c r="AB57" s="171"/>
    </row>
    <row r="58" spans="1:28">
      <c r="A58" s="152"/>
      <c r="B58" s="200" t="s">
        <v>80</v>
      </c>
      <c r="C58" s="152">
        <f>-'Roads construction and rehab'!D11</f>
        <v>0</v>
      </c>
      <c r="D58" s="202"/>
      <c r="E58" s="171"/>
      <c r="F58" s="171"/>
      <c r="G58" s="171"/>
      <c r="H58" s="863"/>
      <c r="I58" s="171"/>
      <c r="J58" s="171"/>
      <c r="K58" s="171"/>
      <c r="L58" s="171"/>
      <c r="M58" s="171"/>
      <c r="N58" s="171"/>
      <c r="O58" s="171"/>
      <c r="P58" s="171"/>
      <c r="Q58" s="171"/>
      <c r="R58" s="171"/>
      <c r="S58" s="171"/>
      <c r="T58" s="171"/>
      <c r="U58" s="171"/>
      <c r="V58" s="171"/>
      <c r="W58" s="171"/>
      <c r="X58" s="171"/>
      <c r="Y58" s="171"/>
      <c r="Z58" s="171"/>
      <c r="AA58" s="171"/>
      <c r="AB58" s="171"/>
    </row>
    <row r="59" spans="1:28">
      <c r="A59" s="152"/>
      <c r="B59" s="188"/>
      <c r="C59" s="152"/>
      <c r="D59" s="202"/>
      <c r="E59" s="171"/>
      <c r="F59" s="171"/>
      <c r="G59" s="171"/>
      <c r="H59" s="171"/>
      <c r="I59" s="171"/>
      <c r="J59" s="171"/>
      <c r="K59" s="171"/>
      <c r="L59" s="171"/>
      <c r="M59" s="171"/>
      <c r="N59" s="171"/>
      <c r="O59" s="171"/>
      <c r="P59" s="171"/>
      <c r="Q59" s="171"/>
      <c r="R59" s="171"/>
      <c r="S59" s="171"/>
      <c r="T59" s="171"/>
      <c r="U59" s="171"/>
      <c r="V59" s="171"/>
      <c r="W59" s="171"/>
      <c r="X59" s="171"/>
      <c r="Y59" s="171"/>
      <c r="Z59" s="171"/>
      <c r="AA59" s="171"/>
      <c r="AB59" s="171"/>
    </row>
    <row r="60" spans="1:28">
      <c r="A60" s="152"/>
      <c r="B60" s="149" t="s">
        <v>61</v>
      </c>
      <c r="D60" s="133">
        <f t="shared" ref="D60:AB60" si="10">+D56+D45+D32+D31+D30+D29</f>
        <v>213010.94043720036</v>
      </c>
      <c r="E60" s="133">
        <f t="shared" si="10"/>
        <v>213010.94043720036</v>
      </c>
      <c r="F60" s="133">
        <f t="shared" si="10"/>
        <v>213010.94043720036</v>
      </c>
      <c r="G60" s="133">
        <f t="shared" si="10"/>
        <v>213010.94043720036</v>
      </c>
      <c r="H60" s="133">
        <f t="shared" si="10"/>
        <v>213010.94043720036</v>
      </c>
      <c r="I60" s="133">
        <f t="shared" si="10"/>
        <v>341310.94043720036</v>
      </c>
      <c r="J60" s="133">
        <f t="shared" si="10"/>
        <v>341310.94043720036</v>
      </c>
      <c r="K60" s="133">
        <f t="shared" si="10"/>
        <v>341310.94043720036</v>
      </c>
      <c r="L60" s="133">
        <f t="shared" si="10"/>
        <v>341310.94043720036</v>
      </c>
      <c r="M60" s="133">
        <f t="shared" si="10"/>
        <v>341310.94043720036</v>
      </c>
      <c r="N60" s="133">
        <f t="shared" si="10"/>
        <v>341310.94043720036</v>
      </c>
      <c r="O60" s="133">
        <f t="shared" si="10"/>
        <v>341310.94043720036</v>
      </c>
      <c r="P60" s="133">
        <f t="shared" si="10"/>
        <v>341310.94043720036</v>
      </c>
      <c r="Q60" s="133">
        <f t="shared" si="10"/>
        <v>341310.94043720036</v>
      </c>
      <c r="R60" s="133">
        <f t="shared" si="10"/>
        <v>341310.94043720036</v>
      </c>
      <c r="S60" s="133">
        <f t="shared" si="10"/>
        <v>341310.94043720036</v>
      </c>
      <c r="T60" s="133">
        <f t="shared" si="10"/>
        <v>341310.94043720036</v>
      </c>
      <c r="U60" s="133">
        <f t="shared" si="10"/>
        <v>341310.94043720036</v>
      </c>
      <c r="V60" s="133">
        <f t="shared" si="10"/>
        <v>341310.94043720036</v>
      </c>
      <c r="W60" s="133">
        <f t="shared" si="10"/>
        <v>341310.94043720036</v>
      </c>
      <c r="X60" s="133">
        <f t="shared" si="10"/>
        <v>341310.94043720036</v>
      </c>
      <c r="Y60" s="133">
        <f t="shared" si="10"/>
        <v>341310.94043720036</v>
      </c>
      <c r="Z60" s="133">
        <f t="shared" si="10"/>
        <v>341310.94043720036</v>
      </c>
      <c r="AA60" s="133">
        <f t="shared" si="10"/>
        <v>341310.94043720036</v>
      </c>
      <c r="AB60" s="133">
        <f t="shared" si="10"/>
        <v>341310.94043720036</v>
      </c>
    </row>
    <row r="61" spans="1:28">
      <c r="A61" s="152"/>
      <c r="B61" s="149"/>
      <c r="D61" s="128"/>
      <c r="E61" s="128"/>
      <c r="F61" s="128"/>
      <c r="G61" s="128"/>
      <c r="H61" s="128"/>
      <c r="I61" s="128"/>
      <c r="J61" s="128"/>
      <c r="K61" s="128"/>
      <c r="L61" s="128"/>
      <c r="M61" s="128"/>
      <c r="N61" s="128"/>
      <c r="O61" s="128"/>
      <c r="P61" s="128"/>
      <c r="Q61" s="128"/>
      <c r="R61" s="128"/>
      <c r="S61" s="128"/>
      <c r="T61" s="128"/>
      <c r="U61" s="128"/>
      <c r="V61" s="128"/>
      <c r="W61" s="128"/>
    </row>
    <row r="62" spans="1:28">
      <c r="A62" s="152"/>
      <c r="B62" s="149" t="s">
        <v>81</v>
      </c>
      <c r="C62" s="146">
        <f>SUM(D60:M60)+C58</f>
        <v>2771609.4043720043</v>
      </c>
    </row>
    <row r="63" spans="1:28">
      <c r="A63" s="152"/>
      <c r="B63" s="149" t="s">
        <v>82</v>
      </c>
      <c r="C63" s="146">
        <f>SUM(D60:AB60)+C58</f>
        <v>7891273.510930011</v>
      </c>
    </row>
    <row r="64" spans="1:28" ht="15" thickBot="1">
      <c r="A64" s="152"/>
      <c r="C64" s="134"/>
    </row>
    <row r="65" spans="1:5" ht="14.1" customHeight="1" thickTop="1" thickBot="1">
      <c r="A65" s="152"/>
      <c r="B65" s="135"/>
      <c r="C65" s="135"/>
      <c r="E65" s="136"/>
    </row>
    <row r="66" spans="1:5" ht="14.1" customHeight="1" thickTop="1" thickBot="1">
      <c r="A66" s="152"/>
      <c r="B66" s="135" t="s">
        <v>62</v>
      </c>
      <c r="C66" s="137">
        <v>157177768.43917948</v>
      </c>
    </row>
    <row r="67" spans="1:5" ht="14.1" customHeight="1" thickTop="1" thickBot="1">
      <c r="A67" s="152"/>
      <c r="B67" s="135" t="s">
        <v>63</v>
      </c>
      <c r="C67" s="137">
        <v>71227089.625179484</v>
      </c>
    </row>
    <row r="68" spans="1:5" ht="14.1" customHeight="1" thickTop="1" thickBot="1">
      <c r="A68" s="152"/>
      <c r="B68" s="135" t="s">
        <v>64</v>
      </c>
      <c r="C68" s="137">
        <f>+C66/C63</f>
        <v>19.917921767820665</v>
      </c>
    </row>
    <row r="69" spans="1:5" ht="14.1" customHeight="1" thickTop="1" thickBot="1">
      <c r="A69" s="152"/>
      <c r="B69" s="135" t="s">
        <v>65</v>
      </c>
      <c r="C69" s="137">
        <f>C67/C63</f>
        <v>9.0260576479226806</v>
      </c>
    </row>
    <row r="70" spans="1:5" ht="15" thickTop="1">
      <c r="A70" s="152"/>
    </row>
  </sheetData>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058C92-0AFA-4A25-A94A-DB1830267217}">
  <sheetPr>
    <tabColor rgb="FF00B050"/>
  </sheetPr>
  <dimension ref="A1:AM172"/>
  <sheetViews>
    <sheetView showGridLines="0" topLeftCell="A76" zoomScaleNormal="100" workbookViewId="0">
      <selection activeCell="D78" sqref="D78"/>
    </sheetView>
  </sheetViews>
  <sheetFormatPr defaultColWidth="8.85546875" defaultRowHeight="12.6"/>
  <cols>
    <col min="1" max="1" width="7.28515625" style="474" customWidth="1"/>
    <col min="2" max="2" width="41" style="474" customWidth="1"/>
    <col min="3" max="3" width="23" style="474" customWidth="1"/>
    <col min="4" max="4" width="29.140625" style="474" customWidth="1"/>
    <col min="5" max="5" width="30.5703125" style="474" customWidth="1"/>
    <col min="6" max="6" width="22" style="474" customWidth="1"/>
    <col min="7" max="7" width="17.42578125" style="474" customWidth="1"/>
    <col min="8" max="8" width="19.85546875" style="474" customWidth="1"/>
    <col min="9" max="9" width="19.140625" style="474" customWidth="1"/>
    <col min="10" max="10" width="20.5703125" style="474" customWidth="1"/>
    <col min="11" max="11" width="19.7109375" style="474" customWidth="1"/>
    <col min="12" max="12" width="14.5703125" style="474" bestFit="1" customWidth="1"/>
    <col min="13" max="13" width="14.85546875" style="474" bestFit="1" customWidth="1"/>
    <col min="14" max="14" width="17.140625" style="474" customWidth="1"/>
    <col min="15" max="15" width="16.42578125" style="474" bestFit="1" customWidth="1"/>
    <col min="16" max="16" width="17.140625" style="474" bestFit="1" customWidth="1"/>
    <col min="17" max="17" width="24.28515625" style="474" customWidth="1"/>
    <col min="18" max="18" width="18.28515625" style="475" bestFit="1" customWidth="1"/>
    <col min="19" max="19" width="18.5703125" style="474" bestFit="1" customWidth="1"/>
    <col min="20" max="20" width="19.28515625" style="474" bestFit="1" customWidth="1"/>
    <col min="21" max="21" width="20.42578125" style="474" bestFit="1" customWidth="1"/>
    <col min="22" max="22" width="20.85546875" style="474" bestFit="1" customWidth="1"/>
    <col min="23" max="23" width="21.42578125" style="474" bestFit="1" customWidth="1"/>
    <col min="24" max="25" width="22.28515625" style="474" bestFit="1" customWidth="1"/>
    <col min="26" max="27" width="23.85546875" style="474" bestFit="1" customWidth="1"/>
    <col min="28" max="29" width="24.85546875" style="474" bestFit="1" customWidth="1"/>
    <col min="30" max="34" width="11.28515625" style="474" bestFit="1" customWidth="1"/>
    <col min="35" max="39" width="12.28515625" style="474" bestFit="1" customWidth="1"/>
    <col min="40" max="40" width="12" style="474" bestFit="1" customWidth="1"/>
    <col min="41" max="256" width="8.85546875" style="474"/>
    <col min="257" max="257" width="7.28515625" style="474" customWidth="1"/>
    <col min="258" max="258" width="41" style="474" customWidth="1"/>
    <col min="259" max="259" width="16" style="474" customWidth="1"/>
    <col min="260" max="260" width="16.140625" style="474" bestFit="1" customWidth="1"/>
    <col min="261" max="261" width="11.85546875" style="474" customWidth="1"/>
    <col min="262" max="262" width="12.42578125" style="474" bestFit="1" customWidth="1"/>
    <col min="263" max="264" width="13" style="474" bestFit="1" customWidth="1"/>
    <col min="265" max="265" width="12.7109375" style="474" bestFit="1" customWidth="1"/>
    <col min="266" max="266" width="13.42578125" style="474" bestFit="1" customWidth="1"/>
    <col min="267" max="267" width="13.7109375" style="474" bestFit="1" customWidth="1"/>
    <col min="268" max="268" width="14.5703125" style="474" bestFit="1" customWidth="1"/>
    <col min="269" max="269" width="14.85546875" style="474" bestFit="1" customWidth="1"/>
    <col min="270" max="270" width="17.140625" style="474" customWidth="1"/>
    <col min="271" max="271" width="16.42578125" style="474" bestFit="1" customWidth="1"/>
    <col min="272" max="272" width="17.140625" style="474" bestFit="1" customWidth="1"/>
    <col min="273" max="273" width="24.28515625" style="474" customWidth="1"/>
    <col min="274" max="274" width="18.28515625" style="474" bestFit="1" customWidth="1"/>
    <col min="275" max="275" width="18.5703125" style="474" bestFit="1" customWidth="1"/>
    <col min="276" max="276" width="19.28515625" style="474" bestFit="1" customWidth="1"/>
    <col min="277" max="277" width="20.42578125" style="474" bestFit="1" customWidth="1"/>
    <col min="278" max="278" width="20.85546875" style="474" bestFit="1" customWidth="1"/>
    <col min="279" max="279" width="21.42578125" style="474" bestFit="1" customWidth="1"/>
    <col min="280" max="281" width="22.28515625" style="474" bestFit="1" customWidth="1"/>
    <col min="282" max="283" width="23.85546875" style="474" bestFit="1" customWidth="1"/>
    <col min="284" max="285" width="24.85546875" style="474" bestFit="1" customWidth="1"/>
    <col min="286" max="290" width="11.28515625" style="474" bestFit="1" customWidth="1"/>
    <col min="291" max="295" width="12.28515625" style="474" bestFit="1" customWidth="1"/>
    <col min="296" max="296" width="12" style="474" bestFit="1" customWidth="1"/>
    <col min="297" max="512" width="8.85546875" style="474"/>
    <col min="513" max="513" width="7.28515625" style="474" customWidth="1"/>
    <col min="514" max="514" width="41" style="474" customWidth="1"/>
    <col min="515" max="515" width="16" style="474" customWidth="1"/>
    <col min="516" max="516" width="16.140625" style="474" bestFit="1" customWidth="1"/>
    <col min="517" max="517" width="11.85546875" style="474" customWidth="1"/>
    <col min="518" max="518" width="12.42578125" style="474" bestFit="1" customWidth="1"/>
    <col min="519" max="520" width="13" style="474" bestFit="1" customWidth="1"/>
    <col min="521" max="521" width="12.7109375" style="474" bestFit="1" customWidth="1"/>
    <col min="522" max="522" width="13.42578125" style="474" bestFit="1" customWidth="1"/>
    <col min="523" max="523" width="13.7109375" style="474" bestFit="1" customWidth="1"/>
    <col min="524" max="524" width="14.5703125" style="474" bestFit="1" customWidth="1"/>
    <col min="525" max="525" width="14.85546875" style="474" bestFit="1" customWidth="1"/>
    <col min="526" max="526" width="17.140625" style="474" customWidth="1"/>
    <col min="527" max="527" width="16.42578125" style="474" bestFit="1" customWidth="1"/>
    <col min="528" max="528" width="17.140625" style="474" bestFit="1" customWidth="1"/>
    <col min="529" max="529" width="24.28515625" style="474" customWidth="1"/>
    <col min="530" max="530" width="18.28515625" style="474" bestFit="1" customWidth="1"/>
    <col min="531" max="531" width="18.5703125" style="474" bestFit="1" customWidth="1"/>
    <col min="532" max="532" width="19.28515625" style="474" bestFit="1" customWidth="1"/>
    <col min="533" max="533" width="20.42578125" style="474" bestFit="1" customWidth="1"/>
    <col min="534" max="534" width="20.85546875" style="474" bestFit="1" customWidth="1"/>
    <col min="535" max="535" width="21.42578125" style="474" bestFit="1" customWidth="1"/>
    <col min="536" max="537" width="22.28515625" style="474" bestFit="1" customWidth="1"/>
    <col min="538" max="539" width="23.85546875" style="474" bestFit="1" customWidth="1"/>
    <col min="540" max="541" width="24.85546875" style="474" bestFit="1" customWidth="1"/>
    <col min="542" max="546" width="11.28515625" style="474" bestFit="1" customWidth="1"/>
    <col min="547" max="551" width="12.28515625" style="474" bestFit="1" customWidth="1"/>
    <col min="552" max="552" width="12" style="474" bestFit="1" customWidth="1"/>
    <col min="553" max="768" width="8.85546875" style="474"/>
    <col min="769" max="769" width="7.28515625" style="474" customWidth="1"/>
    <col min="770" max="770" width="41" style="474" customWidth="1"/>
    <col min="771" max="771" width="16" style="474" customWidth="1"/>
    <col min="772" max="772" width="16.140625" style="474" bestFit="1" customWidth="1"/>
    <col min="773" max="773" width="11.85546875" style="474" customWidth="1"/>
    <col min="774" max="774" width="12.42578125" style="474" bestFit="1" customWidth="1"/>
    <col min="775" max="776" width="13" style="474" bestFit="1" customWidth="1"/>
    <col min="777" max="777" width="12.7109375" style="474" bestFit="1" customWidth="1"/>
    <col min="778" max="778" width="13.42578125" style="474" bestFit="1" customWidth="1"/>
    <col min="779" max="779" width="13.7109375" style="474" bestFit="1" customWidth="1"/>
    <col min="780" max="780" width="14.5703125" style="474" bestFit="1" customWidth="1"/>
    <col min="781" max="781" width="14.85546875" style="474" bestFit="1" customWidth="1"/>
    <col min="782" max="782" width="17.140625" style="474" customWidth="1"/>
    <col min="783" max="783" width="16.42578125" style="474" bestFit="1" customWidth="1"/>
    <col min="784" max="784" width="17.140625" style="474" bestFit="1" customWidth="1"/>
    <col min="785" max="785" width="24.28515625" style="474" customWidth="1"/>
    <col min="786" max="786" width="18.28515625" style="474" bestFit="1" customWidth="1"/>
    <col min="787" max="787" width="18.5703125" style="474" bestFit="1" customWidth="1"/>
    <col min="788" max="788" width="19.28515625" style="474" bestFit="1" customWidth="1"/>
    <col min="789" max="789" width="20.42578125" style="474" bestFit="1" customWidth="1"/>
    <col min="790" max="790" width="20.85546875" style="474" bestFit="1" customWidth="1"/>
    <col min="791" max="791" width="21.42578125" style="474" bestFit="1" customWidth="1"/>
    <col min="792" max="793" width="22.28515625" style="474" bestFit="1" customWidth="1"/>
    <col min="794" max="795" width="23.85546875" style="474" bestFit="1" customWidth="1"/>
    <col min="796" max="797" width="24.85546875" style="474" bestFit="1" customWidth="1"/>
    <col min="798" max="802" width="11.28515625" style="474" bestFit="1" customWidth="1"/>
    <col min="803" max="807" width="12.28515625" style="474" bestFit="1" customWidth="1"/>
    <col min="808" max="808" width="12" style="474" bestFit="1" customWidth="1"/>
    <col min="809" max="1024" width="8.85546875" style="474"/>
    <col min="1025" max="1025" width="7.28515625" style="474" customWidth="1"/>
    <col min="1026" max="1026" width="41" style="474" customWidth="1"/>
    <col min="1027" max="1027" width="16" style="474" customWidth="1"/>
    <col min="1028" max="1028" width="16.140625" style="474" bestFit="1" customWidth="1"/>
    <col min="1029" max="1029" width="11.85546875" style="474" customWidth="1"/>
    <col min="1030" max="1030" width="12.42578125" style="474" bestFit="1" customWidth="1"/>
    <col min="1031" max="1032" width="13" style="474" bestFit="1" customWidth="1"/>
    <col min="1033" max="1033" width="12.7109375" style="474" bestFit="1" customWidth="1"/>
    <col min="1034" max="1034" width="13.42578125" style="474" bestFit="1" customWidth="1"/>
    <col min="1035" max="1035" width="13.7109375" style="474" bestFit="1" customWidth="1"/>
    <col min="1036" max="1036" width="14.5703125" style="474" bestFit="1" customWidth="1"/>
    <col min="1037" max="1037" width="14.85546875" style="474" bestFit="1" customWidth="1"/>
    <col min="1038" max="1038" width="17.140625" style="474" customWidth="1"/>
    <col min="1039" max="1039" width="16.42578125" style="474" bestFit="1" customWidth="1"/>
    <col min="1040" max="1040" width="17.140625" style="474" bestFit="1" customWidth="1"/>
    <col min="1041" max="1041" width="24.28515625" style="474" customWidth="1"/>
    <col min="1042" max="1042" width="18.28515625" style="474" bestFit="1" customWidth="1"/>
    <col min="1043" max="1043" width="18.5703125" style="474" bestFit="1" customWidth="1"/>
    <col min="1044" max="1044" width="19.28515625" style="474" bestFit="1" customWidth="1"/>
    <col min="1045" max="1045" width="20.42578125" style="474" bestFit="1" customWidth="1"/>
    <col min="1046" max="1046" width="20.85546875" style="474" bestFit="1" customWidth="1"/>
    <col min="1047" max="1047" width="21.42578125" style="474" bestFit="1" customWidth="1"/>
    <col min="1048" max="1049" width="22.28515625" style="474" bestFit="1" customWidth="1"/>
    <col min="1050" max="1051" width="23.85546875" style="474" bestFit="1" customWidth="1"/>
    <col min="1052" max="1053" width="24.85546875" style="474" bestFit="1" customWidth="1"/>
    <col min="1054" max="1058" width="11.28515625" style="474" bestFit="1" customWidth="1"/>
    <col min="1059" max="1063" width="12.28515625" style="474" bestFit="1" customWidth="1"/>
    <col min="1064" max="1064" width="12" style="474" bestFit="1" customWidth="1"/>
    <col min="1065" max="1280" width="8.85546875" style="474"/>
    <col min="1281" max="1281" width="7.28515625" style="474" customWidth="1"/>
    <col min="1282" max="1282" width="41" style="474" customWidth="1"/>
    <col min="1283" max="1283" width="16" style="474" customWidth="1"/>
    <col min="1284" max="1284" width="16.140625" style="474" bestFit="1" customWidth="1"/>
    <col min="1285" max="1285" width="11.85546875" style="474" customWidth="1"/>
    <col min="1286" max="1286" width="12.42578125" style="474" bestFit="1" customWidth="1"/>
    <col min="1287" max="1288" width="13" style="474" bestFit="1" customWidth="1"/>
    <col min="1289" max="1289" width="12.7109375" style="474" bestFit="1" customWidth="1"/>
    <col min="1290" max="1290" width="13.42578125" style="474" bestFit="1" customWidth="1"/>
    <col min="1291" max="1291" width="13.7109375" style="474" bestFit="1" customWidth="1"/>
    <col min="1292" max="1292" width="14.5703125" style="474" bestFit="1" customWidth="1"/>
    <col min="1293" max="1293" width="14.85546875" style="474" bestFit="1" customWidth="1"/>
    <col min="1294" max="1294" width="17.140625" style="474" customWidth="1"/>
    <col min="1295" max="1295" width="16.42578125" style="474" bestFit="1" customWidth="1"/>
    <col min="1296" max="1296" width="17.140625" style="474" bestFit="1" customWidth="1"/>
    <col min="1297" max="1297" width="24.28515625" style="474" customWidth="1"/>
    <col min="1298" max="1298" width="18.28515625" style="474" bestFit="1" customWidth="1"/>
    <col min="1299" max="1299" width="18.5703125" style="474" bestFit="1" customWidth="1"/>
    <col min="1300" max="1300" width="19.28515625" style="474" bestFit="1" customWidth="1"/>
    <col min="1301" max="1301" width="20.42578125" style="474" bestFit="1" customWidth="1"/>
    <col min="1302" max="1302" width="20.85546875" style="474" bestFit="1" customWidth="1"/>
    <col min="1303" max="1303" width="21.42578125" style="474" bestFit="1" customWidth="1"/>
    <col min="1304" max="1305" width="22.28515625" style="474" bestFit="1" customWidth="1"/>
    <col min="1306" max="1307" width="23.85546875" style="474" bestFit="1" customWidth="1"/>
    <col min="1308" max="1309" width="24.85546875" style="474" bestFit="1" customWidth="1"/>
    <col min="1310" max="1314" width="11.28515625" style="474" bestFit="1" customWidth="1"/>
    <col min="1315" max="1319" width="12.28515625" style="474" bestFit="1" customWidth="1"/>
    <col min="1320" max="1320" width="12" style="474" bestFit="1" customWidth="1"/>
    <col min="1321" max="1536" width="8.85546875" style="474"/>
    <col min="1537" max="1537" width="7.28515625" style="474" customWidth="1"/>
    <col min="1538" max="1538" width="41" style="474" customWidth="1"/>
    <col min="1539" max="1539" width="16" style="474" customWidth="1"/>
    <col min="1540" max="1540" width="16.140625" style="474" bestFit="1" customWidth="1"/>
    <col min="1541" max="1541" width="11.85546875" style="474" customWidth="1"/>
    <col min="1542" max="1542" width="12.42578125" style="474" bestFit="1" customWidth="1"/>
    <col min="1543" max="1544" width="13" style="474" bestFit="1" customWidth="1"/>
    <col min="1545" max="1545" width="12.7109375" style="474" bestFit="1" customWidth="1"/>
    <col min="1546" max="1546" width="13.42578125" style="474" bestFit="1" customWidth="1"/>
    <col min="1547" max="1547" width="13.7109375" style="474" bestFit="1" customWidth="1"/>
    <col min="1548" max="1548" width="14.5703125" style="474" bestFit="1" customWidth="1"/>
    <col min="1549" max="1549" width="14.85546875" style="474" bestFit="1" customWidth="1"/>
    <col min="1550" max="1550" width="17.140625" style="474" customWidth="1"/>
    <col min="1551" max="1551" width="16.42578125" style="474" bestFit="1" customWidth="1"/>
    <col min="1552" max="1552" width="17.140625" style="474" bestFit="1" customWidth="1"/>
    <col min="1553" max="1553" width="24.28515625" style="474" customWidth="1"/>
    <col min="1554" max="1554" width="18.28515625" style="474" bestFit="1" customWidth="1"/>
    <col min="1555" max="1555" width="18.5703125" style="474" bestFit="1" customWidth="1"/>
    <col min="1556" max="1556" width="19.28515625" style="474" bestFit="1" customWidth="1"/>
    <col min="1557" max="1557" width="20.42578125" style="474" bestFit="1" customWidth="1"/>
    <col min="1558" max="1558" width="20.85546875" style="474" bestFit="1" customWidth="1"/>
    <col min="1559" max="1559" width="21.42578125" style="474" bestFit="1" customWidth="1"/>
    <col min="1560" max="1561" width="22.28515625" style="474" bestFit="1" customWidth="1"/>
    <col min="1562" max="1563" width="23.85546875" style="474" bestFit="1" customWidth="1"/>
    <col min="1564" max="1565" width="24.85546875" style="474" bestFit="1" customWidth="1"/>
    <col min="1566" max="1570" width="11.28515625" style="474" bestFit="1" customWidth="1"/>
    <col min="1571" max="1575" width="12.28515625" style="474" bestFit="1" customWidth="1"/>
    <col min="1576" max="1576" width="12" style="474" bestFit="1" customWidth="1"/>
    <col min="1577" max="1792" width="8.85546875" style="474"/>
    <col min="1793" max="1793" width="7.28515625" style="474" customWidth="1"/>
    <col min="1794" max="1794" width="41" style="474" customWidth="1"/>
    <col min="1795" max="1795" width="16" style="474" customWidth="1"/>
    <col min="1796" max="1796" width="16.140625" style="474" bestFit="1" customWidth="1"/>
    <col min="1797" max="1797" width="11.85546875" style="474" customWidth="1"/>
    <col min="1798" max="1798" width="12.42578125" style="474" bestFit="1" customWidth="1"/>
    <col min="1799" max="1800" width="13" style="474" bestFit="1" customWidth="1"/>
    <col min="1801" max="1801" width="12.7109375" style="474" bestFit="1" customWidth="1"/>
    <col min="1802" max="1802" width="13.42578125" style="474" bestFit="1" customWidth="1"/>
    <col min="1803" max="1803" width="13.7109375" style="474" bestFit="1" customWidth="1"/>
    <col min="1804" max="1804" width="14.5703125" style="474" bestFit="1" customWidth="1"/>
    <col min="1805" max="1805" width="14.85546875" style="474" bestFit="1" customWidth="1"/>
    <col min="1806" max="1806" width="17.140625" style="474" customWidth="1"/>
    <col min="1807" max="1807" width="16.42578125" style="474" bestFit="1" customWidth="1"/>
    <col min="1808" max="1808" width="17.140625" style="474" bestFit="1" customWidth="1"/>
    <col min="1809" max="1809" width="24.28515625" style="474" customWidth="1"/>
    <col min="1810" max="1810" width="18.28515625" style="474" bestFit="1" customWidth="1"/>
    <col min="1811" max="1811" width="18.5703125" style="474" bestFit="1" customWidth="1"/>
    <col min="1812" max="1812" width="19.28515625" style="474" bestFit="1" customWidth="1"/>
    <col min="1813" max="1813" width="20.42578125" style="474" bestFit="1" customWidth="1"/>
    <col min="1814" max="1814" width="20.85546875" style="474" bestFit="1" customWidth="1"/>
    <col min="1815" max="1815" width="21.42578125" style="474" bestFit="1" customWidth="1"/>
    <col min="1816" max="1817" width="22.28515625" style="474" bestFit="1" customWidth="1"/>
    <col min="1818" max="1819" width="23.85546875" style="474" bestFit="1" customWidth="1"/>
    <col min="1820" max="1821" width="24.85546875" style="474" bestFit="1" customWidth="1"/>
    <col min="1822" max="1826" width="11.28515625" style="474" bestFit="1" customWidth="1"/>
    <col min="1827" max="1831" width="12.28515625" style="474" bestFit="1" customWidth="1"/>
    <col min="1832" max="1832" width="12" style="474" bestFit="1" customWidth="1"/>
    <col min="1833" max="2048" width="8.85546875" style="474"/>
    <col min="2049" max="2049" width="7.28515625" style="474" customWidth="1"/>
    <col min="2050" max="2050" width="41" style="474" customWidth="1"/>
    <col min="2051" max="2051" width="16" style="474" customWidth="1"/>
    <col min="2052" max="2052" width="16.140625" style="474" bestFit="1" customWidth="1"/>
    <col min="2053" max="2053" width="11.85546875" style="474" customWidth="1"/>
    <col min="2054" max="2054" width="12.42578125" style="474" bestFit="1" customWidth="1"/>
    <col min="2055" max="2056" width="13" style="474" bestFit="1" customWidth="1"/>
    <col min="2057" max="2057" width="12.7109375" style="474" bestFit="1" customWidth="1"/>
    <col min="2058" max="2058" width="13.42578125" style="474" bestFit="1" customWidth="1"/>
    <col min="2059" max="2059" width="13.7109375" style="474" bestFit="1" customWidth="1"/>
    <col min="2060" max="2060" width="14.5703125" style="474" bestFit="1" customWidth="1"/>
    <col min="2061" max="2061" width="14.85546875" style="474" bestFit="1" customWidth="1"/>
    <col min="2062" max="2062" width="17.140625" style="474" customWidth="1"/>
    <col min="2063" max="2063" width="16.42578125" style="474" bestFit="1" customWidth="1"/>
    <col min="2064" max="2064" width="17.140625" style="474" bestFit="1" customWidth="1"/>
    <col min="2065" max="2065" width="24.28515625" style="474" customWidth="1"/>
    <col min="2066" max="2066" width="18.28515625" style="474" bestFit="1" customWidth="1"/>
    <col min="2067" max="2067" width="18.5703125" style="474" bestFit="1" customWidth="1"/>
    <col min="2068" max="2068" width="19.28515625" style="474" bestFit="1" customWidth="1"/>
    <col min="2069" max="2069" width="20.42578125" style="474" bestFit="1" customWidth="1"/>
    <col min="2070" max="2070" width="20.85546875" style="474" bestFit="1" customWidth="1"/>
    <col min="2071" max="2071" width="21.42578125" style="474" bestFit="1" customWidth="1"/>
    <col min="2072" max="2073" width="22.28515625" style="474" bestFit="1" customWidth="1"/>
    <col min="2074" max="2075" width="23.85546875" style="474" bestFit="1" customWidth="1"/>
    <col min="2076" max="2077" width="24.85546875" style="474" bestFit="1" customWidth="1"/>
    <col min="2078" max="2082" width="11.28515625" style="474" bestFit="1" customWidth="1"/>
    <col min="2083" max="2087" width="12.28515625" style="474" bestFit="1" customWidth="1"/>
    <col min="2088" max="2088" width="12" style="474" bestFit="1" customWidth="1"/>
    <col min="2089" max="2304" width="8.85546875" style="474"/>
    <col min="2305" max="2305" width="7.28515625" style="474" customWidth="1"/>
    <col min="2306" max="2306" width="41" style="474" customWidth="1"/>
    <col min="2307" max="2307" width="16" style="474" customWidth="1"/>
    <col min="2308" max="2308" width="16.140625" style="474" bestFit="1" customWidth="1"/>
    <col min="2309" max="2309" width="11.85546875" style="474" customWidth="1"/>
    <col min="2310" max="2310" width="12.42578125" style="474" bestFit="1" customWidth="1"/>
    <col min="2311" max="2312" width="13" style="474" bestFit="1" customWidth="1"/>
    <col min="2313" max="2313" width="12.7109375" style="474" bestFit="1" customWidth="1"/>
    <col min="2314" max="2314" width="13.42578125" style="474" bestFit="1" customWidth="1"/>
    <col min="2315" max="2315" width="13.7109375" style="474" bestFit="1" customWidth="1"/>
    <col min="2316" max="2316" width="14.5703125" style="474" bestFit="1" customWidth="1"/>
    <col min="2317" max="2317" width="14.85546875" style="474" bestFit="1" customWidth="1"/>
    <col min="2318" max="2318" width="17.140625" style="474" customWidth="1"/>
    <col min="2319" max="2319" width="16.42578125" style="474" bestFit="1" customWidth="1"/>
    <col min="2320" max="2320" width="17.140625" style="474" bestFit="1" customWidth="1"/>
    <col min="2321" max="2321" width="24.28515625" style="474" customWidth="1"/>
    <col min="2322" max="2322" width="18.28515625" style="474" bestFit="1" customWidth="1"/>
    <col min="2323" max="2323" width="18.5703125" style="474" bestFit="1" customWidth="1"/>
    <col min="2324" max="2324" width="19.28515625" style="474" bestFit="1" customWidth="1"/>
    <col min="2325" max="2325" width="20.42578125" style="474" bestFit="1" customWidth="1"/>
    <col min="2326" max="2326" width="20.85546875" style="474" bestFit="1" customWidth="1"/>
    <col min="2327" max="2327" width="21.42578125" style="474" bestFit="1" customWidth="1"/>
    <col min="2328" max="2329" width="22.28515625" style="474" bestFit="1" customWidth="1"/>
    <col min="2330" max="2331" width="23.85546875" style="474" bestFit="1" customWidth="1"/>
    <col min="2332" max="2333" width="24.85546875" style="474" bestFit="1" customWidth="1"/>
    <col min="2334" max="2338" width="11.28515625" style="474" bestFit="1" customWidth="1"/>
    <col min="2339" max="2343" width="12.28515625" style="474" bestFit="1" customWidth="1"/>
    <col min="2344" max="2344" width="12" style="474" bestFit="1" customWidth="1"/>
    <col min="2345" max="2560" width="8.85546875" style="474"/>
    <col min="2561" max="2561" width="7.28515625" style="474" customWidth="1"/>
    <col min="2562" max="2562" width="41" style="474" customWidth="1"/>
    <col min="2563" max="2563" width="16" style="474" customWidth="1"/>
    <col min="2564" max="2564" width="16.140625" style="474" bestFit="1" customWidth="1"/>
    <col min="2565" max="2565" width="11.85546875" style="474" customWidth="1"/>
    <col min="2566" max="2566" width="12.42578125" style="474" bestFit="1" customWidth="1"/>
    <col min="2567" max="2568" width="13" style="474" bestFit="1" customWidth="1"/>
    <col min="2569" max="2569" width="12.7109375" style="474" bestFit="1" customWidth="1"/>
    <col min="2570" max="2570" width="13.42578125" style="474" bestFit="1" customWidth="1"/>
    <col min="2571" max="2571" width="13.7109375" style="474" bestFit="1" customWidth="1"/>
    <col min="2572" max="2572" width="14.5703125" style="474" bestFit="1" customWidth="1"/>
    <col min="2573" max="2573" width="14.85546875" style="474" bestFit="1" customWidth="1"/>
    <col min="2574" max="2574" width="17.140625" style="474" customWidth="1"/>
    <col min="2575" max="2575" width="16.42578125" style="474" bestFit="1" customWidth="1"/>
    <col min="2576" max="2576" width="17.140625" style="474" bestFit="1" customWidth="1"/>
    <col min="2577" max="2577" width="24.28515625" style="474" customWidth="1"/>
    <col min="2578" max="2578" width="18.28515625" style="474" bestFit="1" customWidth="1"/>
    <col min="2579" max="2579" width="18.5703125" style="474" bestFit="1" customWidth="1"/>
    <col min="2580" max="2580" width="19.28515625" style="474" bestFit="1" customWidth="1"/>
    <col min="2581" max="2581" width="20.42578125" style="474" bestFit="1" customWidth="1"/>
    <col min="2582" max="2582" width="20.85546875" style="474" bestFit="1" customWidth="1"/>
    <col min="2583" max="2583" width="21.42578125" style="474" bestFit="1" customWidth="1"/>
    <col min="2584" max="2585" width="22.28515625" style="474" bestFit="1" customWidth="1"/>
    <col min="2586" max="2587" width="23.85546875" style="474" bestFit="1" customWidth="1"/>
    <col min="2588" max="2589" width="24.85546875" style="474" bestFit="1" customWidth="1"/>
    <col min="2590" max="2594" width="11.28515625" style="474" bestFit="1" customWidth="1"/>
    <col min="2595" max="2599" width="12.28515625" style="474" bestFit="1" customWidth="1"/>
    <col min="2600" max="2600" width="12" style="474" bestFit="1" customWidth="1"/>
    <col min="2601" max="2816" width="8.85546875" style="474"/>
    <col min="2817" max="2817" width="7.28515625" style="474" customWidth="1"/>
    <col min="2818" max="2818" width="41" style="474" customWidth="1"/>
    <col min="2819" max="2819" width="16" style="474" customWidth="1"/>
    <col min="2820" max="2820" width="16.140625" style="474" bestFit="1" customWidth="1"/>
    <col min="2821" max="2821" width="11.85546875" style="474" customWidth="1"/>
    <col min="2822" max="2822" width="12.42578125" style="474" bestFit="1" customWidth="1"/>
    <col min="2823" max="2824" width="13" style="474" bestFit="1" customWidth="1"/>
    <col min="2825" max="2825" width="12.7109375" style="474" bestFit="1" customWidth="1"/>
    <col min="2826" max="2826" width="13.42578125" style="474" bestFit="1" customWidth="1"/>
    <col min="2827" max="2827" width="13.7109375" style="474" bestFit="1" customWidth="1"/>
    <col min="2828" max="2828" width="14.5703125" style="474" bestFit="1" customWidth="1"/>
    <col min="2829" max="2829" width="14.85546875" style="474" bestFit="1" customWidth="1"/>
    <col min="2830" max="2830" width="17.140625" style="474" customWidth="1"/>
    <col min="2831" max="2831" width="16.42578125" style="474" bestFit="1" customWidth="1"/>
    <col min="2832" max="2832" width="17.140625" style="474" bestFit="1" customWidth="1"/>
    <col min="2833" max="2833" width="24.28515625" style="474" customWidth="1"/>
    <col min="2834" max="2834" width="18.28515625" style="474" bestFit="1" customWidth="1"/>
    <col min="2835" max="2835" width="18.5703125" style="474" bestFit="1" customWidth="1"/>
    <col min="2836" max="2836" width="19.28515625" style="474" bestFit="1" customWidth="1"/>
    <col min="2837" max="2837" width="20.42578125" style="474" bestFit="1" customWidth="1"/>
    <col min="2838" max="2838" width="20.85546875" style="474" bestFit="1" customWidth="1"/>
    <col min="2839" max="2839" width="21.42578125" style="474" bestFit="1" customWidth="1"/>
    <col min="2840" max="2841" width="22.28515625" style="474" bestFit="1" customWidth="1"/>
    <col min="2842" max="2843" width="23.85546875" style="474" bestFit="1" customWidth="1"/>
    <col min="2844" max="2845" width="24.85546875" style="474" bestFit="1" customWidth="1"/>
    <col min="2846" max="2850" width="11.28515625" style="474" bestFit="1" customWidth="1"/>
    <col min="2851" max="2855" width="12.28515625" style="474" bestFit="1" customWidth="1"/>
    <col min="2856" max="2856" width="12" style="474" bestFit="1" customWidth="1"/>
    <col min="2857" max="3072" width="8.85546875" style="474"/>
    <col min="3073" max="3073" width="7.28515625" style="474" customWidth="1"/>
    <col min="3074" max="3074" width="41" style="474" customWidth="1"/>
    <col min="3075" max="3075" width="16" style="474" customWidth="1"/>
    <col min="3076" max="3076" width="16.140625" style="474" bestFit="1" customWidth="1"/>
    <col min="3077" max="3077" width="11.85546875" style="474" customWidth="1"/>
    <col min="3078" max="3078" width="12.42578125" style="474" bestFit="1" customWidth="1"/>
    <col min="3079" max="3080" width="13" style="474" bestFit="1" customWidth="1"/>
    <col min="3081" max="3081" width="12.7109375" style="474" bestFit="1" customWidth="1"/>
    <col min="3082" max="3082" width="13.42578125" style="474" bestFit="1" customWidth="1"/>
    <col min="3083" max="3083" width="13.7109375" style="474" bestFit="1" customWidth="1"/>
    <col min="3084" max="3084" width="14.5703125" style="474" bestFit="1" customWidth="1"/>
    <col min="3085" max="3085" width="14.85546875" style="474" bestFit="1" customWidth="1"/>
    <col min="3086" max="3086" width="17.140625" style="474" customWidth="1"/>
    <col min="3087" max="3087" width="16.42578125" style="474" bestFit="1" customWidth="1"/>
    <col min="3088" max="3088" width="17.140625" style="474" bestFit="1" customWidth="1"/>
    <col min="3089" max="3089" width="24.28515625" style="474" customWidth="1"/>
    <col min="3090" max="3090" width="18.28515625" style="474" bestFit="1" customWidth="1"/>
    <col min="3091" max="3091" width="18.5703125" style="474" bestFit="1" customWidth="1"/>
    <col min="3092" max="3092" width="19.28515625" style="474" bestFit="1" customWidth="1"/>
    <col min="3093" max="3093" width="20.42578125" style="474" bestFit="1" customWidth="1"/>
    <col min="3094" max="3094" width="20.85546875" style="474" bestFit="1" customWidth="1"/>
    <col min="3095" max="3095" width="21.42578125" style="474" bestFit="1" customWidth="1"/>
    <col min="3096" max="3097" width="22.28515625" style="474" bestFit="1" customWidth="1"/>
    <col min="3098" max="3099" width="23.85546875" style="474" bestFit="1" customWidth="1"/>
    <col min="3100" max="3101" width="24.85546875" style="474" bestFit="1" customWidth="1"/>
    <col min="3102" max="3106" width="11.28515625" style="474" bestFit="1" customWidth="1"/>
    <col min="3107" max="3111" width="12.28515625" style="474" bestFit="1" customWidth="1"/>
    <col min="3112" max="3112" width="12" style="474" bestFit="1" customWidth="1"/>
    <col min="3113" max="3328" width="8.85546875" style="474"/>
    <col min="3329" max="3329" width="7.28515625" style="474" customWidth="1"/>
    <col min="3330" max="3330" width="41" style="474" customWidth="1"/>
    <col min="3331" max="3331" width="16" style="474" customWidth="1"/>
    <col min="3332" max="3332" width="16.140625" style="474" bestFit="1" customWidth="1"/>
    <col min="3333" max="3333" width="11.85546875" style="474" customWidth="1"/>
    <col min="3334" max="3334" width="12.42578125" style="474" bestFit="1" customWidth="1"/>
    <col min="3335" max="3336" width="13" style="474" bestFit="1" customWidth="1"/>
    <col min="3337" max="3337" width="12.7109375" style="474" bestFit="1" customWidth="1"/>
    <col min="3338" max="3338" width="13.42578125" style="474" bestFit="1" customWidth="1"/>
    <col min="3339" max="3339" width="13.7109375" style="474" bestFit="1" customWidth="1"/>
    <col min="3340" max="3340" width="14.5703125" style="474" bestFit="1" customWidth="1"/>
    <col min="3341" max="3341" width="14.85546875" style="474" bestFit="1" customWidth="1"/>
    <col min="3342" max="3342" width="17.140625" style="474" customWidth="1"/>
    <col min="3343" max="3343" width="16.42578125" style="474" bestFit="1" customWidth="1"/>
    <col min="3344" max="3344" width="17.140625" style="474" bestFit="1" customWidth="1"/>
    <col min="3345" max="3345" width="24.28515625" style="474" customWidth="1"/>
    <col min="3346" max="3346" width="18.28515625" style="474" bestFit="1" customWidth="1"/>
    <col min="3347" max="3347" width="18.5703125" style="474" bestFit="1" customWidth="1"/>
    <col min="3348" max="3348" width="19.28515625" style="474" bestFit="1" customWidth="1"/>
    <col min="3349" max="3349" width="20.42578125" style="474" bestFit="1" customWidth="1"/>
    <col min="3350" max="3350" width="20.85546875" style="474" bestFit="1" customWidth="1"/>
    <col min="3351" max="3351" width="21.42578125" style="474" bestFit="1" customWidth="1"/>
    <col min="3352" max="3353" width="22.28515625" style="474" bestFit="1" customWidth="1"/>
    <col min="3354" max="3355" width="23.85546875" style="474" bestFit="1" customWidth="1"/>
    <col min="3356" max="3357" width="24.85546875" style="474" bestFit="1" customWidth="1"/>
    <col min="3358" max="3362" width="11.28515625" style="474" bestFit="1" customWidth="1"/>
    <col min="3363" max="3367" width="12.28515625" style="474" bestFit="1" customWidth="1"/>
    <col min="3368" max="3368" width="12" style="474" bestFit="1" customWidth="1"/>
    <col min="3369" max="3584" width="8.85546875" style="474"/>
    <col min="3585" max="3585" width="7.28515625" style="474" customWidth="1"/>
    <col min="3586" max="3586" width="41" style="474" customWidth="1"/>
    <col min="3587" max="3587" width="16" style="474" customWidth="1"/>
    <col min="3588" max="3588" width="16.140625" style="474" bestFit="1" customWidth="1"/>
    <col min="3589" max="3589" width="11.85546875" style="474" customWidth="1"/>
    <col min="3590" max="3590" width="12.42578125" style="474" bestFit="1" customWidth="1"/>
    <col min="3591" max="3592" width="13" style="474" bestFit="1" customWidth="1"/>
    <col min="3593" max="3593" width="12.7109375" style="474" bestFit="1" customWidth="1"/>
    <col min="3594" max="3594" width="13.42578125" style="474" bestFit="1" customWidth="1"/>
    <col min="3595" max="3595" width="13.7109375" style="474" bestFit="1" customWidth="1"/>
    <col min="3596" max="3596" width="14.5703125" style="474" bestFit="1" customWidth="1"/>
    <col min="3597" max="3597" width="14.85546875" style="474" bestFit="1" customWidth="1"/>
    <col min="3598" max="3598" width="17.140625" style="474" customWidth="1"/>
    <col min="3599" max="3599" width="16.42578125" style="474" bestFit="1" customWidth="1"/>
    <col min="3600" max="3600" width="17.140625" style="474" bestFit="1" customWidth="1"/>
    <col min="3601" max="3601" width="24.28515625" style="474" customWidth="1"/>
    <col min="3602" max="3602" width="18.28515625" style="474" bestFit="1" customWidth="1"/>
    <col min="3603" max="3603" width="18.5703125" style="474" bestFit="1" customWidth="1"/>
    <col min="3604" max="3604" width="19.28515625" style="474" bestFit="1" customWidth="1"/>
    <col min="3605" max="3605" width="20.42578125" style="474" bestFit="1" customWidth="1"/>
    <col min="3606" max="3606" width="20.85546875" style="474" bestFit="1" customWidth="1"/>
    <col min="3607" max="3607" width="21.42578125" style="474" bestFit="1" customWidth="1"/>
    <col min="3608" max="3609" width="22.28515625" style="474" bestFit="1" customWidth="1"/>
    <col min="3610" max="3611" width="23.85546875" style="474" bestFit="1" customWidth="1"/>
    <col min="3612" max="3613" width="24.85546875" style="474" bestFit="1" customWidth="1"/>
    <col min="3614" max="3618" width="11.28515625" style="474" bestFit="1" customWidth="1"/>
    <col min="3619" max="3623" width="12.28515625" style="474" bestFit="1" customWidth="1"/>
    <col min="3624" max="3624" width="12" style="474" bestFit="1" customWidth="1"/>
    <col min="3625" max="3840" width="8.85546875" style="474"/>
    <col min="3841" max="3841" width="7.28515625" style="474" customWidth="1"/>
    <col min="3842" max="3842" width="41" style="474" customWidth="1"/>
    <col min="3843" max="3843" width="16" style="474" customWidth="1"/>
    <col min="3844" max="3844" width="16.140625" style="474" bestFit="1" customWidth="1"/>
    <col min="3845" max="3845" width="11.85546875" style="474" customWidth="1"/>
    <col min="3846" max="3846" width="12.42578125" style="474" bestFit="1" customWidth="1"/>
    <col min="3847" max="3848" width="13" style="474" bestFit="1" customWidth="1"/>
    <col min="3849" max="3849" width="12.7109375" style="474" bestFit="1" customWidth="1"/>
    <col min="3850" max="3850" width="13.42578125" style="474" bestFit="1" customWidth="1"/>
    <col min="3851" max="3851" width="13.7109375" style="474" bestFit="1" customWidth="1"/>
    <col min="3852" max="3852" width="14.5703125" style="474" bestFit="1" customWidth="1"/>
    <col min="3853" max="3853" width="14.85546875" style="474" bestFit="1" customWidth="1"/>
    <col min="3854" max="3854" width="17.140625" style="474" customWidth="1"/>
    <col min="3855" max="3855" width="16.42578125" style="474" bestFit="1" customWidth="1"/>
    <col min="3856" max="3856" width="17.140625" style="474" bestFit="1" customWidth="1"/>
    <col min="3857" max="3857" width="24.28515625" style="474" customWidth="1"/>
    <col min="3858" max="3858" width="18.28515625" style="474" bestFit="1" customWidth="1"/>
    <col min="3859" max="3859" width="18.5703125" style="474" bestFit="1" customWidth="1"/>
    <col min="3860" max="3860" width="19.28515625" style="474" bestFit="1" customWidth="1"/>
    <col min="3861" max="3861" width="20.42578125" style="474" bestFit="1" customWidth="1"/>
    <col min="3862" max="3862" width="20.85546875" style="474" bestFit="1" customWidth="1"/>
    <col min="3863" max="3863" width="21.42578125" style="474" bestFit="1" customWidth="1"/>
    <col min="3864" max="3865" width="22.28515625" style="474" bestFit="1" customWidth="1"/>
    <col min="3866" max="3867" width="23.85546875" style="474" bestFit="1" customWidth="1"/>
    <col min="3868" max="3869" width="24.85546875" style="474" bestFit="1" customWidth="1"/>
    <col min="3870" max="3874" width="11.28515625" style="474" bestFit="1" customWidth="1"/>
    <col min="3875" max="3879" width="12.28515625" style="474" bestFit="1" customWidth="1"/>
    <col min="3880" max="3880" width="12" style="474" bestFit="1" customWidth="1"/>
    <col min="3881" max="4096" width="8.85546875" style="474"/>
    <col min="4097" max="4097" width="7.28515625" style="474" customWidth="1"/>
    <col min="4098" max="4098" width="41" style="474" customWidth="1"/>
    <col min="4099" max="4099" width="16" style="474" customWidth="1"/>
    <col min="4100" max="4100" width="16.140625" style="474" bestFit="1" customWidth="1"/>
    <col min="4101" max="4101" width="11.85546875" style="474" customWidth="1"/>
    <col min="4102" max="4102" width="12.42578125" style="474" bestFit="1" customWidth="1"/>
    <col min="4103" max="4104" width="13" style="474" bestFit="1" customWidth="1"/>
    <col min="4105" max="4105" width="12.7109375" style="474" bestFit="1" customWidth="1"/>
    <col min="4106" max="4106" width="13.42578125" style="474" bestFit="1" customWidth="1"/>
    <col min="4107" max="4107" width="13.7109375" style="474" bestFit="1" customWidth="1"/>
    <col min="4108" max="4108" width="14.5703125" style="474" bestFit="1" customWidth="1"/>
    <col min="4109" max="4109" width="14.85546875" style="474" bestFit="1" customWidth="1"/>
    <col min="4110" max="4110" width="17.140625" style="474" customWidth="1"/>
    <col min="4111" max="4111" width="16.42578125" style="474" bestFit="1" customWidth="1"/>
    <col min="4112" max="4112" width="17.140625" style="474" bestFit="1" customWidth="1"/>
    <col min="4113" max="4113" width="24.28515625" style="474" customWidth="1"/>
    <col min="4114" max="4114" width="18.28515625" style="474" bestFit="1" customWidth="1"/>
    <col min="4115" max="4115" width="18.5703125" style="474" bestFit="1" customWidth="1"/>
    <col min="4116" max="4116" width="19.28515625" style="474" bestFit="1" customWidth="1"/>
    <col min="4117" max="4117" width="20.42578125" style="474" bestFit="1" customWidth="1"/>
    <col min="4118" max="4118" width="20.85546875" style="474" bestFit="1" customWidth="1"/>
    <col min="4119" max="4119" width="21.42578125" style="474" bestFit="1" customWidth="1"/>
    <col min="4120" max="4121" width="22.28515625" style="474" bestFit="1" customWidth="1"/>
    <col min="4122" max="4123" width="23.85546875" style="474" bestFit="1" customWidth="1"/>
    <col min="4124" max="4125" width="24.85546875" style="474" bestFit="1" customWidth="1"/>
    <col min="4126" max="4130" width="11.28515625" style="474" bestFit="1" customWidth="1"/>
    <col min="4131" max="4135" width="12.28515625" style="474" bestFit="1" customWidth="1"/>
    <col min="4136" max="4136" width="12" style="474" bestFit="1" customWidth="1"/>
    <col min="4137" max="4352" width="8.85546875" style="474"/>
    <col min="4353" max="4353" width="7.28515625" style="474" customWidth="1"/>
    <col min="4354" max="4354" width="41" style="474" customWidth="1"/>
    <col min="4355" max="4355" width="16" style="474" customWidth="1"/>
    <col min="4356" max="4356" width="16.140625" style="474" bestFit="1" customWidth="1"/>
    <col min="4357" max="4357" width="11.85546875" style="474" customWidth="1"/>
    <col min="4358" max="4358" width="12.42578125" style="474" bestFit="1" customWidth="1"/>
    <col min="4359" max="4360" width="13" style="474" bestFit="1" customWidth="1"/>
    <col min="4361" max="4361" width="12.7109375" style="474" bestFit="1" customWidth="1"/>
    <col min="4362" max="4362" width="13.42578125" style="474" bestFit="1" customWidth="1"/>
    <col min="4363" max="4363" width="13.7109375" style="474" bestFit="1" customWidth="1"/>
    <col min="4364" max="4364" width="14.5703125" style="474" bestFit="1" customWidth="1"/>
    <col min="4365" max="4365" width="14.85546875" style="474" bestFit="1" customWidth="1"/>
    <col min="4366" max="4366" width="17.140625" style="474" customWidth="1"/>
    <col min="4367" max="4367" width="16.42578125" style="474" bestFit="1" customWidth="1"/>
    <col min="4368" max="4368" width="17.140625" style="474" bestFit="1" customWidth="1"/>
    <col min="4369" max="4369" width="24.28515625" style="474" customWidth="1"/>
    <col min="4370" max="4370" width="18.28515625" style="474" bestFit="1" customWidth="1"/>
    <col min="4371" max="4371" width="18.5703125" style="474" bestFit="1" customWidth="1"/>
    <col min="4372" max="4372" width="19.28515625" style="474" bestFit="1" customWidth="1"/>
    <col min="4373" max="4373" width="20.42578125" style="474" bestFit="1" customWidth="1"/>
    <col min="4374" max="4374" width="20.85546875" style="474" bestFit="1" customWidth="1"/>
    <col min="4375" max="4375" width="21.42578125" style="474" bestFit="1" customWidth="1"/>
    <col min="4376" max="4377" width="22.28515625" style="474" bestFit="1" customWidth="1"/>
    <col min="4378" max="4379" width="23.85546875" style="474" bestFit="1" customWidth="1"/>
    <col min="4380" max="4381" width="24.85546875" style="474" bestFit="1" customWidth="1"/>
    <col min="4382" max="4386" width="11.28515625" style="474" bestFit="1" customWidth="1"/>
    <col min="4387" max="4391" width="12.28515625" style="474" bestFit="1" customWidth="1"/>
    <col min="4392" max="4392" width="12" style="474" bestFit="1" customWidth="1"/>
    <col min="4393" max="4608" width="8.85546875" style="474"/>
    <col min="4609" max="4609" width="7.28515625" style="474" customWidth="1"/>
    <col min="4610" max="4610" width="41" style="474" customWidth="1"/>
    <col min="4611" max="4611" width="16" style="474" customWidth="1"/>
    <col min="4612" max="4612" width="16.140625" style="474" bestFit="1" customWidth="1"/>
    <col min="4613" max="4613" width="11.85546875" style="474" customWidth="1"/>
    <col min="4614" max="4614" width="12.42578125" style="474" bestFit="1" customWidth="1"/>
    <col min="4615" max="4616" width="13" style="474" bestFit="1" customWidth="1"/>
    <col min="4617" max="4617" width="12.7109375" style="474" bestFit="1" customWidth="1"/>
    <col min="4618" max="4618" width="13.42578125" style="474" bestFit="1" customWidth="1"/>
    <col min="4619" max="4619" width="13.7109375" style="474" bestFit="1" customWidth="1"/>
    <col min="4620" max="4620" width="14.5703125" style="474" bestFit="1" customWidth="1"/>
    <col min="4621" max="4621" width="14.85546875" style="474" bestFit="1" customWidth="1"/>
    <col min="4622" max="4622" width="17.140625" style="474" customWidth="1"/>
    <col min="4623" max="4623" width="16.42578125" style="474" bestFit="1" customWidth="1"/>
    <col min="4624" max="4624" width="17.140625" style="474" bestFit="1" customWidth="1"/>
    <col min="4625" max="4625" width="24.28515625" style="474" customWidth="1"/>
    <col min="4626" max="4626" width="18.28515625" style="474" bestFit="1" customWidth="1"/>
    <col min="4627" max="4627" width="18.5703125" style="474" bestFit="1" customWidth="1"/>
    <col min="4628" max="4628" width="19.28515625" style="474" bestFit="1" customWidth="1"/>
    <col min="4629" max="4629" width="20.42578125" style="474" bestFit="1" customWidth="1"/>
    <col min="4630" max="4630" width="20.85546875" style="474" bestFit="1" customWidth="1"/>
    <col min="4631" max="4631" width="21.42578125" style="474" bestFit="1" customWidth="1"/>
    <col min="4632" max="4633" width="22.28515625" style="474" bestFit="1" customWidth="1"/>
    <col min="4634" max="4635" width="23.85546875" style="474" bestFit="1" customWidth="1"/>
    <col min="4636" max="4637" width="24.85546875" style="474" bestFit="1" customWidth="1"/>
    <col min="4638" max="4642" width="11.28515625" style="474" bestFit="1" customWidth="1"/>
    <col min="4643" max="4647" width="12.28515625" style="474" bestFit="1" customWidth="1"/>
    <col min="4648" max="4648" width="12" style="474" bestFit="1" customWidth="1"/>
    <col min="4649" max="4864" width="8.85546875" style="474"/>
    <col min="4865" max="4865" width="7.28515625" style="474" customWidth="1"/>
    <col min="4866" max="4866" width="41" style="474" customWidth="1"/>
    <col min="4867" max="4867" width="16" style="474" customWidth="1"/>
    <col min="4868" max="4868" width="16.140625" style="474" bestFit="1" customWidth="1"/>
    <col min="4869" max="4869" width="11.85546875" style="474" customWidth="1"/>
    <col min="4870" max="4870" width="12.42578125" style="474" bestFit="1" customWidth="1"/>
    <col min="4871" max="4872" width="13" style="474" bestFit="1" customWidth="1"/>
    <col min="4873" max="4873" width="12.7109375" style="474" bestFit="1" customWidth="1"/>
    <col min="4874" max="4874" width="13.42578125" style="474" bestFit="1" customWidth="1"/>
    <col min="4875" max="4875" width="13.7109375" style="474" bestFit="1" customWidth="1"/>
    <col min="4876" max="4876" width="14.5703125" style="474" bestFit="1" customWidth="1"/>
    <col min="4877" max="4877" width="14.85546875" style="474" bestFit="1" customWidth="1"/>
    <col min="4878" max="4878" width="17.140625" style="474" customWidth="1"/>
    <col min="4879" max="4879" width="16.42578125" style="474" bestFit="1" customWidth="1"/>
    <col min="4880" max="4880" width="17.140625" style="474" bestFit="1" customWidth="1"/>
    <col min="4881" max="4881" width="24.28515625" style="474" customWidth="1"/>
    <col min="4882" max="4882" width="18.28515625" style="474" bestFit="1" customWidth="1"/>
    <col min="4883" max="4883" width="18.5703125" style="474" bestFit="1" customWidth="1"/>
    <col min="4884" max="4884" width="19.28515625" style="474" bestFit="1" customWidth="1"/>
    <col min="4885" max="4885" width="20.42578125" style="474" bestFit="1" customWidth="1"/>
    <col min="4886" max="4886" width="20.85546875" style="474" bestFit="1" customWidth="1"/>
    <col min="4887" max="4887" width="21.42578125" style="474" bestFit="1" customWidth="1"/>
    <col min="4888" max="4889" width="22.28515625" style="474" bestFit="1" customWidth="1"/>
    <col min="4890" max="4891" width="23.85546875" style="474" bestFit="1" customWidth="1"/>
    <col min="4892" max="4893" width="24.85546875" style="474" bestFit="1" customWidth="1"/>
    <col min="4894" max="4898" width="11.28515625" style="474" bestFit="1" customWidth="1"/>
    <col min="4899" max="4903" width="12.28515625" style="474" bestFit="1" customWidth="1"/>
    <col min="4904" max="4904" width="12" style="474" bestFit="1" customWidth="1"/>
    <col min="4905" max="5120" width="8.85546875" style="474"/>
    <col min="5121" max="5121" width="7.28515625" style="474" customWidth="1"/>
    <col min="5122" max="5122" width="41" style="474" customWidth="1"/>
    <col min="5123" max="5123" width="16" style="474" customWidth="1"/>
    <col min="5124" max="5124" width="16.140625" style="474" bestFit="1" customWidth="1"/>
    <col min="5125" max="5125" width="11.85546875" style="474" customWidth="1"/>
    <col min="5126" max="5126" width="12.42578125" style="474" bestFit="1" customWidth="1"/>
    <col min="5127" max="5128" width="13" style="474" bestFit="1" customWidth="1"/>
    <col min="5129" max="5129" width="12.7109375" style="474" bestFit="1" customWidth="1"/>
    <col min="5130" max="5130" width="13.42578125" style="474" bestFit="1" customWidth="1"/>
    <col min="5131" max="5131" width="13.7109375" style="474" bestFit="1" customWidth="1"/>
    <col min="5132" max="5132" width="14.5703125" style="474" bestFit="1" customWidth="1"/>
    <col min="5133" max="5133" width="14.85546875" style="474" bestFit="1" customWidth="1"/>
    <col min="5134" max="5134" width="17.140625" style="474" customWidth="1"/>
    <col min="5135" max="5135" width="16.42578125" style="474" bestFit="1" customWidth="1"/>
    <col min="5136" max="5136" width="17.140625" style="474" bestFit="1" customWidth="1"/>
    <col min="5137" max="5137" width="24.28515625" style="474" customWidth="1"/>
    <col min="5138" max="5138" width="18.28515625" style="474" bestFit="1" customWidth="1"/>
    <col min="5139" max="5139" width="18.5703125" style="474" bestFit="1" customWidth="1"/>
    <col min="5140" max="5140" width="19.28515625" style="474" bestFit="1" customWidth="1"/>
    <col min="5141" max="5141" width="20.42578125" style="474" bestFit="1" customWidth="1"/>
    <col min="5142" max="5142" width="20.85546875" style="474" bestFit="1" customWidth="1"/>
    <col min="5143" max="5143" width="21.42578125" style="474" bestFit="1" customWidth="1"/>
    <col min="5144" max="5145" width="22.28515625" style="474" bestFit="1" customWidth="1"/>
    <col min="5146" max="5147" width="23.85546875" style="474" bestFit="1" customWidth="1"/>
    <col min="5148" max="5149" width="24.85546875" style="474" bestFit="1" customWidth="1"/>
    <col min="5150" max="5154" width="11.28515625" style="474" bestFit="1" customWidth="1"/>
    <col min="5155" max="5159" width="12.28515625" style="474" bestFit="1" customWidth="1"/>
    <col min="5160" max="5160" width="12" style="474" bestFit="1" customWidth="1"/>
    <col min="5161" max="5376" width="8.85546875" style="474"/>
    <col min="5377" max="5377" width="7.28515625" style="474" customWidth="1"/>
    <col min="5378" max="5378" width="41" style="474" customWidth="1"/>
    <col min="5379" max="5379" width="16" style="474" customWidth="1"/>
    <col min="5380" max="5380" width="16.140625" style="474" bestFit="1" customWidth="1"/>
    <col min="5381" max="5381" width="11.85546875" style="474" customWidth="1"/>
    <col min="5382" max="5382" width="12.42578125" style="474" bestFit="1" customWidth="1"/>
    <col min="5383" max="5384" width="13" style="474" bestFit="1" customWidth="1"/>
    <col min="5385" max="5385" width="12.7109375" style="474" bestFit="1" customWidth="1"/>
    <col min="5386" max="5386" width="13.42578125" style="474" bestFit="1" customWidth="1"/>
    <col min="5387" max="5387" width="13.7109375" style="474" bestFit="1" customWidth="1"/>
    <col min="5388" max="5388" width="14.5703125" style="474" bestFit="1" customWidth="1"/>
    <col min="5389" max="5389" width="14.85546875" style="474" bestFit="1" customWidth="1"/>
    <col min="5390" max="5390" width="17.140625" style="474" customWidth="1"/>
    <col min="5391" max="5391" width="16.42578125" style="474" bestFit="1" customWidth="1"/>
    <col min="5392" max="5392" width="17.140625" style="474" bestFit="1" customWidth="1"/>
    <col min="5393" max="5393" width="24.28515625" style="474" customWidth="1"/>
    <col min="5394" max="5394" width="18.28515625" style="474" bestFit="1" customWidth="1"/>
    <col min="5395" max="5395" width="18.5703125" style="474" bestFit="1" customWidth="1"/>
    <col min="5396" max="5396" width="19.28515625" style="474" bestFit="1" customWidth="1"/>
    <col min="5397" max="5397" width="20.42578125" style="474" bestFit="1" customWidth="1"/>
    <col min="5398" max="5398" width="20.85546875" style="474" bestFit="1" customWidth="1"/>
    <col min="5399" max="5399" width="21.42578125" style="474" bestFit="1" customWidth="1"/>
    <col min="5400" max="5401" width="22.28515625" style="474" bestFit="1" customWidth="1"/>
    <col min="5402" max="5403" width="23.85546875" style="474" bestFit="1" customWidth="1"/>
    <col min="5404" max="5405" width="24.85546875" style="474" bestFit="1" customWidth="1"/>
    <col min="5406" max="5410" width="11.28515625" style="474" bestFit="1" customWidth="1"/>
    <col min="5411" max="5415" width="12.28515625" style="474" bestFit="1" customWidth="1"/>
    <col min="5416" max="5416" width="12" style="474" bestFit="1" customWidth="1"/>
    <col min="5417" max="5632" width="8.85546875" style="474"/>
    <col min="5633" max="5633" width="7.28515625" style="474" customWidth="1"/>
    <col min="5634" max="5634" width="41" style="474" customWidth="1"/>
    <col min="5635" max="5635" width="16" style="474" customWidth="1"/>
    <col min="5636" max="5636" width="16.140625" style="474" bestFit="1" customWidth="1"/>
    <col min="5637" max="5637" width="11.85546875" style="474" customWidth="1"/>
    <col min="5638" max="5638" width="12.42578125" style="474" bestFit="1" customWidth="1"/>
    <col min="5639" max="5640" width="13" style="474" bestFit="1" customWidth="1"/>
    <col min="5641" max="5641" width="12.7109375" style="474" bestFit="1" customWidth="1"/>
    <col min="5642" max="5642" width="13.42578125" style="474" bestFit="1" customWidth="1"/>
    <col min="5643" max="5643" width="13.7109375" style="474" bestFit="1" customWidth="1"/>
    <col min="5644" max="5644" width="14.5703125" style="474" bestFit="1" customWidth="1"/>
    <col min="5645" max="5645" width="14.85546875" style="474" bestFit="1" customWidth="1"/>
    <col min="5646" max="5646" width="17.140625" style="474" customWidth="1"/>
    <col min="5647" max="5647" width="16.42578125" style="474" bestFit="1" customWidth="1"/>
    <col min="5648" max="5648" width="17.140625" style="474" bestFit="1" customWidth="1"/>
    <col min="5649" max="5649" width="24.28515625" style="474" customWidth="1"/>
    <col min="5650" max="5650" width="18.28515625" style="474" bestFit="1" customWidth="1"/>
    <col min="5651" max="5651" width="18.5703125" style="474" bestFit="1" customWidth="1"/>
    <col min="5652" max="5652" width="19.28515625" style="474" bestFit="1" customWidth="1"/>
    <col min="5653" max="5653" width="20.42578125" style="474" bestFit="1" customWidth="1"/>
    <col min="5654" max="5654" width="20.85546875" style="474" bestFit="1" customWidth="1"/>
    <col min="5655" max="5655" width="21.42578125" style="474" bestFit="1" customWidth="1"/>
    <col min="5656" max="5657" width="22.28515625" style="474" bestFit="1" customWidth="1"/>
    <col min="5658" max="5659" width="23.85546875" style="474" bestFit="1" customWidth="1"/>
    <col min="5660" max="5661" width="24.85546875" style="474" bestFit="1" customWidth="1"/>
    <col min="5662" max="5666" width="11.28515625" style="474" bestFit="1" customWidth="1"/>
    <col min="5667" max="5671" width="12.28515625" style="474" bestFit="1" customWidth="1"/>
    <col min="5672" max="5672" width="12" style="474" bestFit="1" customWidth="1"/>
    <col min="5673" max="5888" width="8.85546875" style="474"/>
    <col min="5889" max="5889" width="7.28515625" style="474" customWidth="1"/>
    <col min="5890" max="5890" width="41" style="474" customWidth="1"/>
    <col min="5891" max="5891" width="16" style="474" customWidth="1"/>
    <col min="5892" max="5892" width="16.140625" style="474" bestFit="1" customWidth="1"/>
    <col min="5893" max="5893" width="11.85546875" style="474" customWidth="1"/>
    <col min="5894" max="5894" width="12.42578125" style="474" bestFit="1" customWidth="1"/>
    <col min="5895" max="5896" width="13" style="474" bestFit="1" customWidth="1"/>
    <col min="5897" max="5897" width="12.7109375" style="474" bestFit="1" customWidth="1"/>
    <col min="5898" max="5898" width="13.42578125" style="474" bestFit="1" customWidth="1"/>
    <col min="5899" max="5899" width="13.7109375" style="474" bestFit="1" customWidth="1"/>
    <col min="5900" max="5900" width="14.5703125" style="474" bestFit="1" customWidth="1"/>
    <col min="5901" max="5901" width="14.85546875" style="474" bestFit="1" customWidth="1"/>
    <col min="5902" max="5902" width="17.140625" style="474" customWidth="1"/>
    <col min="5903" max="5903" width="16.42578125" style="474" bestFit="1" customWidth="1"/>
    <col min="5904" max="5904" width="17.140625" style="474" bestFit="1" customWidth="1"/>
    <col min="5905" max="5905" width="24.28515625" style="474" customWidth="1"/>
    <col min="5906" max="5906" width="18.28515625" style="474" bestFit="1" customWidth="1"/>
    <col min="5907" max="5907" width="18.5703125" style="474" bestFit="1" customWidth="1"/>
    <col min="5908" max="5908" width="19.28515625" style="474" bestFit="1" customWidth="1"/>
    <col min="5909" max="5909" width="20.42578125" style="474" bestFit="1" customWidth="1"/>
    <col min="5910" max="5910" width="20.85546875" style="474" bestFit="1" customWidth="1"/>
    <col min="5911" max="5911" width="21.42578125" style="474" bestFit="1" customWidth="1"/>
    <col min="5912" max="5913" width="22.28515625" style="474" bestFit="1" customWidth="1"/>
    <col min="5914" max="5915" width="23.85546875" style="474" bestFit="1" customWidth="1"/>
    <col min="5916" max="5917" width="24.85546875" style="474" bestFit="1" customWidth="1"/>
    <col min="5918" max="5922" width="11.28515625" style="474" bestFit="1" customWidth="1"/>
    <col min="5923" max="5927" width="12.28515625" style="474" bestFit="1" customWidth="1"/>
    <col min="5928" max="5928" width="12" style="474" bestFit="1" customWidth="1"/>
    <col min="5929" max="6144" width="8.85546875" style="474"/>
    <col min="6145" max="6145" width="7.28515625" style="474" customWidth="1"/>
    <col min="6146" max="6146" width="41" style="474" customWidth="1"/>
    <col min="6147" max="6147" width="16" style="474" customWidth="1"/>
    <col min="6148" max="6148" width="16.140625" style="474" bestFit="1" customWidth="1"/>
    <col min="6149" max="6149" width="11.85546875" style="474" customWidth="1"/>
    <col min="6150" max="6150" width="12.42578125" style="474" bestFit="1" customWidth="1"/>
    <col min="6151" max="6152" width="13" style="474" bestFit="1" customWidth="1"/>
    <col min="6153" max="6153" width="12.7109375" style="474" bestFit="1" customWidth="1"/>
    <col min="6154" max="6154" width="13.42578125" style="474" bestFit="1" customWidth="1"/>
    <col min="6155" max="6155" width="13.7109375" style="474" bestFit="1" customWidth="1"/>
    <col min="6156" max="6156" width="14.5703125" style="474" bestFit="1" customWidth="1"/>
    <col min="6157" max="6157" width="14.85546875" style="474" bestFit="1" customWidth="1"/>
    <col min="6158" max="6158" width="17.140625" style="474" customWidth="1"/>
    <col min="6159" max="6159" width="16.42578125" style="474" bestFit="1" customWidth="1"/>
    <col min="6160" max="6160" width="17.140625" style="474" bestFit="1" customWidth="1"/>
    <col min="6161" max="6161" width="24.28515625" style="474" customWidth="1"/>
    <col min="6162" max="6162" width="18.28515625" style="474" bestFit="1" customWidth="1"/>
    <col min="6163" max="6163" width="18.5703125" style="474" bestFit="1" customWidth="1"/>
    <col min="6164" max="6164" width="19.28515625" style="474" bestFit="1" customWidth="1"/>
    <col min="6165" max="6165" width="20.42578125" style="474" bestFit="1" customWidth="1"/>
    <col min="6166" max="6166" width="20.85546875" style="474" bestFit="1" customWidth="1"/>
    <col min="6167" max="6167" width="21.42578125" style="474" bestFit="1" customWidth="1"/>
    <col min="6168" max="6169" width="22.28515625" style="474" bestFit="1" customWidth="1"/>
    <col min="6170" max="6171" width="23.85546875" style="474" bestFit="1" customWidth="1"/>
    <col min="6172" max="6173" width="24.85546875" style="474" bestFit="1" customWidth="1"/>
    <col min="6174" max="6178" width="11.28515625" style="474" bestFit="1" customWidth="1"/>
    <col min="6179" max="6183" width="12.28515625" style="474" bestFit="1" customWidth="1"/>
    <col min="6184" max="6184" width="12" style="474" bestFit="1" customWidth="1"/>
    <col min="6185" max="6400" width="8.85546875" style="474"/>
    <col min="6401" max="6401" width="7.28515625" style="474" customWidth="1"/>
    <col min="6402" max="6402" width="41" style="474" customWidth="1"/>
    <col min="6403" max="6403" width="16" style="474" customWidth="1"/>
    <col min="6404" max="6404" width="16.140625" style="474" bestFit="1" customWidth="1"/>
    <col min="6405" max="6405" width="11.85546875" style="474" customWidth="1"/>
    <col min="6406" max="6406" width="12.42578125" style="474" bestFit="1" customWidth="1"/>
    <col min="6407" max="6408" width="13" style="474" bestFit="1" customWidth="1"/>
    <col min="6409" max="6409" width="12.7109375" style="474" bestFit="1" customWidth="1"/>
    <col min="6410" max="6410" width="13.42578125" style="474" bestFit="1" customWidth="1"/>
    <col min="6411" max="6411" width="13.7109375" style="474" bestFit="1" customWidth="1"/>
    <col min="6412" max="6412" width="14.5703125" style="474" bestFit="1" customWidth="1"/>
    <col min="6413" max="6413" width="14.85546875" style="474" bestFit="1" customWidth="1"/>
    <col min="6414" max="6414" width="17.140625" style="474" customWidth="1"/>
    <col min="6415" max="6415" width="16.42578125" style="474" bestFit="1" customWidth="1"/>
    <col min="6416" max="6416" width="17.140625" style="474" bestFit="1" customWidth="1"/>
    <col min="6417" max="6417" width="24.28515625" style="474" customWidth="1"/>
    <col min="6418" max="6418" width="18.28515625" style="474" bestFit="1" customWidth="1"/>
    <col min="6419" max="6419" width="18.5703125" style="474" bestFit="1" customWidth="1"/>
    <col min="6420" max="6420" width="19.28515625" style="474" bestFit="1" customWidth="1"/>
    <col min="6421" max="6421" width="20.42578125" style="474" bestFit="1" customWidth="1"/>
    <col min="6422" max="6422" width="20.85546875" style="474" bestFit="1" customWidth="1"/>
    <col min="6423" max="6423" width="21.42578125" style="474" bestFit="1" customWidth="1"/>
    <col min="6424" max="6425" width="22.28515625" style="474" bestFit="1" customWidth="1"/>
    <col min="6426" max="6427" width="23.85546875" style="474" bestFit="1" customWidth="1"/>
    <col min="6428" max="6429" width="24.85546875" style="474" bestFit="1" customWidth="1"/>
    <col min="6430" max="6434" width="11.28515625" style="474" bestFit="1" customWidth="1"/>
    <col min="6435" max="6439" width="12.28515625" style="474" bestFit="1" customWidth="1"/>
    <col min="6440" max="6440" width="12" style="474" bestFit="1" customWidth="1"/>
    <col min="6441" max="6656" width="8.85546875" style="474"/>
    <col min="6657" max="6657" width="7.28515625" style="474" customWidth="1"/>
    <col min="6658" max="6658" width="41" style="474" customWidth="1"/>
    <col min="6659" max="6659" width="16" style="474" customWidth="1"/>
    <col min="6660" max="6660" width="16.140625" style="474" bestFit="1" customWidth="1"/>
    <col min="6661" max="6661" width="11.85546875" style="474" customWidth="1"/>
    <col min="6662" max="6662" width="12.42578125" style="474" bestFit="1" customWidth="1"/>
    <col min="6663" max="6664" width="13" style="474" bestFit="1" customWidth="1"/>
    <col min="6665" max="6665" width="12.7109375" style="474" bestFit="1" customWidth="1"/>
    <col min="6666" max="6666" width="13.42578125" style="474" bestFit="1" customWidth="1"/>
    <col min="6667" max="6667" width="13.7109375" style="474" bestFit="1" customWidth="1"/>
    <col min="6668" max="6668" width="14.5703125" style="474" bestFit="1" customWidth="1"/>
    <col min="6669" max="6669" width="14.85546875" style="474" bestFit="1" customWidth="1"/>
    <col min="6670" max="6670" width="17.140625" style="474" customWidth="1"/>
    <col min="6671" max="6671" width="16.42578125" style="474" bestFit="1" customWidth="1"/>
    <col min="6672" max="6672" width="17.140625" style="474" bestFit="1" customWidth="1"/>
    <col min="6673" max="6673" width="24.28515625" style="474" customWidth="1"/>
    <col min="6674" max="6674" width="18.28515625" style="474" bestFit="1" customWidth="1"/>
    <col min="6675" max="6675" width="18.5703125" style="474" bestFit="1" customWidth="1"/>
    <col min="6676" max="6676" width="19.28515625" style="474" bestFit="1" customWidth="1"/>
    <col min="6677" max="6677" width="20.42578125" style="474" bestFit="1" customWidth="1"/>
    <col min="6678" max="6678" width="20.85546875" style="474" bestFit="1" customWidth="1"/>
    <col min="6679" max="6679" width="21.42578125" style="474" bestFit="1" customWidth="1"/>
    <col min="6680" max="6681" width="22.28515625" style="474" bestFit="1" customWidth="1"/>
    <col min="6682" max="6683" width="23.85546875" style="474" bestFit="1" customWidth="1"/>
    <col min="6684" max="6685" width="24.85546875" style="474" bestFit="1" customWidth="1"/>
    <col min="6686" max="6690" width="11.28515625" style="474" bestFit="1" customWidth="1"/>
    <col min="6691" max="6695" width="12.28515625" style="474" bestFit="1" customWidth="1"/>
    <col min="6696" max="6696" width="12" style="474" bestFit="1" customWidth="1"/>
    <col min="6697" max="6912" width="8.85546875" style="474"/>
    <col min="6913" max="6913" width="7.28515625" style="474" customWidth="1"/>
    <col min="6914" max="6914" width="41" style="474" customWidth="1"/>
    <col min="6915" max="6915" width="16" style="474" customWidth="1"/>
    <col min="6916" max="6916" width="16.140625" style="474" bestFit="1" customWidth="1"/>
    <col min="6917" max="6917" width="11.85546875" style="474" customWidth="1"/>
    <col min="6918" max="6918" width="12.42578125" style="474" bestFit="1" customWidth="1"/>
    <col min="6919" max="6920" width="13" style="474" bestFit="1" customWidth="1"/>
    <col min="6921" max="6921" width="12.7109375" style="474" bestFit="1" customWidth="1"/>
    <col min="6922" max="6922" width="13.42578125" style="474" bestFit="1" customWidth="1"/>
    <col min="6923" max="6923" width="13.7109375" style="474" bestFit="1" customWidth="1"/>
    <col min="6924" max="6924" width="14.5703125" style="474" bestFit="1" customWidth="1"/>
    <col min="6925" max="6925" width="14.85546875" style="474" bestFit="1" customWidth="1"/>
    <col min="6926" max="6926" width="17.140625" style="474" customWidth="1"/>
    <col min="6927" max="6927" width="16.42578125" style="474" bestFit="1" customWidth="1"/>
    <col min="6928" max="6928" width="17.140625" style="474" bestFit="1" customWidth="1"/>
    <col min="6929" max="6929" width="24.28515625" style="474" customWidth="1"/>
    <col min="6930" max="6930" width="18.28515625" style="474" bestFit="1" customWidth="1"/>
    <col min="6931" max="6931" width="18.5703125" style="474" bestFit="1" customWidth="1"/>
    <col min="6932" max="6932" width="19.28515625" style="474" bestFit="1" customWidth="1"/>
    <col min="6933" max="6933" width="20.42578125" style="474" bestFit="1" customWidth="1"/>
    <col min="6934" max="6934" width="20.85546875" style="474" bestFit="1" customWidth="1"/>
    <col min="6935" max="6935" width="21.42578125" style="474" bestFit="1" customWidth="1"/>
    <col min="6936" max="6937" width="22.28515625" style="474" bestFit="1" customWidth="1"/>
    <col min="6938" max="6939" width="23.85546875" style="474" bestFit="1" customWidth="1"/>
    <col min="6940" max="6941" width="24.85546875" style="474" bestFit="1" customWidth="1"/>
    <col min="6942" max="6946" width="11.28515625" style="474" bestFit="1" customWidth="1"/>
    <col min="6947" max="6951" width="12.28515625" style="474" bestFit="1" customWidth="1"/>
    <col min="6952" max="6952" width="12" style="474" bestFit="1" customWidth="1"/>
    <col min="6953" max="7168" width="8.85546875" style="474"/>
    <col min="7169" max="7169" width="7.28515625" style="474" customWidth="1"/>
    <col min="7170" max="7170" width="41" style="474" customWidth="1"/>
    <col min="7171" max="7171" width="16" style="474" customWidth="1"/>
    <col min="7172" max="7172" width="16.140625" style="474" bestFit="1" customWidth="1"/>
    <col min="7173" max="7173" width="11.85546875" style="474" customWidth="1"/>
    <col min="7174" max="7174" width="12.42578125" style="474" bestFit="1" customWidth="1"/>
    <col min="7175" max="7176" width="13" style="474" bestFit="1" customWidth="1"/>
    <col min="7177" max="7177" width="12.7109375" style="474" bestFit="1" customWidth="1"/>
    <col min="7178" max="7178" width="13.42578125" style="474" bestFit="1" customWidth="1"/>
    <col min="7179" max="7179" width="13.7109375" style="474" bestFit="1" customWidth="1"/>
    <col min="7180" max="7180" width="14.5703125" style="474" bestFit="1" customWidth="1"/>
    <col min="7181" max="7181" width="14.85546875" style="474" bestFit="1" customWidth="1"/>
    <col min="7182" max="7182" width="17.140625" style="474" customWidth="1"/>
    <col min="7183" max="7183" width="16.42578125" style="474" bestFit="1" customWidth="1"/>
    <col min="7184" max="7184" width="17.140625" style="474" bestFit="1" customWidth="1"/>
    <col min="7185" max="7185" width="24.28515625" style="474" customWidth="1"/>
    <col min="7186" max="7186" width="18.28515625" style="474" bestFit="1" customWidth="1"/>
    <col min="7187" max="7187" width="18.5703125" style="474" bestFit="1" customWidth="1"/>
    <col min="7188" max="7188" width="19.28515625" style="474" bestFit="1" customWidth="1"/>
    <col min="7189" max="7189" width="20.42578125" style="474" bestFit="1" customWidth="1"/>
    <col min="7190" max="7190" width="20.85546875" style="474" bestFit="1" customWidth="1"/>
    <col min="7191" max="7191" width="21.42578125" style="474" bestFit="1" customWidth="1"/>
    <col min="7192" max="7193" width="22.28515625" style="474" bestFit="1" customWidth="1"/>
    <col min="7194" max="7195" width="23.85546875" style="474" bestFit="1" customWidth="1"/>
    <col min="7196" max="7197" width="24.85546875" style="474" bestFit="1" customWidth="1"/>
    <col min="7198" max="7202" width="11.28515625" style="474" bestFit="1" customWidth="1"/>
    <col min="7203" max="7207" width="12.28515625" style="474" bestFit="1" customWidth="1"/>
    <col min="7208" max="7208" width="12" style="474" bestFit="1" customWidth="1"/>
    <col min="7209" max="7424" width="8.85546875" style="474"/>
    <col min="7425" max="7425" width="7.28515625" style="474" customWidth="1"/>
    <col min="7426" max="7426" width="41" style="474" customWidth="1"/>
    <col min="7427" max="7427" width="16" style="474" customWidth="1"/>
    <col min="7428" max="7428" width="16.140625" style="474" bestFit="1" customWidth="1"/>
    <col min="7429" max="7429" width="11.85546875" style="474" customWidth="1"/>
    <col min="7430" max="7430" width="12.42578125" style="474" bestFit="1" customWidth="1"/>
    <col min="7431" max="7432" width="13" style="474" bestFit="1" customWidth="1"/>
    <col min="7433" max="7433" width="12.7109375" style="474" bestFit="1" customWidth="1"/>
    <col min="7434" max="7434" width="13.42578125" style="474" bestFit="1" customWidth="1"/>
    <col min="7435" max="7435" width="13.7109375" style="474" bestFit="1" customWidth="1"/>
    <col min="7436" max="7436" width="14.5703125" style="474" bestFit="1" customWidth="1"/>
    <col min="7437" max="7437" width="14.85546875" style="474" bestFit="1" customWidth="1"/>
    <col min="7438" max="7438" width="17.140625" style="474" customWidth="1"/>
    <col min="7439" max="7439" width="16.42578125" style="474" bestFit="1" customWidth="1"/>
    <col min="7440" max="7440" width="17.140625" style="474" bestFit="1" customWidth="1"/>
    <col min="7441" max="7441" width="24.28515625" style="474" customWidth="1"/>
    <col min="7442" max="7442" width="18.28515625" style="474" bestFit="1" customWidth="1"/>
    <col min="7443" max="7443" width="18.5703125" style="474" bestFit="1" customWidth="1"/>
    <col min="7444" max="7444" width="19.28515625" style="474" bestFit="1" customWidth="1"/>
    <col min="7445" max="7445" width="20.42578125" style="474" bestFit="1" customWidth="1"/>
    <col min="7446" max="7446" width="20.85546875" style="474" bestFit="1" customWidth="1"/>
    <col min="7447" max="7447" width="21.42578125" style="474" bestFit="1" customWidth="1"/>
    <col min="7448" max="7449" width="22.28515625" style="474" bestFit="1" customWidth="1"/>
    <col min="7450" max="7451" width="23.85546875" style="474" bestFit="1" customWidth="1"/>
    <col min="7452" max="7453" width="24.85546875" style="474" bestFit="1" customWidth="1"/>
    <col min="7454" max="7458" width="11.28515625" style="474" bestFit="1" customWidth="1"/>
    <col min="7459" max="7463" width="12.28515625" style="474" bestFit="1" customWidth="1"/>
    <col min="7464" max="7464" width="12" style="474" bestFit="1" customWidth="1"/>
    <col min="7465" max="7680" width="8.85546875" style="474"/>
    <col min="7681" max="7681" width="7.28515625" style="474" customWidth="1"/>
    <col min="7682" max="7682" width="41" style="474" customWidth="1"/>
    <col min="7683" max="7683" width="16" style="474" customWidth="1"/>
    <col min="7684" max="7684" width="16.140625" style="474" bestFit="1" customWidth="1"/>
    <col min="7685" max="7685" width="11.85546875" style="474" customWidth="1"/>
    <col min="7686" max="7686" width="12.42578125" style="474" bestFit="1" customWidth="1"/>
    <col min="7687" max="7688" width="13" style="474" bestFit="1" customWidth="1"/>
    <col min="7689" max="7689" width="12.7109375" style="474" bestFit="1" customWidth="1"/>
    <col min="7690" max="7690" width="13.42578125" style="474" bestFit="1" customWidth="1"/>
    <col min="7691" max="7691" width="13.7109375" style="474" bestFit="1" customWidth="1"/>
    <col min="7692" max="7692" width="14.5703125" style="474" bestFit="1" customWidth="1"/>
    <col min="7693" max="7693" width="14.85546875" style="474" bestFit="1" customWidth="1"/>
    <col min="7694" max="7694" width="17.140625" style="474" customWidth="1"/>
    <col min="7695" max="7695" width="16.42578125" style="474" bestFit="1" customWidth="1"/>
    <col min="7696" max="7696" width="17.140625" style="474" bestFit="1" customWidth="1"/>
    <col min="7697" max="7697" width="24.28515625" style="474" customWidth="1"/>
    <col min="7698" max="7698" width="18.28515625" style="474" bestFit="1" customWidth="1"/>
    <col min="7699" max="7699" width="18.5703125" style="474" bestFit="1" customWidth="1"/>
    <col min="7700" max="7700" width="19.28515625" style="474" bestFit="1" customWidth="1"/>
    <col min="7701" max="7701" width="20.42578125" style="474" bestFit="1" customWidth="1"/>
    <col min="7702" max="7702" width="20.85546875" style="474" bestFit="1" customWidth="1"/>
    <col min="7703" max="7703" width="21.42578125" style="474" bestFit="1" customWidth="1"/>
    <col min="7704" max="7705" width="22.28515625" style="474" bestFit="1" customWidth="1"/>
    <col min="7706" max="7707" width="23.85546875" style="474" bestFit="1" customWidth="1"/>
    <col min="7708" max="7709" width="24.85546875" style="474" bestFit="1" customWidth="1"/>
    <col min="7710" max="7714" width="11.28515625" style="474" bestFit="1" customWidth="1"/>
    <col min="7715" max="7719" width="12.28515625" style="474" bestFit="1" customWidth="1"/>
    <col min="7720" max="7720" width="12" style="474" bestFit="1" customWidth="1"/>
    <col min="7721" max="7936" width="8.85546875" style="474"/>
    <col min="7937" max="7937" width="7.28515625" style="474" customWidth="1"/>
    <col min="7938" max="7938" width="41" style="474" customWidth="1"/>
    <col min="7939" max="7939" width="16" style="474" customWidth="1"/>
    <col min="7940" max="7940" width="16.140625" style="474" bestFit="1" customWidth="1"/>
    <col min="7941" max="7941" width="11.85546875" style="474" customWidth="1"/>
    <col min="7942" max="7942" width="12.42578125" style="474" bestFit="1" customWidth="1"/>
    <col min="7943" max="7944" width="13" style="474" bestFit="1" customWidth="1"/>
    <col min="7945" max="7945" width="12.7109375" style="474" bestFit="1" customWidth="1"/>
    <col min="7946" max="7946" width="13.42578125" style="474" bestFit="1" customWidth="1"/>
    <col min="7947" max="7947" width="13.7109375" style="474" bestFit="1" customWidth="1"/>
    <col min="7948" max="7948" width="14.5703125" style="474" bestFit="1" customWidth="1"/>
    <col min="7949" max="7949" width="14.85546875" style="474" bestFit="1" customWidth="1"/>
    <col min="7950" max="7950" width="17.140625" style="474" customWidth="1"/>
    <col min="7951" max="7951" width="16.42578125" style="474" bestFit="1" customWidth="1"/>
    <col min="7952" max="7952" width="17.140625" style="474" bestFit="1" customWidth="1"/>
    <col min="7953" max="7953" width="24.28515625" style="474" customWidth="1"/>
    <col min="7954" max="7954" width="18.28515625" style="474" bestFit="1" customWidth="1"/>
    <col min="7955" max="7955" width="18.5703125" style="474" bestFit="1" customWidth="1"/>
    <col min="7956" max="7956" width="19.28515625" style="474" bestFit="1" customWidth="1"/>
    <col min="7957" max="7957" width="20.42578125" style="474" bestFit="1" customWidth="1"/>
    <col min="7958" max="7958" width="20.85546875" style="474" bestFit="1" customWidth="1"/>
    <col min="7959" max="7959" width="21.42578125" style="474" bestFit="1" customWidth="1"/>
    <col min="7960" max="7961" width="22.28515625" style="474" bestFit="1" customWidth="1"/>
    <col min="7962" max="7963" width="23.85546875" style="474" bestFit="1" customWidth="1"/>
    <col min="7964" max="7965" width="24.85546875" style="474" bestFit="1" customWidth="1"/>
    <col min="7966" max="7970" width="11.28515625" style="474" bestFit="1" customWidth="1"/>
    <col min="7971" max="7975" width="12.28515625" style="474" bestFit="1" customWidth="1"/>
    <col min="7976" max="7976" width="12" style="474" bestFit="1" customWidth="1"/>
    <col min="7977" max="8192" width="8.85546875" style="474"/>
    <col min="8193" max="8193" width="7.28515625" style="474" customWidth="1"/>
    <col min="8194" max="8194" width="41" style="474" customWidth="1"/>
    <col min="8195" max="8195" width="16" style="474" customWidth="1"/>
    <col min="8196" max="8196" width="16.140625" style="474" bestFit="1" customWidth="1"/>
    <col min="8197" max="8197" width="11.85546875" style="474" customWidth="1"/>
    <col min="8198" max="8198" width="12.42578125" style="474" bestFit="1" customWidth="1"/>
    <col min="8199" max="8200" width="13" style="474" bestFit="1" customWidth="1"/>
    <col min="8201" max="8201" width="12.7109375" style="474" bestFit="1" customWidth="1"/>
    <col min="8202" max="8202" width="13.42578125" style="474" bestFit="1" customWidth="1"/>
    <col min="8203" max="8203" width="13.7109375" style="474" bestFit="1" customWidth="1"/>
    <col min="8204" max="8204" width="14.5703125" style="474" bestFit="1" customWidth="1"/>
    <col min="8205" max="8205" width="14.85546875" style="474" bestFit="1" customWidth="1"/>
    <col min="8206" max="8206" width="17.140625" style="474" customWidth="1"/>
    <col min="8207" max="8207" width="16.42578125" style="474" bestFit="1" customWidth="1"/>
    <col min="8208" max="8208" width="17.140625" style="474" bestFit="1" customWidth="1"/>
    <col min="8209" max="8209" width="24.28515625" style="474" customWidth="1"/>
    <col min="8210" max="8210" width="18.28515625" style="474" bestFit="1" customWidth="1"/>
    <col min="8211" max="8211" width="18.5703125" style="474" bestFit="1" customWidth="1"/>
    <col min="8212" max="8212" width="19.28515625" style="474" bestFit="1" customWidth="1"/>
    <col min="8213" max="8213" width="20.42578125" style="474" bestFit="1" customWidth="1"/>
    <col min="8214" max="8214" width="20.85546875" style="474" bestFit="1" customWidth="1"/>
    <col min="8215" max="8215" width="21.42578125" style="474" bestFit="1" customWidth="1"/>
    <col min="8216" max="8217" width="22.28515625" style="474" bestFit="1" customWidth="1"/>
    <col min="8218" max="8219" width="23.85546875" style="474" bestFit="1" customWidth="1"/>
    <col min="8220" max="8221" width="24.85546875" style="474" bestFit="1" customWidth="1"/>
    <col min="8222" max="8226" width="11.28515625" style="474" bestFit="1" customWidth="1"/>
    <col min="8227" max="8231" width="12.28515625" style="474" bestFit="1" customWidth="1"/>
    <col min="8232" max="8232" width="12" style="474" bestFit="1" customWidth="1"/>
    <col min="8233" max="8448" width="8.85546875" style="474"/>
    <col min="8449" max="8449" width="7.28515625" style="474" customWidth="1"/>
    <col min="8450" max="8450" width="41" style="474" customWidth="1"/>
    <col min="8451" max="8451" width="16" style="474" customWidth="1"/>
    <col min="8452" max="8452" width="16.140625" style="474" bestFit="1" customWidth="1"/>
    <col min="8453" max="8453" width="11.85546875" style="474" customWidth="1"/>
    <col min="8454" max="8454" width="12.42578125" style="474" bestFit="1" customWidth="1"/>
    <col min="8455" max="8456" width="13" style="474" bestFit="1" customWidth="1"/>
    <col min="8457" max="8457" width="12.7109375" style="474" bestFit="1" customWidth="1"/>
    <col min="8458" max="8458" width="13.42578125" style="474" bestFit="1" customWidth="1"/>
    <col min="8459" max="8459" width="13.7109375" style="474" bestFit="1" customWidth="1"/>
    <col min="8460" max="8460" width="14.5703125" style="474" bestFit="1" customWidth="1"/>
    <col min="8461" max="8461" width="14.85546875" style="474" bestFit="1" customWidth="1"/>
    <col min="8462" max="8462" width="17.140625" style="474" customWidth="1"/>
    <col min="8463" max="8463" width="16.42578125" style="474" bestFit="1" customWidth="1"/>
    <col min="8464" max="8464" width="17.140625" style="474" bestFit="1" customWidth="1"/>
    <col min="8465" max="8465" width="24.28515625" style="474" customWidth="1"/>
    <col min="8466" max="8466" width="18.28515625" style="474" bestFit="1" customWidth="1"/>
    <col min="8467" max="8467" width="18.5703125" style="474" bestFit="1" customWidth="1"/>
    <col min="8468" max="8468" width="19.28515625" style="474" bestFit="1" customWidth="1"/>
    <col min="8469" max="8469" width="20.42578125" style="474" bestFit="1" customWidth="1"/>
    <col min="8470" max="8470" width="20.85546875" style="474" bestFit="1" customWidth="1"/>
    <col min="8471" max="8471" width="21.42578125" style="474" bestFit="1" customWidth="1"/>
    <col min="8472" max="8473" width="22.28515625" style="474" bestFit="1" customWidth="1"/>
    <col min="8474" max="8475" width="23.85546875" style="474" bestFit="1" customWidth="1"/>
    <col min="8476" max="8477" width="24.85546875" style="474" bestFit="1" customWidth="1"/>
    <col min="8478" max="8482" width="11.28515625" style="474" bestFit="1" customWidth="1"/>
    <col min="8483" max="8487" width="12.28515625" style="474" bestFit="1" customWidth="1"/>
    <col min="8488" max="8488" width="12" style="474" bestFit="1" customWidth="1"/>
    <col min="8489" max="8704" width="8.85546875" style="474"/>
    <col min="8705" max="8705" width="7.28515625" style="474" customWidth="1"/>
    <col min="8706" max="8706" width="41" style="474" customWidth="1"/>
    <col min="8707" max="8707" width="16" style="474" customWidth="1"/>
    <col min="8708" max="8708" width="16.140625" style="474" bestFit="1" customWidth="1"/>
    <col min="8709" max="8709" width="11.85546875" style="474" customWidth="1"/>
    <col min="8710" max="8710" width="12.42578125" style="474" bestFit="1" customWidth="1"/>
    <col min="8711" max="8712" width="13" style="474" bestFit="1" customWidth="1"/>
    <col min="8713" max="8713" width="12.7109375" style="474" bestFit="1" customWidth="1"/>
    <col min="8714" max="8714" width="13.42578125" style="474" bestFit="1" customWidth="1"/>
    <col min="8715" max="8715" width="13.7109375" style="474" bestFit="1" customWidth="1"/>
    <col min="8716" max="8716" width="14.5703125" style="474" bestFit="1" customWidth="1"/>
    <col min="8717" max="8717" width="14.85546875" style="474" bestFit="1" customWidth="1"/>
    <col min="8718" max="8718" width="17.140625" style="474" customWidth="1"/>
    <col min="8719" max="8719" width="16.42578125" style="474" bestFit="1" customWidth="1"/>
    <col min="8720" max="8720" width="17.140625" style="474" bestFit="1" customWidth="1"/>
    <col min="8721" max="8721" width="24.28515625" style="474" customWidth="1"/>
    <col min="8722" max="8722" width="18.28515625" style="474" bestFit="1" customWidth="1"/>
    <col min="8723" max="8723" width="18.5703125" style="474" bestFit="1" customWidth="1"/>
    <col min="8724" max="8724" width="19.28515625" style="474" bestFit="1" customWidth="1"/>
    <col min="8725" max="8725" width="20.42578125" style="474" bestFit="1" customWidth="1"/>
    <col min="8726" max="8726" width="20.85546875" style="474" bestFit="1" customWidth="1"/>
    <col min="8727" max="8727" width="21.42578125" style="474" bestFit="1" customWidth="1"/>
    <col min="8728" max="8729" width="22.28515625" style="474" bestFit="1" customWidth="1"/>
    <col min="8730" max="8731" width="23.85546875" style="474" bestFit="1" customWidth="1"/>
    <col min="8732" max="8733" width="24.85546875" style="474" bestFit="1" customWidth="1"/>
    <col min="8734" max="8738" width="11.28515625" style="474" bestFit="1" customWidth="1"/>
    <col min="8739" max="8743" width="12.28515625" style="474" bestFit="1" customWidth="1"/>
    <col min="8744" max="8744" width="12" style="474" bestFit="1" customWidth="1"/>
    <col min="8745" max="8960" width="8.85546875" style="474"/>
    <col min="8961" max="8961" width="7.28515625" style="474" customWidth="1"/>
    <col min="8962" max="8962" width="41" style="474" customWidth="1"/>
    <col min="8963" max="8963" width="16" style="474" customWidth="1"/>
    <col min="8964" max="8964" width="16.140625" style="474" bestFit="1" customWidth="1"/>
    <col min="8965" max="8965" width="11.85546875" style="474" customWidth="1"/>
    <col min="8966" max="8966" width="12.42578125" style="474" bestFit="1" customWidth="1"/>
    <col min="8967" max="8968" width="13" style="474" bestFit="1" customWidth="1"/>
    <col min="8969" max="8969" width="12.7109375" style="474" bestFit="1" customWidth="1"/>
    <col min="8970" max="8970" width="13.42578125" style="474" bestFit="1" customWidth="1"/>
    <col min="8971" max="8971" width="13.7109375" style="474" bestFit="1" customWidth="1"/>
    <col min="8972" max="8972" width="14.5703125" style="474" bestFit="1" customWidth="1"/>
    <col min="8973" max="8973" width="14.85546875" style="474" bestFit="1" customWidth="1"/>
    <col min="8974" max="8974" width="17.140625" style="474" customWidth="1"/>
    <col min="8975" max="8975" width="16.42578125" style="474" bestFit="1" customWidth="1"/>
    <col min="8976" max="8976" width="17.140625" style="474" bestFit="1" customWidth="1"/>
    <col min="8977" max="8977" width="24.28515625" style="474" customWidth="1"/>
    <col min="8978" max="8978" width="18.28515625" style="474" bestFit="1" customWidth="1"/>
    <col min="8979" max="8979" width="18.5703125" style="474" bestFit="1" customWidth="1"/>
    <col min="8980" max="8980" width="19.28515625" style="474" bestFit="1" customWidth="1"/>
    <col min="8981" max="8981" width="20.42578125" style="474" bestFit="1" customWidth="1"/>
    <col min="8982" max="8982" width="20.85546875" style="474" bestFit="1" customWidth="1"/>
    <col min="8983" max="8983" width="21.42578125" style="474" bestFit="1" customWidth="1"/>
    <col min="8984" max="8985" width="22.28515625" style="474" bestFit="1" customWidth="1"/>
    <col min="8986" max="8987" width="23.85546875" style="474" bestFit="1" customWidth="1"/>
    <col min="8988" max="8989" width="24.85546875" style="474" bestFit="1" customWidth="1"/>
    <col min="8990" max="8994" width="11.28515625" style="474" bestFit="1" customWidth="1"/>
    <col min="8995" max="8999" width="12.28515625" style="474" bestFit="1" customWidth="1"/>
    <col min="9000" max="9000" width="12" style="474" bestFit="1" customWidth="1"/>
    <col min="9001" max="9216" width="8.85546875" style="474"/>
    <col min="9217" max="9217" width="7.28515625" style="474" customWidth="1"/>
    <col min="9218" max="9218" width="41" style="474" customWidth="1"/>
    <col min="9219" max="9219" width="16" style="474" customWidth="1"/>
    <col min="9220" max="9220" width="16.140625" style="474" bestFit="1" customWidth="1"/>
    <col min="9221" max="9221" width="11.85546875" style="474" customWidth="1"/>
    <col min="9222" max="9222" width="12.42578125" style="474" bestFit="1" customWidth="1"/>
    <col min="9223" max="9224" width="13" style="474" bestFit="1" customWidth="1"/>
    <col min="9225" max="9225" width="12.7109375" style="474" bestFit="1" customWidth="1"/>
    <col min="9226" max="9226" width="13.42578125" style="474" bestFit="1" customWidth="1"/>
    <col min="9227" max="9227" width="13.7109375" style="474" bestFit="1" customWidth="1"/>
    <col min="9228" max="9228" width="14.5703125" style="474" bestFit="1" customWidth="1"/>
    <col min="9229" max="9229" width="14.85546875" style="474" bestFit="1" customWidth="1"/>
    <col min="9230" max="9230" width="17.140625" style="474" customWidth="1"/>
    <col min="9231" max="9231" width="16.42578125" style="474" bestFit="1" customWidth="1"/>
    <col min="9232" max="9232" width="17.140625" style="474" bestFit="1" customWidth="1"/>
    <col min="9233" max="9233" width="24.28515625" style="474" customWidth="1"/>
    <col min="9234" max="9234" width="18.28515625" style="474" bestFit="1" customWidth="1"/>
    <col min="9235" max="9235" width="18.5703125" style="474" bestFit="1" customWidth="1"/>
    <col min="9236" max="9236" width="19.28515625" style="474" bestFit="1" customWidth="1"/>
    <col min="9237" max="9237" width="20.42578125" style="474" bestFit="1" customWidth="1"/>
    <col min="9238" max="9238" width="20.85546875" style="474" bestFit="1" customWidth="1"/>
    <col min="9239" max="9239" width="21.42578125" style="474" bestFit="1" customWidth="1"/>
    <col min="9240" max="9241" width="22.28515625" style="474" bestFit="1" customWidth="1"/>
    <col min="9242" max="9243" width="23.85546875" style="474" bestFit="1" customWidth="1"/>
    <col min="9244" max="9245" width="24.85546875" style="474" bestFit="1" customWidth="1"/>
    <col min="9246" max="9250" width="11.28515625" style="474" bestFit="1" customWidth="1"/>
    <col min="9251" max="9255" width="12.28515625" style="474" bestFit="1" customWidth="1"/>
    <col min="9256" max="9256" width="12" style="474" bestFit="1" customWidth="1"/>
    <col min="9257" max="9472" width="8.85546875" style="474"/>
    <col min="9473" max="9473" width="7.28515625" style="474" customWidth="1"/>
    <col min="9474" max="9474" width="41" style="474" customWidth="1"/>
    <col min="9475" max="9475" width="16" style="474" customWidth="1"/>
    <col min="9476" max="9476" width="16.140625" style="474" bestFit="1" customWidth="1"/>
    <col min="9477" max="9477" width="11.85546875" style="474" customWidth="1"/>
    <col min="9478" max="9478" width="12.42578125" style="474" bestFit="1" customWidth="1"/>
    <col min="9479" max="9480" width="13" style="474" bestFit="1" customWidth="1"/>
    <col min="9481" max="9481" width="12.7109375" style="474" bestFit="1" customWidth="1"/>
    <col min="9482" max="9482" width="13.42578125" style="474" bestFit="1" customWidth="1"/>
    <col min="9483" max="9483" width="13.7109375" style="474" bestFit="1" customWidth="1"/>
    <col min="9484" max="9484" width="14.5703125" style="474" bestFit="1" customWidth="1"/>
    <col min="9485" max="9485" width="14.85546875" style="474" bestFit="1" customWidth="1"/>
    <col min="9486" max="9486" width="17.140625" style="474" customWidth="1"/>
    <col min="9487" max="9487" width="16.42578125" style="474" bestFit="1" customWidth="1"/>
    <col min="9488" max="9488" width="17.140625" style="474" bestFit="1" customWidth="1"/>
    <col min="9489" max="9489" width="24.28515625" style="474" customWidth="1"/>
    <col min="9490" max="9490" width="18.28515625" style="474" bestFit="1" customWidth="1"/>
    <col min="9491" max="9491" width="18.5703125" style="474" bestFit="1" customWidth="1"/>
    <col min="9492" max="9492" width="19.28515625" style="474" bestFit="1" customWidth="1"/>
    <col min="9493" max="9493" width="20.42578125" style="474" bestFit="1" customWidth="1"/>
    <col min="9494" max="9494" width="20.85546875" style="474" bestFit="1" customWidth="1"/>
    <col min="9495" max="9495" width="21.42578125" style="474" bestFit="1" customWidth="1"/>
    <col min="9496" max="9497" width="22.28515625" style="474" bestFit="1" customWidth="1"/>
    <col min="9498" max="9499" width="23.85546875" style="474" bestFit="1" customWidth="1"/>
    <col min="9500" max="9501" width="24.85546875" style="474" bestFit="1" customWidth="1"/>
    <col min="9502" max="9506" width="11.28515625" style="474" bestFit="1" customWidth="1"/>
    <col min="9507" max="9511" width="12.28515625" style="474" bestFit="1" customWidth="1"/>
    <col min="9512" max="9512" width="12" style="474" bestFit="1" customWidth="1"/>
    <col min="9513" max="9728" width="8.85546875" style="474"/>
    <col min="9729" max="9729" width="7.28515625" style="474" customWidth="1"/>
    <col min="9730" max="9730" width="41" style="474" customWidth="1"/>
    <col min="9731" max="9731" width="16" style="474" customWidth="1"/>
    <col min="9732" max="9732" width="16.140625" style="474" bestFit="1" customWidth="1"/>
    <col min="9733" max="9733" width="11.85546875" style="474" customWidth="1"/>
    <col min="9734" max="9734" width="12.42578125" style="474" bestFit="1" customWidth="1"/>
    <col min="9735" max="9736" width="13" style="474" bestFit="1" customWidth="1"/>
    <col min="9737" max="9737" width="12.7109375" style="474" bestFit="1" customWidth="1"/>
    <col min="9738" max="9738" width="13.42578125" style="474" bestFit="1" customWidth="1"/>
    <col min="9739" max="9739" width="13.7109375" style="474" bestFit="1" customWidth="1"/>
    <col min="9740" max="9740" width="14.5703125" style="474" bestFit="1" customWidth="1"/>
    <col min="9741" max="9741" width="14.85546875" style="474" bestFit="1" customWidth="1"/>
    <col min="9742" max="9742" width="17.140625" style="474" customWidth="1"/>
    <col min="9743" max="9743" width="16.42578125" style="474" bestFit="1" customWidth="1"/>
    <col min="9744" max="9744" width="17.140625" style="474" bestFit="1" customWidth="1"/>
    <col min="9745" max="9745" width="24.28515625" style="474" customWidth="1"/>
    <col min="9746" max="9746" width="18.28515625" style="474" bestFit="1" customWidth="1"/>
    <col min="9747" max="9747" width="18.5703125" style="474" bestFit="1" customWidth="1"/>
    <col min="9748" max="9748" width="19.28515625" style="474" bestFit="1" customWidth="1"/>
    <col min="9749" max="9749" width="20.42578125" style="474" bestFit="1" customWidth="1"/>
    <col min="9750" max="9750" width="20.85546875" style="474" bestFit="1" customWidth="1"/>
    <col min="9751" max="9751" width="21.42578125" style="474" bestFit="1" customWidth="1"/>
    <col min="9752" max="9753" width="22.28515625" style="474" bestFit="1" customWidth="1"/>
    <col min="9754" max="9755" width="23.85546875" style="474" bestFit="1" customWidth="1"/>
    <col min="9756" max="9757" width="24.85546875" style="474" bestFit="1" customWidth="1"/>
    <col min="9758" max="9762" width="11.28515625" style="474" bestFit="1" customWidth="1"/>
    <col min="9763" max="9767" width="12.28515625" style="474" bestFit="1" customWidth="1"/>
    <col min="9768" max="9768" width="12" style="474" bestFit="1" customWidth="1"/>
    <col min="9769" max="9984" width="8.85546875" style="474"/>
    <col min="9985" max="9985" width="7.28515625" style="474" customWidth="1"/>
    <col min="9986" max="9986" width="41" style="474" customWidth="1"/>
    <col min="9987" max="9987" width="16" style="474" customWidth="1"/>
    <col min="9988" max="9988" width="16.140625" style="474" bestFit="1" customWidth="1"/>
    <col min="9989" max="9989" width="11.85546875" style="474" customWidth="1"/>
    <col min="9990" max="9990" width="12.42578125" style="474" bestFit="1" customWidth="1"/>
    <col min="9991" max="9992" width="13" style="474" bestFit="1" customWidth="1"/>
    <col min="9993" max="9993" width="12.7109375" style="474" bestFit="1" customWidth="1"/>
    <col min="9994" max="9994" width="13.42578125" style="474" bestFit="1" customWidth="1"/>
    <col min="9995" max="9995" width="13.7109375" style="474" bestFit="1" customWidth="1"/>
    <col min="9996" max="9996" width="14.5703125" style="474" bestFit="1" customWidth="1"/>
    <col min="9997" max="9997" width="14.85546875" style="474" bestFit="1" customWidth="1"/>
    <col min="9998" max="9998" width="17.140625" style="474" customWidth="1"/>
    <col min="9999" max="9999" width="16.42578125" style="474" bestFit="1" customWidth="1"/>
    <col min="10000" max="10000" width="17.140625" style="474" bestFit="1" customWidth="1"/>
    <col min="10001" max="10001" width="24.28515625" style="474" customWidth="1"/>
    <col min="10002" max="10002" width="18.28515625" style="474" bestFit="1" customWidth="1"/>
    <col min="10003" max="10003" width="18.5703125" style="474" bestFit="1" customWidth="1"/>
    <col min="10004" max="10004" width="19.28515625" style="474" bestFit="1" customWidth="1"/>
    <col min="10005" max="10005" width="20.42578125" style="474" bestFit="1" customWidth="1"/>
    <col min="10006" max="10006" width="20.85546875" style="474" bestFit="1" customWidth="1"/>
    <col min="10007" max="10007" width="21.42578125" style="474" bestFit="1" customWidth="1"/>
    <col min="10008" max="10009" width="22.28515625" style="474" bestFit="1" customWidth="1"/>
    <col min="10010" max="10011" width="23.85546875" style="474" bestFit="1" customWidth="1"/>
    <col min="10012" max="10013" width="24.85546875" style="474" bestFit="1" customWidth="1"/>
    <col min="10014" max="10018" width="11.28515625" style="474" bestFit="1" customWidth="1"/>
    <col min="10019" max="10023" width="12.28515625" style="474" bestFit="1" customWidth="1"/>
    <col min="10024" max="10024" width="12" style="474" bestFit="1" customWidth="1"/>
    <col min="10025" max="10240" width="8.85546875" style="474"/>
    <col min="10241" max="10241" width="7.28515625" style="474" customWidth="1"/>
    <col min="10242" max="10242" width="41" style="474" customWidth="1"/>
    <col min="10243" max="10243" width="16" style="474" customWidth="1"/>
    <col min="10244" max="10244" width="16.140625" style="474" bestFit="1" customWidth="1"/>
    <col min="10245" max="10245" width="11.85546875" style="474" customWidth="1"/>
    <col min="10246" max="10246" width="12.42578125" style="474" bestFit="1" customWidth="1"/>
    <col min="10247" max="10248" width="13" style="474" bestFit="1" customWidth="1"/>
    <col min="10249" max="10249" width="12.7109375" style="474" bestFit="1" customWidth="1"/>
    <col min="10250" max="10250" width="13.42578125" style="474" bestFit="1" customWidth="1"/>
    <col min="10251" max="10251" width="13.7109375" style="474" bestFit="1" customWidth="1"/>
    <col min="10252" max="10252" width="14.5703125" style="474" bestFit="1" customWidth="1"/>
    <col min="10253" max="10253" width="14.85546875" style="474" bestFit="1" customWidth="1"/>
    <col min="10254" max="10254" width="17.140625" style="474" customWidth="1"/>
    <col min="10255" max="10255" width="16.42578125" style="474" bestFit="1" customWidth="1"/>
    <col min="10256" max="10256" width="17.140625" style="474" bestFit="1" customWidth="1"/>
    <col min="10257" max="10257" width="24.28515625" style="474" customWidth="1"/>
    <col min="10258" max="10258" width="18.28515625" style="474" bestFit="1" customWidth="1"/>
    <col min="10259" max="10259" width="18.5703125" style="474" bestFit="1" customWidth="1"/>
    <col min="10260" max="10260" width="19.28515625" style="474" bestFit="1" customWidth="1"/>
    <col min="10261" max="10261" width="20.42578125" style="474" bestFit="1" customWidth="1"/>
    <col min="10262" max="10262" width="20.85546875" style="474" bestFit="1" customWidth="1"/>
    <col min="10263" max="10263" width="21.42578125" style="474" bestFit="1" customWidth="1"/>
    <col min="10264" max="10265" width="22.28515625" style="474" bestFit="1" customWidth="1"/>
    <col min="10266" max="10267" width="23.85546875" style="474" bestFit="1" customWidth="1"/>
    <col min="10268" max="10269" width="24.85546875" style="474" bestFit="1" customWidth="1"/>
    <col min="10270" max="10274" width="11.28515625" style="474" bestFit="1" customWidth="1"/>
    <col min="10275" max="10279" width="12.28515625" style="474" bestFit="1" customWidth="1"/>
    <col min="10280" max="10280" width="12" style="474" bestFit="1" customWidth="1"/>
    <col min="10281" max="10496" width="8.85546875" style="474"/>
    <col min="10497" max="10497" width="7.28515625" style="474" customWidth="1"/>
    <col min="10498" max="10498" width="41" style="474" customWidth="1"/>
    <col min="10499" max="10499" width="16" style="474" customWidth="1"/>
    <col min="10500" max="10500" width="16.140625" style="474" bestFit="1" customWidth="1"/>
    <col min="10501" max="10501" width="11.85546875" style="474" customWidth="1"/>
    <col min="10502" max="10502" width="12.42578125" style="474" bestFit="1" customWidth="1"/>
    <col min="10503" max="10504" width="13" style="474" bestFit="1" customWidth="1"/>
    <col min="10505" max="10505" width="12.7109375" style="474" bestFit="1" customWidth="1"/>
    <col min="10506" max="10506" width="13.42578125" style="474" bestFit="1" customWidth="1"/>
    <col min="10507" max="10507" width="13.7109375" style="474" bestFit="1" customWidth="1"/>
    <col min="10508" max="10508" width="14.5703125" style="474" bestFit="1" customWidth="1"/>
    <col min="10509" max="10509" width="14.85546875" style="474" bestFit="1" customWidth="1"/>
    <col min="10510" max="10510" width="17.140625" style="474" customWidth="1"/>
    <col min="10511" max="10511" width="16.42578125" style="474" bestFit="1" customWidth="1"/>
    <col min="10512" max="10512" width="17.140625" style="474" bestFit="1" customWidth="1"/>
    <col min="10513" max="10513" width="24.28515625" style="474" customWidth="1"/>
    <col min="10514" max="10514" width="18.28515625" style="474" bestFit="1" customWidth="1"/>
    <col min="10515" max="10515" width="18.5703125" style="474" bestFit="1" customWidth="1"/>
    <col min="10516" max="10516" width="19.28515625" style="474" bestFit="1" customWidth="1"/>
    <col min="10517" max="10517" width="20.42578125" style="474" bestFit="1" customWidth="1"/>
    <col min="10518" max="10518" width="20.85546875" style="474" bestFit="1" customWidth="1"/>
    <col min="10519" max="10519" width="21.42578125" style="474" bestFit="1" customWidth="1"/>
    <col min="10520" max="10521" width="22.28515625" style="474" bestFit="1" customWidth="1"/>
    <col min="10522" max="10523" width="23.85546875" style="474" bestFit="1" customWidth="1"/>
    <col min="10524" max="10525" width="24.85546875" style="474" bestFit="1" customWidth="1"/>
    <col min="10526" max="10530" width="11.28515625" style="474" bestFit="1" customWidth="1"/>
    <col min="10531" max="10535" width="12.28515625" style="474" bestFit="1" customWidth="1"/>
    <col min="10536" max="10536" width="12" style="474" bestFit="1" customWidth="1"/>
    <col min="10537" max="10752" width="8.85546875" style="474"/>
    <col min="10753" max="10753" width="7.28515625" style="474" customWidth="1"/>
    <col min="10754" max="10754" width="41" style="474" customWidth="1"/>
    <col min="10755" max="10755" width="16" style="474" customWidth="1"/>
    <col min="10756" max="10756" width="16.140625" style="474" bestFit="1" customWidth="1"/>
    <col min="10757" max="10757" width="11.85546875" style="474" customWidth="1"/>
    <col min="10758" max="10758" width="12.42578125" style="474" bestFit="1" customWidth="1"/>
    <col min="10759" max="10760" width="13" style="474" bestFit="1" customWidth="1"/>
    <col min="10761" max="10761" width="12.7109375" style="474" bestFit="1" customWidth="1"/>
    <col min="10762" max="10762" width="13.42578125" style="474" bestFit="1" customWidth="1"/>
    <col min="10763" max="10763" width="13.7109375" style="474" bestFit="1" customWidth="1"/>
    <col min="10764" max="10764" width="14.5703125" style="474" bestFit="1" customWidth="1"/>
    <col min="10765" max="10765" width="14.85546875" style="474" bestFit="1" customWidth="1"/>
    <col min="10766" max="10766" width="17.140625" style="474" customWidth="1"/>
    <col min="10767" max="10767" width="16.42578125" style="474" bestFit="1" customWidth="1"/>
    <col min="10768" max="10768" width="17.140625" style="474" bestFit="1" customWidth="1"/>
    <col min="10769" max="10769" width="24.28515625" style="474" customWidth="1"/>
    <col min="10770" max="10770" width="18.28515625" style="474" bestFit="1" customWidth="1"/>
    <col min="10771" max="10771" width="18.5703125" style="474" bestFit="1" customWidth="1"/>
    <col min="10772" max="10772" width="19.28515625" style="474" bestFit="1" customWidth="1"/>
    <col min="10773" max="10773" width="20.42578125" style="474" bestFit="1" customWidth="1"/>
    <col min="10774" max="10774" width="20.85546875" style="474" bestFit="1" customWidth="1"/>
    <col min="10775" max="10775" width="21.42578125" style="474" bestFit="1" customWidth="1"/>
    <col min="10776" max="10777" width="22.28515625" style="474" bestFit="1" customWidth="1"/>
    <col min="10778" max="10779" width="23.85546875" style="474" bestFit="1" customWidth="1"/>
    <col min="10780" max="10781" width="24.85546875" style="474" bestFit="1" customWidth="1"/>
    <col min="10782" max="10786" width="11.28515625" style="474" bestFit="1" customWidth="1"/>
    <col min="10787" max="10791" width="12.28515625" style="474" bestFit="1" customWidth="1"/>
    <col min="10792" max="10792" width="12" style="474" bestFit="1" customWidth="1"/>
    <col min="10793" max="11008" width="8.85546875" style="474"/>
    <col min="11009" max="11009" width="7.28515625" style="474" customWidth="1"/>
    <col min="11010" max="11010" width="41" style="474" customWidth="1"/>
    <col min="11011" max="11011" width="16" style="474" customWidth="1"/>
    <col min="11012" max="11012" width="16.140625" style="474" bestFit="1" customWidth="1"/>
    <col min="11013" max="11013" width="11.85546875" style="474" customWidth="1"/>
    <col min="11014" max="11014" width="12.42578125" style="474" bestFit="1" customWidth="1"/>
    <col min="11015" max="11016" width="13" style="474" bestFit="1" customWidth="1"/>
    <col min="11017" max="11017" width="12.7109375" style="474" bestFit="1" customWidth="1"/>
    <col min="11018" max="11018" width="13.42578125" style="474" bestFit="1" customWidth="1"/>
    <col min="11019" max="11019" width="13.7109375" style="474" bestFit="1" customWidth="1"/>
    <col min="11020" max="11020" width="14.5703125" style="474" bestFit="1" customWidth="1"/>
    <col min="11021" max="11021" width="14.85546875" style="474" bestFit="1" customWidth="1"/>
    <col min="11022" max="11022" width="17.140625" style="474" customWidth="1"/>
    <col min="11023" max="11023" width="16.42578125" style="474" bestFit="1" customWidth="1"/>
    <col min="11024" max="11024" width="17.140625" style="474" bestFit="1" customWidth="1"/>
    <col min="11025" max="11025" width="24.28515625" style="474" customWidth="1"/>
    <col min="11026" max="11026" width="18.28515625" style="474" bestFit="1" customWidth="1"/>
    <col min="11027" max="11027" width="18.5703125" style="474" bestFit="1" customWidth="1"/>
    <col min="11028" max="11028" width="19.28515625" style="474" bestFit="1" customWidth="1"/>
    <col min="11029" max="11029" width="20.42578125" style="474" bestFit="1" customWidth="1"/>
    <col min="11030" max="11030" width="20.85546875" style="474" bestFit="1" customWidth="1"/>
    <col min="11031" max="11031" width="21.42578125" style="474" bestFit="1" customWidth="1"/>
    <col min="11032" max="11033" width="22.28515625" style="474" bestFit="1" customWidth="1"/>
    <col min="11034" max="11035" width="23.85546875" style="474" bestFit="1" customWidth="1"/>
    <col min="11036" max="11037" width="24.85546875" style="474" bestFit="1" customWidth="1"/>
    <col min="11038" max="11042" width="11.28515625" style="474" bestFit="1" customWidth="1"/>
    <col min="11043" max="11047" width="12.28515625" style="474" bestFit="1" customWidth="1"/>
    <col min="11048" max="11048" width="12" style="474" bestFit="1" customWidth="1"/>
    <col min="11049" max="11264" width="8.85546875" style="474"/>
    <col min="11265" max="11265" width="7.28515625" style="474" customWidth="1"/>
    <col min="11266" max="11266" width="41" style="474" customWidth="1"/>
    <col min="11267" max="11267" width="16" style="474" customWidth="1"/>
    <col min="11268" max="11268" width="16.140625" style="474" bestFit="1" customWidth="1"/>
    <col min="11269" max="11269" width="11.85546875" style="474" customWidth="1"/>
    <col min="11270" max="11270" width="12.42578125" style="474" bestFit="1" customWidth="1"/>
    <col min="11271" max="11272" width="13" style="474" bestFit="1" customWidth="1"/>
    <col min="11273" max="11273" width="12.7109375" style="474" bestFit="1" customWidth="1"/>
    <col min="11274" max="11274" width="13.42578125" style="474" bestFit="1" customWidth="1"/>
    <col min="11275" max="11275" width="13.7109375" style="474" bestFit="1" customWidth="1"/>
    <col min="11276" max="11276" width="14.5703125" style="474" bestFit="1" customWidth="1"/>
    <col min="11277" max="11277" width="14.85546875" style="474" bestFit="1" customWidth="1"/>
    <col min="11278" max="11278" width="17.140625" style="474" customWidth="1"/>
    <col min="11279" max="11279" width="16.42578125" style="474" bestFit="1" customWidth="1"/>
    <col min="11280" max="11280" width="17.140625" style="474" bestFit="1" customWidth="1"/>
    <col min="11281" max="11281" width="24.28515625" style="474" customWidth="1"/>
    <col min="11282" max="11282" width="18.28515625" style="474" bestFit="1" customWidth="1"/>
    <col min="11283" max="11283" width="18.5703125" style="474" bestFit="1" customWidth="1"/>
    <col min="11284" max="11284" width="19.28515625" style="474" bestFit="1" customWidth="1"/>
    <col min="11285" max="11285" width="20.42578125" style="474" bestFit="1" customWidth="1"/>
    <col min="11286" max="11286" width="20.85546875" style="474" bestFit="1" customWidth="1"/>
    <col min="11287" max="11287" width="21.42578125" style="474" bestFit="1" customWidth="1"/>
    <col min="11288" max="11289" width="22.28515625" style="474" bestFit="1" customWidth="1"/>
    <col min="11290" max="11291" width="23.85546875" style="474" bestFit="1" customWidth="1"/>
    <col min="11292" max="11293" width="24.85546875" style="474" bestFit="1" customWidth="1"/>
    <col min="11294" max="11298" width="11.28515625" style="474" bestFit="1" customWidth="1"/>
    <col min="11299" max="11303" width="12.28515625" style="474" bestFit="1" customWidth="1"/>
    <col min="11304" max="11304" width="12" style="474" bestFit="1" customWidth="1"/>
    <col min="11305" max="11520" width="8.85546875" style="474"/>
    <col min="11521" max="11521" width="7.28515625" style="474" customWidth="1"/>
    <col min="11522" max="11522" width="41" style="474" customWidth="1"/>
    <col min="11523" max="11523" width="16" style="474" customWidth="1"/>
    <col min="11524" max="11524" width="16.140625" style="474" bestFit="1" customWidth="1"/>
    <col min="11525" max="11525" width="11.85546875" style="474" customWidth="1"/>
    <col min="11526" max="11526" width="12.42578125" style="474" bestFit="1" customWidth="1"/>
    <col min="11527" max="11528" width="13" style="474" bestFit="1" customWidth="1"/>
    <col min="11529" max="11529" width="12.7109375" style="474" bestFit="1" customWidth="1"/>
    <col min="11530" max="11530" width="13.42578125" style="474" bestFit="1" customWidth="1"/>
    <col min="11531" max="11531" width="13.7109375" style="474" bestFit="1" customWidth="1"/>
    <col min="11532" max="11532" width="14.5703125" style="474" bestFit="1" customWidth="1"/>
    <col min="11533" max="11533" width="14.85546875" style="474" bestFit="1" customWidth="1"/>
    <col min="11534" max="11534" width="17.140625" style="474" customWidth="1"/>
    <col min="11535" max="11535" width="16.42578125" style="474" bestFit="1" customWidth="1"/>
    <col min="11536" max="11536" width="17.140625" style="474" bestFit="1" customWidth="1"/>
    <col min="11537" max="11537" width="24.28515625" style="474" customWidth="1"/>
    <col min="11538" max="11538" width="18.28515625" style="474" bestFit="1" customWidth="1"/>
    <col min="11539" max="11539" width="18.5703125" style="474" bestFit="1" customWidth="1"/>
    <col min="11540" max="11540" width="19.28515625" style="474" bestFit="1" customWidth="1"/>
    <col min="11541" max="11541" width="20.42578125" style="474" bestFit="1" customWidth="1"/>
    <col min="11542" max="11542" width="20.85546875" style="474" bestFit="1" customWidth="1"/>
    <col min="11543" max="11543" width="21.42578125" style="474" bestFit="1" customWidth="1"/>
    <col min="11544" max="11545" width="22.28515625" style="474" bestFit="1" customWidth="1"/>
    <col min="11546" max="11547" width="23.85546875" style="474" bestFit="1" customWidth="1"/>
    <col min="11548" max="11549" width="24.85546875" style="474" bestFit="1" customWidth="1"/>
    <col min="11550" max="11554" width="11.28515625" style="474" bestFit="1" customWidth="1"/>
    <col min="11555" max="11559" width="12.28515625" style="474" bestFit="1" customWidth="1"/>
    <col min="11560" max="11560" width="12" style="474" bestFit="1" customWidth="1"/>
    <col min="11561" max="11776" width="8.85546875" style="474"/>
    <col min="11777" max="11777" width="7.28515625" style="474" customWidth="1"/>
    <col min="11778" max="11778" width="41" style="474" customWidth="1"/>
    <col min="11779" max="11779" width="16" style="474" customWidth="1"/>
    <col min="11780" max="11780" width="16.140625" style="474" bestFit="1" customWidth="1"/>
    <col min="11781" max="11781" width="11.85546875" style="474" customWidth="1"/>
    <col min="11782" max="11782" width="12.42578125" style="474" bestFit="1" customWidth="1"/>
    <col min="11783" max="11784" width="13" style="474" bestFit="1" customWidth="1"/>
    <col min="11785" max="11785" width="12.7109375" style="474" bestFit="1" customWidth="1"/>
    <col min="11786" max="11786" width="13.42578125" style="474" bestFit="1" customWidth="1"/>
    <col min="11787" max="11787" width="13.7109375" style="474" bestFit="1" customWidth="1"/>
    <col min="11788" max="11788" width="14.5703125" style="474" bestFit="1" customWidth="1"/>
    <col min="11789" max="11789" width="14.85546875" style="474" bestFit="1" customWidth="1"/>
    <col min="11790" max="11790" width="17.140625" style="474" customWidth="1"/>
    <col min="11791" max="11791" width="16.42578125" style="474" bestFit="1" customWidth="1"/>
    <col min="11792" max="11792" width="17.140625" style="474" bestFit="1" customWidth="1"/>
    <col min="11793" max="11793" width="24.28515625" style="474" customWidth="1"/>
    <col min="11794" max="11794" width="18.28515625" style="474" bestFit="1" customWidth="1"/>
    <col min="11795" max="11795" width="18.5703125" style="474" bestFit="1" customWidth="1"/>
    <col min="11796" max="11796" width="19.28515625" style="474" bestFit="1" customWidth="1"/>
    <col min="11797" max="11797" width="20.42578125" style="474" bestFit="1" customWidth="1"/>
    <col min="11798" max="11798" width="20.85546875" style="474" bestFit="1" customWidth="1"/>
    <col min="11799" max="11799" width="21.42578125" style="474" bestFit="1" customWidth="1"/>
    <col min="11800" max="11801" width="22.28515625" style="474" bestFit="1" customWidth="1"/>
    <col min="11802" max="11803" width="23.85546875" style="474" bestFit="1" customWidth="1"/>
    <col min="11804" max="11805" width="24.85546875" style="474" bestFit="1" customWidth="1"/>
    <col min="11806" max="11810" width="11.28515625" style="474" bestFit="1" customWidth="1"/>
    <col min="11811" max="11815" width="12.28515625" style="474" bestFit="1" customWidth="1"/>
    <col min="11816" max="11816" width="12" style="474" bestFit="1" customWidth="1"/>
    <col min="11817" max="12032" width="8.85546875" style="474"/>
    <col min="12033" max="12033" width="7.28515625" style="474" customWidth="1"/>
    <col min="12034" max="12034" width="41" style="474" customWidth="1"/>
    <col min="12035" max="12035" width="16" style="474" customWidth="1"/>
    <col min="12036" max="12036" width="16.140625" style="474" bestFit="1" customWidth="1"/>
    <col min="12037" max="12037" width="11.85546875" style="474" customWidth="1"/>
    <col min="12038" max="12038" width="12.42578125" style="474" bestFit="1" customWidth="1"/>
    <col min="12039" max="12040" width="13" style="474" bestFit="1" customWidth="1"/>
    <col min="12041" max="12041" width="12.7109375" style="474" bestFit="1" customWidth="1"/>
    <col min="12042" max="12042" width="13.42578125" style="474" bestFit="1" customWidth="1"/>
    <col min="12043" max="12043" width="13.7109375" style="474" bestFit="1" customWidth="1"/>
    <col min="12044" max="12044" width="14.5703125" style="474" bestFit="1" customWidth="1"/>
    <col min="12045" max="12045" width="14.85546875" style="474" bestFit="1" customWidth="1"/>
    <col min="12046" max="12046" width="17.140625" style="474" customWidth="1"/>
    <col min="12047" max="12047" width="16.42578125" style="474" bestFit="1" customWidth="1"/>
    <col min="12048" max="12048" width="17.140625" style="474" bestFit="1" customWidth="1"/>
    <col min="12049" max="12049" width="24.28515625" style="474" customWidth="1"/>
    <col min="12050" max="12050" width="18.28515625" style="474" bestFit="1" customWidth="1"/>
    <col min="12051" max="12051" width="18.5703125" style="474" bestFit="1" customWidth="1"/>
    <col min="12052" max="12052" width="19.28515625" style="474" bestFit="1" customWidth="1"/>
    <col min="12053" max="12053" width="20.42578125" style="474" bestFit="1" customWidth="1"/>
    <col min="12054" max="12054" width="20.85546875" style="474" bestFit="1" customWidth="1"/>
    <col min="12055" max="12055" width="21.42578125" style="474" bestFit="1" customWidth="1"/>
    <col min="12056" max="12057" width="22.28515625" style="474" bestFit="1" customWidth="1"/>
    <col min="12058" max="12059" width="23.85546875" style="474" bestFit="1" customWidth="1"/>
    <col min="12060" max="12061" width="24.85546875" style="474" bestFit="1" customWidth="1"/>
    <col min="12062" max="12066" width="11.28515625" style="474" bestFit="1" customWidth="1"/>
    <col min="12067" max="12071" width="12.28515625" style="474" bestFit="1" customWidth="1"/>
    <col min="12072" max="12072" width="12" style="474" bestFit="1" customWidth="1"/>
    <col min="12073" max="12288" width="8.85546875" style="474"/>
    <col min="12289" max="12289" width="7.28515625" style="474" customWidth="1"/>
    <col min="12290" max="12290" width="41" style="474" customWidth="1"/>
    <col min="12291" max="12291" width="16" style="474" customWidth="1"/>
    <col min="12292" max="12292" width="16.140625" style="474" bestFit="1" customWidth="1"/>
    <col min="12293" max="12293" width="11.85546875" style="474" customWidth="1"/>
    <col min="12294" max="12294" width="12.42578125" style="474" bestFit="1" customWidth="1"/>
    <col min="12295" max="12296" width="13" style="474" bestFit="1" customWidth="1"/>
    <col min="12297" max="12297" width="12.7109375" style="474" bestFit="1" customWidth="1"/>
    <col min="12298" max="12298" width="13.42578125" style="474" bestFit="1" customWidth="1"/>
    <col min="12299" max="12299" width="13.7109375" style="474" bestFit="1" customWidth="1"/>
    <col min="12300" max="12300" width="14.5703125" style="474" bestFit="1" customWidth="1"/>
    <col min="12301" max="12301" width="14.85546875" style="474" bestFit="1" customWidth="1"/>
    <col min="12302" max="12302" width="17.140625" style="474" customWidth="1"/>
    <col min="12303" max="12303" width="16.42578125" style="474" bestFit="1" customWidth="1"/>
    <col min="12304" max="12304" width="17.140625" style="474" bestFit="1" customWidth="1"/>
    <col min="12305" max="12305" width="24.28515625" style="474" customWidth="1"/>
    <col min="12306" max="12306" width="18.28515625" style="474" bestFit="1" customWidth="1"/>
    <col min="12307" max="12307" width="18.5703125" style="474" bestFit="1" customWidth="1"/>
    <col min="12308" max="12308" width="19.28515625" style="474" bestFit="1" customWidth="1"/>
    <col min="12309" max="12309" width="20.42578125" style="474" bestFit="1" customWidth="1"/>
    <col min="12310" max="12310" width="20.85546875" style="474" bestFit="1" customWidth="1"/>
    <col min="12311" max="12311" width="21.42578125" style="474" bestFit="1" customWidth="1"/>
    <col min="12312" max="12313" width="22.28515625" style="474" bestFit="1" customWidth="1"/>
    <col min="12314" max="12315" width="23.85546875" style="474" bestFit="1" customWidth="1"/>
    <col min="12316" max="12317" width="24.85546875" style="474" bestFit="1" customWidth="1"/>
    <col min="12318" max="12322" width="11.28515625" style="474" bestFit="1" customWidth="1"/>
    <col min="12323" max="12327" width="12.28515625" style="474" bestFit="1" customWidth="1"/>
    <col min="12328" max="12328" width="12" style="474" bestFit="1" customWidth="1"/>
    <col min="12329" max="12544" width="8.85546875" style="474"/>
    <col min="12545" max="12545" width="7.28515625" style="474" customWidth="1"/>
    <col min="12546" max="12546" width="41" style="474" customWidth="1"/>
    <col min="12547" max="12547" width="16" style="474" customWidth="1"/>
    <col min="12548" max="12548" width="16.140625" style="474" bestFit="1" customWidth="1"/>
    <col min="12549" max="12549" width="11.85546875" style="474" customWidth="1"/>
    <col min="12550" max="12550" width="12.42578125" style="474" bestFit="1" customWidth="1"/>
    <col min="12551" max="12552" width="13" style="474" bestFit="1" customWidth="1"/>
    <col min="12553" max="12553" width="12.7109375" style="474" bestFit="1" customWidth="1"/>
    <col min="12554" max="12554" width="13.42578125" style="474" bestFit="1" customWidth="1"/>
    <col min="12555" max="12555" width="13.7109375" style="474" bestFit="1" customWidth="1"/>
    <col min="12556" max="12556" width="14.5703125" style="474" bestFit="1" customWidth="1"/>
    <col min="12557" max="12557" width="14.85546875" style="474" bestFit="1" customWidth="1"/>
    <col min="12558" max="12558" width="17.140625" style="474" customWidth="1"/>
    <col min="12559" max="12559" width="16.42578125" style="474" bestFit="1" customWidth="1"/>
    <col min="12560" max="12560" width="17.140625" style="474" bestFit="1" customWidth="1"/>
    <col min="12561" max="12561" width="24.28515625" style="474" customWidth="1"/>
    <col min="12562" max="12562" width="18.28515625" style="474" bestFit="1" customWidth="1"/>
    <col min="12563" max="12563" width="18.5703125" style="474" bestFit="1" customWidth="1"/>
    <col min="12564" max="12564" width="19.28515625" style="474" bestFit="1" customWidth="1"/>
    <col min="12565" max="12565" width="20.42578125" style="474" bestFit="1" customWidth="1"/>
    <col min="12566" max="12566" width="20.85546875" style="474" bestFit="1" customWidth="1"/>
    <col min="12567" max="12567" width="21.42578125" style="474" bestFit="1" customWidth="1"/>
    <col min="12568" max="12569" width="22.28515625" style="474" bestFit="1" customWidth="1"/>
    <col min="12570" max="12571" width="23.85546875" style="474" bestFit="1" customWidth="1"/>
    <col min="12572" max="12573" width="24.85546875" style="474" bestFit="1" customWidth="1"/>
    <col min="12574" max="12578" width="11.28515625" style="474" bestFit="1" customWidth="1"/>
    <col min="12579" max="12583" width="12.28515625" style="474" bestFit="1" customWidth="1"/>
    <col min="12584" max="12584" width="12" style="474" bestFit="1" customWidth="1"/>
    <col min="12585" max="12800" width="8.85546875" style="474"/>
    <col min="12801" max="12801" width="7.28515625" style="474" customWidth="1"/>
    <col min="12802" max="12802" width="41" style="474" customWidth="1"/>
    <col min="12803" max="12803" width="16" style="474" customWidth="1"/>
    <col min="12804" max="12804" width="16.140625" style="474" bestFit="1" customWidth="1"/>
    <col min="12805" max="12805" width="11.85546875" style="474" customWidth="1"/>
    <col min="12806" max="12806" width="12.42578125" style="474" bestFit="1" customWidth="1"/>
    <col min="12807" max="12808" width="13" style="474" bestFit="1" customWidth="1"/>
    <col min="12809" max="12809" width="12.7109375" style="474" bestFit="1" customWidth="1"/>
    <col min="12810" max="12810" width="13.42578125" style="474" bestFit="1" customWidth="1"/>
    <col min="12811" max="12811" width="13.7109375" style="474" bestFit="1" customWidth="1"/>
    <col min="12812" max="12812" width="14.5703125" style="474" bestFit="1" customWidth="1"/>
    <col min="12813" max="12813" width="14.85546875" style="474" bestFit="1" customWidth="1"/>
    <col min="12814" max="12814" width="17.140625" style="474" customWidth="1"/>
    <col min="12815" max="12815" width="16.42578125" style="474" bestFit="1" customWidth="1"/>
    <col min="12816" max="12816" width="17.140625" style="474" bestFit="1" customWidth="1"/>
    <col min="12817" max="12817" width="24.28515625" style="474" customWidth="1"/>
    <col min="12818" max="12818" width="18.28515625" style="474" bestFit="1" customWidth="1"/>
    <col min="12819" max="12819" width="18.5703125" style="474" bestFit="1" customWidth="1"/>
    <col min="12820" max="12820" width="19.28515625" style="474" bestFit="1" customWidth="1"/>
    <col min="12821" max="12821" width="20.42578125" style="474" bestFit="1" customWidth="1"/>
    <col min="12822" max="12822" width="20.85546875" style="474" bestFit="1" customWidth="1"/>
    <col min="12823" max="12823" width="21.42578125" style="474" bestFit="1" customWidth="1"/>
    <col min="12824" max="12825" width="22.28515625" style="474" bestFit="1" customWidth="1"/>
    <col min="12826" max="12827" width="23.85546875" style="474" bestFit="1" customWidth="1"/>
    <col min="12828" max="12829" width="24.85546875" style="474" bestFit="1" customWidth="1"/>
    <col min="12830" max="12834" width="11.28515625" style="474" bestFit="1" customWidth="1"/>
    <col min="12835" max="12839" width="12.28515625" style="474" bestFit="1" customWidth="1"/>
    <col min="12840" max="12840" width="12" style="474" bestFit="1" customWidth="1"/>
    <col min="12841" max="13056" width="8.85546875" style="474"/>
    <col min="13057" max="13057" width="7.28515625" style="474" customWidth="1"/>
    <col min="13058" max="13058" width="41" style="474" customWidth="1"/>
    <col min="13059" max="13059" width="16" style="474" customWidth="1"/>
    <col min="13060" max="13060" width="16.140625" style="474" bestFit="1" customWidth="1"/>
    <col min="13061" max="13061" width="11.85546875" style="474" customWidth="1"/>
    <col min="13062" max="13062" width="12.42578125" style="474" bestFit="1" customWidth="1"/>
    <col min="13063" max="13064" width="13" style="474" bestFit="1" customWidth="1"/>
    <col min="13065" max="13065" width="12.7109375" style="474" bestFit="1" customWidth="1"/>
    <col min="13066" max="13066" width="13.42578125" style="474" bestFit="1" customWidth="1"/>
    <col min="13067" max="13067" width="13.7109375" style="474" bestFit="1" customWidth="1"/>
    <col min="13068" max="13068" width="14.5703125" style="474" bestFit="1" customWidth="1"/>
    <col min="13069" max="13069" width="14.85546875" style="474" bestFit="1" customWidth="1"/>
    <col min="13070" max="13070" width="17.140625" style="474" customWidth="1"/>
    <col min="13071" max="13071" width="16.42578125" style="474" bestFit="1" customWidth="1"/>
    <col min="13072" max="13072" width="17.140625" style="474" bestFit="1" customWidth="1"/>
    <col min="13073" max="13073" width="24.28515625" style="474" customWidth="1"/>
    <col min="13074" max="13074" width="18.28515625" style="474" bestFit="1" customWidth="1"/>
    <col min="13075" max="13075" width="18.5703125" style="474" bestFit="1" customWidth="1"/>
    <col min="13076" max="13076" width="19.28515625" style="474" bestFit="1" customWidth="1"/>
    <col min="13077" max="13077" width="20.42578125" style="474" bestFit="1" customWidth="1"/>
    <col min="13078" max="13078" width="20.85546875" style="474" bestFit="1" customWidth="1"/>
    <col min="13079" max="13079" width="21.42578125" style="474" bestFit="1" customWidth="1"/>
    <col min="13080" max="13081" width="22.28515625" style="474" bestFit="1" customWidth="1"/>
    <col min="13082" max="13083" width="23.85546875" style="474" bestFit="1" customWidth="1"/>
    <col min="13084" max="13085" width="24.85546875" style="474" bestFit="1" customWidth="1"/>
    <col min="13086" max="13090" width="11.28515625" style="474" bestFit="1" customWidth="1"/>
    <col min="13091" max="13095" width="12.28515625" style="474" bestFit="1" customWidth="1"/>
    <col min="13096" max="13096" width="12" style="474" bestFit="1" customWidth="1"/>
    <col min="13097" max="13312" width="8.85546875" style="474"/>
    <col min="13313" max="13313" width="7.28515625" style="474" customWidth="1"/>
    <col min="13314" max="13314" width="41" style="474" customWidth="1"/>
    <col min="13315" max="13315" width="16" style="474" customWidth="1"/>
    <col min="13316" max="13316" width="16.140625" style="474" bestFit="1" customWidth="1"/>
    <col min="13317" max="13317" width="11.85546875" style="474" customWidth="1"/>
    <col min="13318" max="13318" width="12.42578125" style="474" bestFit="1" customWidth="1"/>
    <col min="13319" max="13320" width="13" style="474" bestFit="1" customWidth="1"/>
    <col min="13321" max="13321" width="12.7109375" style="474" bestFit="1" customWidth="1"/>
    <col min="13322" max="13322" width="13.42578125" style="474" bestFit="1" customWidth="1"/>
    <col min="13323" max="13323" width="13.7109375" style="474" bestFit="1" customWidth="1"/>
    <col min="13324" max="13324" width="14.5703125" style="474" bestFit="1" customWidth="1"/>
    <col min="13325" max="13325" width="14.85546875" style="474" bestFit="1" customWidth="1"/>
    <col min="13326" max="13326" width="17.140625" style="474" customWidth="1"/>
    <col min="13327" max="13327" width="16.42578125" style="474" bestFit="1" customWidth="1"/>
    <col min="13328" max="13328" width="17.140625" style="474" bestFit="1" customWidth="1"/>
    <col min="13329" max="13329" width="24.28515625" style="474" customWidth="1"/>
    <col min="13330" max="13330" width="18.28515625" style="474" bestFit="1" customWidth="1"/>
    <col min="13331" max="13331" width="18.5703125" style="474" bestFit="1" customWidth="1"/>
    <col min="13332" max="13332" width="19.28515625" style="474" bestFit="1" customWidth="1"/>
    <col min="13333" max="13333" width="20.42578125" style="474" bestFit="1" customWidth="1"/>
    <col min="13334" max="13334" width="20.85546875" style="474" bestFit="1" customWidth="1"/>
    <col min="13335" max="13335" width="21.42578125" style="474" bestFit="1" customWidth="1"/>
    <col min="13336" max="13337" width="22.28515625" style="474" bestFit="1" customWidth="1"/>
    <col min="13338" max="13339" width="23.85546875" style="474" bestFit="1" customWidth="1"/>
    <col min="13340" max="13341" width="24.85546875" style="474" bestFit="1" customWidth="1"/>
    <col min="13342" max="13346" width="11.28515625" style="474" bestFit="1" customWidth="1"/>
    <col min="13347" max="13351" width="12.28515625" style="474" bestFit="1" customWidth="1"/>
    <col min="13352" max="13352" width="12" style="474" bestFit="1" customWidth="1"/>
    <col min="13353" max="13568" width="8.85546875" style="474"/>
    <col min="13569" max="13569" width="7.28515625" style="474" customWidth="1"/>
    <col min="13570" max="13570" width="41" style="474" customWidth="1"/>
    <col min="13571" max="13571" width="16" style="474" customWidth="1"/>
    <col min="13572" max="13572" width="16.140625" style="474" bestFit="1" customWidth="1"/>
    <col min="13573" max="13573" width="11.85546875" style="474" customWidth="1"/>
    <col min="13574" max="13574" width="12.42578125" style="474" bestFit="1" customWidth="1"/>
    <col min="13575" max="13576" width="13" style="474" bestFit="1" customWidth="1"/>
    <col min="13577" max="13577" width="12.7109375" style="474" bestFit="1" customWidth="1"/>
    <col min="13578" max="13578" width="13.42578125" style="474" bestFit="1" customWidth="1"/>
    <col min="13579" max="13579" width="13.7109375" style="474" bestFit="1" customWidth="1"/>
    <col min="13580" max="13580" width="14.5703125" style="474" bestFit="1" customWidth="1"/>
    <col min="13581" max="13581" width="14.85546875" style="474" bestFit="1" customWidth="1"/>
    <col min="13582" max="13582" width="17.140625" style="474" customWidth="1"/>
    <col min="13583" max="13583" width="16.42578125" style="474" bestFit="1" customWidth="1"/>
    <col min="13584" max="13584" width="17.140625" style="474" bestFit="1" customWidth="1"/>
    <col min="13585" max="13585" width="24.28515625" style="474" customWidth="1"/>
    <col min="13586" max="13586" width="18.28515625" style="474" bestFit="1" customWidth="1"/>
    <col min="13587" max="13587" width="18.5703125" style="474" bestFit="1" customWidth="1"/>
    <col min="13588" max="13588" width="19.28515625" style="474" bestFit="1" customWidth="1"/>
    <col min="13589" max="13589" width="20.42578125" style="474" bestFit="1" customWidth="1"/>
    <col min="13590" max="13590" width="20.85546875" style="474" bestFit="1" customWidth="1"/>
    <col min="13591" max="13591" width="21.42578125" style="474" bestFit="1" customWidth="1"/>
    <col min="13592" max="13593" width="22.28515625" style="474" bestFit="1" customWidth="1"/>
    <col min="13594" max="13595" width="23.85546875" style="474" bestFit="1" customWidth="1"/>
    <col min="13596" max="13597" width="24.85546875" style="474" bestFit="1" customWidth="1"/>
    <col min="13598" max="13602" width="11.28515625" style="474" bestFit="1" customWidth="1"/>
    <col min="13603" max="13607" width="12.28515625" style="474" bestFit="1" customWidth="1"/>
    <col min="13608" max="13608" width="12" style="474" bestFit="1" customWidth="1"/>
    <col min="13609" max="13824" width="8.85546875" style="474"/>
    <col min="13825" max="13825" width="7.28515625" style="474" customWidth="1"/>
    <col min="13826" max="13826" width="41" style="474" customWidth="1"/>
    <col min="13827" max="13827" width="16" style="474" customWidth="1"/>
    <col min="13828" max="13828" width="16.140625" style="474" bestFit="1" customWidth="1"/>
    <col min="13829" max="13829" width="11.85546875" style="474" customWidth="1"/>
    <col min="13830" max="13830" width="12.42578125" style="474" bestFit="1" customWidth="1"/>
    <col min="13831" max="13832" width="13" style="474" bestFit="1" customWidth="1"/>
    <col min="13833" max="13833" width="12.7109375" style="474" bestFit="1" customWidth="1"/>
    <col min="13834" max="13834" width="13.42578125" style="474" bestFit="1" customWidth="1"/>
    <col min="13835" max="13835" width="13.7109375" style="474" bestFit="1" customWidth="1"/>
    <col min="13836" max="13836" width="14.5703125" style="474" bestFit="1" customWidth="1"/>
    <col min="13837" max="13837" width="14.85546875" style="474" bestFit="1" customWidth="1"/>
    <col min="13838" max="13838" width="17.140625" style="474" customWidth="1"/>
    <col min="13839" max="13839" width="16.42578125" style="474" bestFit="1" customWidth="1"/>
    <col min="13840" max="13840" width="17.140625" style="474" bestFit="1" customWidth="1"/>
    <col min="13841" max="13841" width="24.28515625" style="474" customWidth="1"/>
    <col min="13842" max="13842" width="18.28515625" style="474" bestFit="1" customWidth="1"/>
    <col min="13843" max="13843" width="18.5703125" style="474" bestFit="1" customWidth="1"/>
    <col min="13844" max="13844" width="19.28515625" style="474" bestFit="1" customWidth="1"/>
    <col min="13845" max="13845" width="20.42578125" style="474" bestFit="1" customWidth="1"/>
    <col min="13846" max="13846" width="20.85546875" style="474" bestFit="1" customWidth="1"/>
    <col min="13847" max="13847" width="21.42578125" style="474" bestFit="1" customWidth="1"/>
    <col min="13848" max="13849" width="22.28515625" style="474" bestFit="1" customWidth="1"/>
    <col min="13850" max="13851" width="23.85546875" style="474" bestFit="1" customWidth="1"/>
    <col min="13852" max="13853" width="24.85546875" style="474" bestFit="1" customWidth="1"/>
    <col min="13854" max="13858" width="11.28515625" style="474" bestFit="1" customWidth="1"/>
    <col min="13859" max="13863" width="12.28515625" style="474" bestFit="1" customWidth="1"/>
    <col min="13864" max="13864" width="12" style="474" bestFit="1" customWidth="1"/>
    <col min="13865" max="14080" width="8.85546875" style="474"/>
    <col min="14081" max="14081" width="7.28515625" style="474" customWidth="1"/>
    <col min="14082" max="14082" width="41" style="474" customWidth="1"/>
    <col min="14083" max="14083" width="16" style="474" customWidth="1"/>
    <col min="14084" max="14084" width="16.140625" style="474" bestFit="1" customWidth="1"/>
    <col min="14085" max="14085" width="11.85546875" style="474" customWidth="1"/>
    <col min="14086" max="14086" width="12.42578125" style="474" bestFit="1" customWidth="1"/>
    <col min="14087" max="14088" width="13" style="474" bestFit="1" customWidth="1"/>
    <col min="14089" max="14089" width="12.7109375" style="474" bestFit="1" customWidth="1"/>
    <col min="14090" max="14090" width="13.42578125" style="474" bestFit="1" customWidth="1"/>
    <col min="14091" max="14091" width="13.7109375" style="474" bestFit="1" customWidth="1"/>
    <col min="14092" max="14092" width="14.5703125" style="474" bestFit="1" customWidth="1"/>
    <col min="14093" max="14093" width="14.85546875" style="474" bestFit="1" customWidth="1"/>
    <col min="14094" max="14094" width="17.140625" style="474" customWidth="1"/>
    <col min="14095" max="14095" width="16.42578125" style="474" bestFit="1" customWidth="1"/>
    <col min="14096" max="14096" width="17.140625" style="474" bestFit="1" customWidth="1"/>
    <col min="14097" max="14097" width="24.28515625" style="474" customWidth="1"/>
    <col min="14098" max="14098" width="18.28515625" style="474" bestFit="1" customWidth="1"/>
    <col min="14099" max="14099" width="18.5703125" style="474" bestFit="1" customWidth="1"/>
    <col min="14100" max="14100" width="19.28515625" style="474" bestFit="1" customWidth="1"/>
    <col min="14101" max="14101" width="20.42578125" style="474" bestFit="1" customWidth="1"/>
    <col min="14102" max="14102" width="20.85546875" style="474" bestFit="1" customWidth="1"/>
    <col min="14103" max="14103" width="21.42578125" style="474" bestFit="1" customWidth="1"/>
    <col min="14104" max="14105" width="22.28515625" style="474" bestFit="1" customWidth="1"/>
    <col min="14106" max="14107" width="23.85546875" style="474" bestFit="1" customWidth="1"/>
    <col min="14108" max="14109" width="24.85546875" style="474" bestFit="1" customWidth="1"/>
    <col min="14110" max="14114" width="11.28515625" style="474" bestFit="1" customWidth="1"/>
    <col min="14115" max="14119" width="12.28515625" style="474" bestFit="1" customWidth="1"/>
    <col min="14120" max="14120" width="12" style="474" bestFit="1" customWidth="1"/>
    <col min="14121" max="14336" width="8.85546875" style="474"/>
    <col min="14337" max="14337" width="7.28515625" style="474" customWidth="1"/>
    <col min="14338" max="14338" width="41" style="474" customWidth="1"/>
    <col min="14339" max="14339" width="16" style="474" customWidth="1"/>
    <col min="14340" max="14340" width="16.140625" style="474" bestFit="1" customWidth="1"/>
    <col min="14341" max="14341" width="11.85546875" style="474" customWidth="1"/>
    <col min="14342" max="14342" width="12.42578125" style="474" bestFit="1" customWidth="1"/>
    <col min="14343" max="14344" width="13" style="474" bestFit="1" customWidth="1"/>
    <col min="14345" max="14345" width="12.7109375" style="474" bestFit="1" customWidth="1"/>
    <col min="14346" max="14346" width="13.42578125" style="474" bestFit="1" customWidth="1"/>
    <col min="14347" max="14347" width="13.7109375" style="474" bestFit="1" customWidth="1"/>
    <col min="14348" max="14348" width="14.5703125" style="474" bestFit="1" customWidth="1"/>
    <col min="14349" max="14349" width="14.85546875" style="474" bestFit="1" customWidth="1"/>
    <col min="14350" max="14350" width="17.140625" style="474" customWidth="1"/>
    <col min="14351" max="14351" width="16.42578125" style="474" bestFit="1" customWidth="1"/>
    <col min="14352" max="14352" width="17.140625" style="474" bestFit="1" customWidth="1"/>
    <col min="14353" max="14353" width="24.28515625" style="474" customWidth="1"/>
    <col min="14354" max="14354" width="18.28515625" style="474" bestFit="1" customWidth="1"/>
    <col min="14355" max="14355" width="18.5703125" style="474" bestFit="1" customWidth="1"/>
    <col min="14356" max="14356" width="19.28515625" style="474" bestFit="1" customWidth="1"/>
    <col min="14357" max="14357" width="20.42578125" style="474" bestFit="1" customWidth="1"/>
    <col min="14358" max="14358" width="20.85546875" style="474" bestFit="1" customWidth="1"/>
    <col min="14359" max="14359" width="21.42578125" style="474" bestFit="1" customWidth="1"/>
    <col min="14360" max="14361" width="22.28515625" style="474" bestFit="1" customWidth="1"/>
    <col min="14362" max="14363" width="23.85546875" style="474" bestFit="1" customWidth="1"/>
    <col min="14364" max="14365" width="24.85546875" style="474" bestFit="1" customWidth="1"/>
    <col min="14366" max="14370" width="11.28515625" style="474" bestFit="1" customWidth="1"/>
    <col min="14371" max="14375" width="12.28515625" style="474" bestFit="1" customWidth="1"/>
    <col min="14376" max="14376" width="12" style="474" bestFit="1" customWidth="1"/>
    <col min="14377" max="14592" width="8.85546875" style="474"/>
    <col min="14593" max="14593" width="7.28515625" style="474" customWidth="1"/>
    <col min="14594" max="14594" width="41" style="474" customWidth="1"/>
    <col min="14595" max="14595" width="16" style="474" customWidth="1"/>
    <col min="14596" max="14596" width="16.140625" style="474" bestFit="1" customWidth="1"/>
    <col min="14597" max="14597" width="11.85546875" style="474" customWidth="1"/>
    <col min="14598" max="14598" width="12.42578125" style="474" bestFit="1" customWidth="1"/>
    <col min="14599" max="14600" width="13" style="474" bestFit="1" customWidth="1"/>
    <col min="14601" max="14601" width="12.7109375" style="474" bestFit="1" customWidth="1"/>
    <col min="14602" max="14602" width="13.42578125" style="474" bestFit="1" customWidth="1"/>
    <col min="14603" max="14603" width="13.7109375" style="474" bestFit="1" customWidth="1"/>
    <col min="14604" max="14604" width="14.5703125" style="474" bestFit="1" customWidth="1"/>
    <col min="14605" max="14605" width="14.85546875" style="474" bestFit="1" customWidth="1"/>
    <col min="14606" max="14606" width="17.140625" style="474" customWidth="1"/>
    <col min="14607" max="14607" width="16.42578125" style="474" bestFit="1" customWidth="1"/>
    <col min="14608" max="14608" width="17.140625" style="474" bestFit="1" customWidth="1"/>
    <col min="14609" max="14609" width="24.28515625" style="474" customWidth="1"/>
    <col min="14610" max="14610" width="18.28515625" style="474" bestFit="1" customWidth="1"/>
    <col min="14611" max="14611" width="18.5703125" style="474" bestFit="1" customWidth="1"/>
    <col min="14612" max="14612" width="19.28515625" style="474" bestFit="1" customWidth="1"/>
    <col min="14613" max="14613" width="20.42578125" style="474" bestFit="1" customWidth="1"/>
    <col min="14614" max="14614" width="20.85546875" style="474" bestFit="1" customWidth="1"/>
    <col min="14615" max="14615" width="21.42578125" style="474" bestFit="1" customWidth="1"/>
    <col min="14616" max="14617" width="22.28515625" style="474" bestFit="1" customWidth="1"/>
    <col min="14618" max="14619" width="23.85546875" style="474" bestFit="1" customWidth="1"/>
    <col min="14620" max="14621" width="24.85546875" style="474" bestFit="1" customWidth="1"/>
    <col min="14622" max="14626" width="11.28515625" style="474" bestFit="1" customWidth="1"/>
    <col min="14627" max="14631" width="12.28515625" style="474" bestFit="1" customWidth="1"/>
    <col min="14632" max="14632" width="12" style="474" bestFit="1" customWidth="1"/>
    <col min="14633" max="14848" width="8.85546875" style="474"/>
    <col min="14849" max="14849" width="7.28515625" style="474" customWidth="1"/>
    <col min="14850" max="14850" width="41" style="474" customWidth="1"/>
    <col min="14851" max="14851" width="16" style="474" customWidth="1"/>
    <col min="14852" max="14852" width="16.140625" style="474" bestFit="1" customWidth="1"/>
    <col min="14853" max="14853" width="11.85546875" style="474" customWidth="1"/>
    <col min="14854" max="14854" width="12.42578125" style="474" bestFit="1" customWidth="1"/>
    <col min="14855" max="14856" width="13" style="474" bestFit="1" customWidth="1"/>
    <col min="14857" max="14857" width="12.7109375" style="474" bestFit="1" customWidth="1"/>
    <col min="14858" max="14858" width="13.42578125" style="474" bestFit="1" customWidth="1"/>
    <col min="14859" max="14859" width="13.7109375" style="474" bestFit="1" customWidth="1"/>
    <col min="14860" max="14860" width="14.5703125" style="474" bestFit="1" customWidth="1"/>
    <col min="14861" max="14861" width="14.85546875" style="474" bestFit="1" customWidth="1"/>
    <col min="14862" max="14862" width="17.140625" style="474" customWidth="1"/>
    <col min="14863" max="14863" width="16.42578125" style="474" bestFit="1" customWidth="1"/>
    <col min="14864" max="14864" width="17.140625" style="474" bestFit="1" customWidth="1"/>
    <col min="14865" max="14865" width="24.28515625" style="474" customWidth="1"/>
    <col min="14866" max="14866" width="18.28515625" style="474" bestFit="1" customWidth="1"/>
    <col min="14867" max="14867" width="18.5703125" style="474" bestFit="1" customWidth="1"/>
    <col min="14868" max="14868" width="19.28515625" style="474" bestFit="1" customWidth="1"/>
    <col min="14869" max="14869" width="20.42578125" style="474" bestFit="1" customWidth="1"/>
    <col min="14870" max="14870" width="20.85546875" style="474" bestFit="1" customWidth="1"/>
    <col min="14871" max="14871" width="21.42578125" style="474" bestFit="1" customWidth="1"/>
    <col min="14872" max="14873" width="22.28515625" style="474" bestFit="1" customWidth="1"/>
    <col min="14874" max="14875" width="23.85546875" style="474" bestFit="1" customWidth="1"/>
    <col min="14876" max="14877" width="24.85546875" style="474" bestFit="1" customWidth="1"/>
    <col min="14878" max="14882" width="11.28515625" style="474" bestFit="1" customWidth="1"/>
    <col min="14883" max="14887" width="12.28515625" style="474" bestFit="1" customWidth="1"/>
    <col min="14888" max="14888" width="12" style="474" bestFit="1" customWidth="1"/>
    <col min="14889" max="15104" width="8.85546875" style="474"/>
    <col min="15105" max="15105" width="7.28515625" style="474" customWidth="1"/>
    <col min="15106" max="15106" width="41" style="474" customWidth="1"/>
    <col min="15107" max="15107" width="16" style="474" customWidth="1"/>
    <col min="15108" max="15108" width="16.140625" style="474" bestFit="1" customWidth="1"/>
    <col min="15109" max="15109" width="11.85546875" style="474" customWidth="1"/>
    <col min="15110" max="15110" width="12.42578125" style="474" bestFit="1" customWidth="1"/>
    <col min="15111" max="15112" width="13" style="474" bestFit="1" customWidth="1"/>
    <col min="15113" max="15113" width="12.7109375" style="474" bestFit="1" customWidth="1"/>
    <col min="15114" max="15114" width="13.42578125" style="474" bestFit="1" customWidth="1"/>
    <col min="15115" max="15115" width="13.7109375" style="474" bestFit="1" customWidth="1"/>
    <col min="15116" max="15116" width="14.5703125" style="474" bestFit="1" customWidth="1"/>
    <col min="15117" max="15117" width="14.85546875" style="474" bestFit="1" customWidth="1"/>
    <col min="15118" max="15118" width="17.140625" style="474" customWidth="1"/>
    <col min="15119" max="15119" width="16.42578125" style="474" bestFit="1" customWidth="1"/>
    <col min="15120" max="15120" width="17.140625" style="474" bestFit="1" customWidth="1"/>
    <col min="15121" max="15121" width="24.28515625" style="474" customWidth="1"/>
    <col min="15122" max="15122" width="18.28515625" style="474" bestFit="1" customWidth="1"/>
    <col min="15123" max="15123" width="18.5703125" style="474" bestFit="1" customWidth="1"/>
    <col min="15124" max="15124" width="19.28515625" style="474" bestFit="1" customWidth="1"/>
    <col min="15125" max="15125" width="20.42578125" style="474" bestFit="1" customWidth="1"/>
    <col min="15126" max="15126" width="20.85546875" style="474" bestFit="1" customWidth="1"/>
    <col min="15127" max="15127" width="21.42578125" style="474" bestFit="1" customWidth="1"/>
    <col min="15128" max="15129" width="22.28515625" style="474" bestFit="1" customWidth="1"/>
    <col min="15130" max="15131" width="23.85546875" style="474" bestFit="1" customWidth="1"/>
    <col min="15132" max="15133" width="24.85546875" style="474" bestFit="1" customWidth="1"/>
    <col min="15134" max="15138" width="11.28515625" style="474" bestFit="1" customWidth="1"/>
    <col min="15139" max="15143" width="12.28515625" style="474" bestFit="1" customWidth="1"/>
    <col min="15144" max="15144" width="12" style="474" bestFit="1" customWidth="1"/>
    <col min="15145" max="15360" width="8.85546875" style="474"/>
    <col min="15361" max="15361" width="7.28515625" style="474" customWidth="1"/>
    <col min="15362" max="15362" width="41" style="474" customWidth="1"/>
    <col min="15363" max="15363" width="16" style="474" customWidth="1"/>
    <col min="15364" max="15364" width="16.140625" style="474" bestFit="1" customWidth="1"/>
    <col min="15365" max="15365" width="11.85546875" style="474" customWidth="1"/>
    <col min="15366" max="15366" width="12.42578125" style="474" bestFit="1" customWidth="1"/>
    <col min="15367" max="15368" width="13" style="474" bestFit="1" customWidth="1"/>
    <col min="15369" max="15369" width="12.7109375" style="474" bestFit="1" customWidth="1"/>
    <col min="15370" max="15370" width="13.42578125" style="474" bestFit="1" customWidth="1"/>
    <col min="15371" max="15371" width="13.7109375" style="474" bestFit="1" customWidth="1"/>
    <col min="15372" max="15372" width="14.5703125" style="474" bestFit="1" customWidth="1"/>
    <col min="15373" max="15373" width="14.85546875" style="474" bestFit="1" customWidth="1"/>
    <col min="15374" max="15374" width="17.140625" style="474" customWidth="1"/>
    <col min="15375" max="15375" width="16.42578125" style="474" bestFit="1" customWidth="1"/>
    <col min="15376" max="15376" width="17.140625" style="474" bestFit="1" customWidth="1"/>
    <col min="15377" max="15377" width="24.28515625" style="474" customWidth="1"/>
    <col min="15378" max="15378" width="18.28515625" style="474" bestFit="1" customWidth="1"/>
    <col min="15379" max="15379" width="18.5703125" style="474" bestFit="1" customWidth="1"/>
    <col min="15380" max="15380" width="19.28515625" style="474" bestFit="1" customWidth="1"/>
    <col min="15381" max="15381" width="20.42578125" style="474" bestFit="1" customWidth="1"/>
    <col min="15382" max="15382" width="20.85546875" style="474" bestFit="1" customWidth="1"/>
    <col min="15383" max="15383" width="21.42578125" style="474" bestFit="1" customWidth="1"/>
    <col min="15384" max="15385" width="22.28515625" style="474" bestFit="1" customWidth="1"/>
    <col min="15386" max="15387" width="23.85546875" style="474" bestFit="1" customWidth="1"/>
    <col min="15388" max="15389" width="24.85546875" style="474" bestFit="1" customWidth="1"/>
    <col min="15390" max="15394" width="11.28515625" style="474" bestFit="1" customWidth="1"/>
    <col min="15395" max="15399" width="12.28515625" style="474" bestFit="1" customWidth="1"/>
    <col min="15400" max="15400" width="12" style="474" bestFit="1" customWidth="1"/>
    <col min="15401" max="15616" width="8.85546875" style="474"/>
    <col min="15617" max="15617" width="7.28515625" style="474" customWidth="1"/>
    <col min="15618" max="15618" width="41" style="474" customWidth="1"/>
    <col min="15619" max="15619" width="16" style="474" customWidth="1"/>
    <col min="15620" max="15620" width="16.140625" style="474" bestFit="1" customWidth="1"/>
    <col min="15621" max="15621" width="11.85546875" style="474" customWidth="1"/>
    <col min="15622" max="15622" width="12.42578125" style="474" bestFit="1" customWidth="1"/>
    <col min="15623" max="15624" width="13" style="474" bestFit="1" customWidth="1"/>
    <col min="15625" max="15625" width="12.7109375" style="474" bestFit="1" customWidth="1"/>
    <col min="15626" max="15626" width="13.42578125" style="474" bestFit="1" customWidth="1"/>
    <col min="15627" max="15627" width="13.7109375" style="474" bestFit="1" customWidth="1"/>
    <col min="15628" max="15628" width="14.5703125" style="474" bestFit="1" customWidth="1"/>
    <col min="15629" max="15629" width="14.85546875" style="474" bestFit="1" customWidth="1"/>
    <col min="15630" max="15630" width="17.140625" style="474" customWidth="1"/>
    <col min="15631" max="15631" width="16.42578125" style="474" bestFit="1" customWidth="1"/>
    <col min="15632" max="15632" width="17.140625" style="474" bestFit="1" customWidth="1"/>
    <col min="15633" max="15633" width="24.28515625" style="474" customWidth="1"/>
    <col min="15634" max="15634" width="18.28515625" style="474" bestFit="1" customWidth="1"/>
    <col min="15635" max="15635" width="18.5703125" style="474" bestFit="1" customWidth="1"/>
    <col min="15636" max="15636" width="19.28515625" style="474" bestFit="1" customWidth="1"/>
    <col min="15637" max="15637" width="20.42578125" style="474" bestFit="1" customWidth="1"/>
    <col min="15638" max="15638" width="20.85546875" style="474" bestFit="1" customWidth="1"/>
    <col min="15639" max="15639" width="21.42578125" style="474" bestFit="1" customWidth="1"/>
    <col min="15640" max="15641" width="22.28515625" style="474" bestFit="1" customWidth="1"/>
    <col min="15642" max="15643" width="23.85546875" style="474" bestFit="1" customWidth="1"/>
    <col min="15644" max="15645" width="24.85546875" style="474" bestFit="1" customWidth="1"/>
    <col min="15646" max="15650" width="11.28515625" style="474" bestFit="1" customWidth="1"/>
    <col min="15651" max="15655" width="12.28515625" style="474" bestFit="1" customWidth="1"/>
    <col min="15656" max="15656" width="12" style="474" bestFit="1" customWidth="1"/>
    <col min="15657" max="15872" width="8.85546875" style="474"/>
    <col min="15873" max="15873" width="7.28515625" style="474" customWidth="1"/>
    <col min="15874" max="15874" width="41" style="474" customWidth="1"/>
    <col min="15875" max="15875" width="16" style="474" customWidth="1"/>
    <col min="15876" max="15876" width="16.140625" style="474" bestFit="1" customWidth="1"/>
    <col min="15877" max="15877" width="11.85546875" style="474" customWidth="1"/>
    <col min="15878" max="15878" width="12.42578125" style="474" bestFit="1" customWidth="1"/>
    <col min="15879" max="15880" width="13" style="474" bestFit="1" customWidth="1"/>
    <col min="15881" max="15881" width="12.7109375" style="474" bestFit="1" customWidth="1"/>
    <col min="15882" max="15882" width="13.42578125" style="474" bestFit="1" customWidth="1"/>
    <col min="15883" max="15883" width="13.7109375" style="474" bestFit="1" customWidth="1"/>
    <col min="15884" max="15884" width="14.5703125" style="474" bestFit="1" customWidth="1"/>
    <col min="15885" max="15885" width="14.85546875" style="474" bestFit="1" customWidth="1"/>
    <col min="15886" max="15886" width="17.140625" style="474" customWidth="1"/>
    <col min="15887" max="15887" width="16.42578125" style="474" bestFit="1" customWidth="1"/>
    <col min="15888" max="15888" width="17.140625" style="474" bestFit="1" customWidth="1"/>
    <col min="15889" max="15889" width="24.28515625" style="474" customWidth="1"/>
    <col min="15890" max="15890" width="18.28515625" style="474" bestFit="1" customWidth="1"/>
    <col min="15891" max="15891" width="18.5703125" style="474" bestFit="1" customWidth="1"/>
    <col min="15892" max="15892" width="19.28515625" style="474" bestFit="1" customWidth="1"/>
    <col min="15893" max="15893" width="20.42578125" style="474" bestFit="1" customWidth="1"/>
    <col min="15894" max="15894" width="20.85546875" style="474" bestFit="1" customWidth="1"/>
    <col min="15895" max="15895" width="21.42578125" style="474" bestFit="1" customWidth="1"/>
    <col min="15896" max="15897" width="22.28515625" style="474" bestFit="1" customWidth="1"/>
    <col min="15898" max="15899" width="23.85546875" style="474" bestFit="1" customWidth="1"/>
    <col min="15900" max="15901" width="24.85546875" style="474" bestFit="1" customWidth="1"/>
    <col min="15902" max="15906" width="11.28515625" style="474" bestFit="1" customWidth="1"/>
    <col min="15907" max="15911" width="12.28515625" style="474" bestFit="1" customWidth="1"/>
    <col min="15912" max="15912" width="12" style="474" bestFit="1" customWidth="1"/>
    <col min="15913" max="16128" width="8.85546875" style="474"/>
    <col min="16129" max="16129" width="7.28515625" style="474" customWidth="1"/>
    <col min="16130" max="16130" width="41" style="474" customWidth="1"/>
    <col min="16131" max="16131" width="16" style="474" customWidth="1"/>
    <col min="16132" max="16132" width="16.140625" style="474" bestFit="1" customWidth="1"/>
    <col min="16133" max="16133" width="11.85546875" style="474" customWidth="1"/>
    <col min="16134" max="16134" width="12.42578125" style="474" bestFit="1" customWidth="1"/>
    <col min="16135" max="16136" width="13" style="474" bestFit="1" customWidth="1"/>
    <col min="16137" max="16137" width="12.7109375" style="474" bestFit="1" customWidth="1"/>
    <col min="16138" max="16138" width="13.42578125" style="474" bestFit="1" customWidth="1"/>
    <col min="16139" max="16139" width="13.7109375" style="474" bestFit="1" customWidth="1"/>
    <col min="16140" max="16140" width="14.5703125" style="474" bestFit="1" customWidth="1"/>
    <col min="16141" max="16141" width="14.85546875" style="474" bestFit="1" customWidth="1"/>
    <col min="16142" max="16142" width="17.140625" style="474" customWidth="1"/>
    <col min="16143" max="16143" width="16.42578125" style="474" bestFit="1" customWidth="1"/>
    <col min="16144" max="16144" width="17.140625" style="474" bestFit="1" customWidth="1"/>
    <col min="16145" max="16145" width="24.28515625" style="474" customWidth="1"/>
    <col min="16146" max="16146" width="18.28515625" style="474" bestFit="1" customWidth="1"/>
    <col min="16147" max="16147" width="18.5703125" style="474" bestFit="1" customWidth="1"/>
    <col min="16148" max="16148" width="19.28515625" style="474" bestFit="1" customWidth="1"/>
    <col min="16149" max="16149" width="20.42578125" style="474" bestFit="1" customWidth="1"/>
    <col min="16150" max="16150" width="20.85546875" style="474" bestFit="1" customWidth="1"/>
    <col min="16151" max="16151" width="21.42578125" style="474" bestFit="1" customWidth="1"/>
    <col min="16152" max="16153" width="22.28515625" style="474" bestFit="1" customWidth="1"/>
    <col min="16154" max="16155" width="23.85546875" style="474" bestFit="1" customWidth="1"/>
    <col min="16156" max="16157" width="24.85546875" style="474" bestFit="1" customWidth="1"/>
    <col min="16158" max="16162" width="11.28515625" style="474" bestFit="1" customWidth="1"/>
    <col min="16163" max="16167" width="12.28515625" style="474" bestFit="1" customWidth="1"/>
    <col min="16168" max="16168" width="12" style="474" bestFit="1" customWidth="1"/>
    <col min="16169" max="16384" width="8.85546875" style="474"/>
  </cols>
  <sheetData>
    <row r="1" spans="2:14" ht="12.95">
      <c r="B1" s="505" t="s">
        <v>293</v>
      </c>
      <c r="C1" s="506"/>
      <c r="D1" s="507"/>
      <c r="E1" s="474" t="s">
        <v>294</v>
      </c>
    </row>
    <row r="2" spans="2:14">
      <c r="B2" s="508"/>
      <c r="C2" s="509"/>
      <c r="D2" s="510"/>
    </row>
    <row r="3" spans="2:14">
      <c r="B3" s="508" t="s">
        <v>96</v>
      </c>
      <c r="C3" s="509"/>
      <c r="D3" s="511">
        <f>EthiopiaDigesterAnaly!B69</f>
        <v>4210.9333028889678</v>
      </c>
    </row>
    <row r="4" spans="2:14">
      <c r="B4" s="508" t="s">
        <v>295</v>
      </c>
      <c r="C4" s="509"/>
      <c r="D4" s="708">
        <v>2570</v>
      </c>
      <c r="E4" s="474" t="s">
        <v>296</v>
      </c>
    </row>
    <row r="5" spans="2:14">
      <c r="B5" s="508" t="s">
        <v>297</v>
      </c>
      <c r="C5" s="509"/>
      <c r="D5" s="512">
        <f>D3*CapitalCostperKW</f>
        <v>10822098.588424647</v>
      </c>
      <c r="F5" s="709" t="s">
        <v>298</v>
      </c>
      <c r="G5" s="710" t="s">
        <v>299</v>
      </c>
    </row>
    <row r="6" spans="2:14">
      <c r="B6" s="508"/>
      <c r="C6" s="509"/>
      <c r="D6" s="510"/>
      <c r="F6" s="709" t="s">
        <v>511</v>
      </c>
      <c r="G6" s="711">
        <v>16</v>
      </c>
    </row>
    <row r="7" spans="2:14">
      <c r="B7" s="508" t="s">
        <v>300</v>
      </c>
      <c r="C7" s="509" t="s">
        <v>301</v>
      </c>
      <c r="D7" s="513">
        <v>0</v>
      </c>
      <c r="F7" s="709" t="s">
        <v>10</v>
      </c>
      <c r="G7" s="711">
        <v>677</v>
      </c>
    </row>
    <row r="8" spans="2:14">
      <c r="B8" s="508" t="s">
        <v>302</v>
      </c>
      <c r="C8" s="509" t="s">
        <v>301</v>
      </c>
      <c r="D8" s="514">
        <v>0</v>
      </c>
      <c r="F8" s="709" t="s">
        <v>8</v>
      </c>
      <c r="G8" s="711">
        <v>674</v>
      </c>
    </row>
    <row r="9" spans="2:14">
      <c r="B9" s="508" t="s">
        <v>303</v>
      </c>
      <c r="C9" s="509" t="s">
        <v>304</v>
      </c>
      <c r="D9" s="514">
        <v>0</v>
      </c>
      <c r="F9" s="709" t="s">
        <v>6</v>
      </c>
      <c r="G9" s="711">
        <v>527</v>
      </c>
    </row>
    <row r="10" spans="2:14">
      <c r="B10" s="508" t="s">
        <v>305</v>
      </c>
      <c r="C10" s="509" t="s">
        <v>304</v>
      </c>
      <c r="D10" s="515">
        <f>0.9/100</f>
        <v>9.0000000000000011E-3</v>
      </c>
      <c r="F10" s="709"/>
      <c r="G10" s="711">
        <f>SUM(G6:G9)</f>
        <v>1894</v>
      </c>
    </row>
    <row r="11" spans="2:14">
      <c r="B11" s="508"/>
      <c r="C11" s="509"/>
      <c r="D11" s="510"/>
      <c r="F11" s="709"/>
      <c r="G11" s="709"/>
    </row>
    <row r="12" spans="2:14">
      <c r="B12" s="508" t="s">
        <v>306</v>
      </c>
      <c r="C12" s="516" t="s">
        <v>307</v>
      </c>
      <c r="D12" s="517">
        <v>0.3</v>
      </c>
      <c r="E12" s="474" t="s">
        <v>308</v>
      </c>
      <c r="F12" s="709"/>
      <c r="G12" s="709">
        <f>G10/4</f>
        <v>473.5</v>
      </c>
      <c r="H12" s="474">
        <f>(G7+G8+G9)/3</f>
        <v>626</v>
      </c>
      <c r="I12" s="474" t="s">
        <v>309</v>
      </c>
    </row>
    <row r="13" spans="2:14">
      <c r="B13" s="508" t="s">
        <v>310</v>
      </c>
      <c r="C13" s="516" t="s">
        <v>307</v>
      </c>
      <c r="D13" s="518">
        <v>0.44</v>
      </c>
      <c r="E13" s="474" t="s">
        <v>308</v>
      </c>
      <c r="F13" t="s">
        <v>311</v>
      </c>
    </row>
    <row r="14" spans="2:14" ht="17.25" customHeight="1">
      <c r="B14" s="508" t="s">
        <v>312</v>
      </c>
      <c r="C14" s="516" t="s">
        <v>313</v>
      </c>
      <c r="D14" s="519">
        <f>12*365</f>
        <v>4380</v>
      </c>
      <c r="F14" s="474" t="s">
        <v>314</v>
      </c>
      <c r="N14" s="477"/>
    </row>
    <row r="15" spans="2:14">
      <c r="B15" s="508"/>
      <c r="C15" s="509"/>
      <c r="D15" s="510"/>
      <c r="F15" s="474" t="s">
        <v>315</v>
      </c>
      <c r="N15" s="477"/>
    </row>
    <row r="16" spans="2:14">
      <c r="B16" s="508" t="s">
        <v>316</v>
      </c>
      <c r="C16" s="509" t="s">
        <v>304</v>
      </c>
      <c r="D16" s="520">
        <v>0.08</v>
      </c>
      <c r="E16" s="474" t="s">
        <v>317</v>
      </c>
    </row>
    <row r="17" spans="2:27" s="478" customFormat="1" ht="12.95">
      <c r="B17" s="508" t="s">
        <v>318</v>
      </c>
      <c r="C17" s="509" t="s">
        <v>304</v>
      </c>
      <c r="D17" s="521">
        <v>0.23</v>
      </c>
      <c r="E17" s="478" t="s">
        <v>319</v>
      </c>
      <c r="O17" s="479"/>
      <c r="R17" s="480"/>
    </row>
    <row r="18" spans="2:27">
      <c r="B18" s="508"/>
      <c r="C18" s="509"/>
      <c r="D18" s="510"/>
      <c r="U18" s="481"/>
      <c r="V18" s="481"/>
      <c r="Z18" s="482"/>
    </row>
    <row r="19" spans="2:27">
      <c r="B19" s="508"/>
      <c r="C19" s="509"/>
      <c r="D19" s="510"/>
      <c r="Q19" s="483"/>
      <c r="U19" s="481"/>
      <c r="V19" s="481"/>
      <c r="Z19" s="482"/>
    </row>
    <row r="20" spans="2:27">
      <c r="B20" s="508"/>
      <c r="C20" s="509"/>
      <c r="D20" s="510"/>
      <c r="U20" s="481"/>
      <c r="V20" s="481"/>
      <c r="Z20" s="482"/>
    </row>
    <row r="21" spans="2:27">
      <c r="B21" s="508" t="s">
        <v>320</v>
      </c>
      <c r="C21" s="516" t="s">
        <v>321</v>
      </c>
      <c r="D21" s="522">
        <f>G6/1000</f>
        <v>1.6E-2</v>
      </c>
      <c r="E21" s="707" t="s">
        <v>322</v>
      </c>
      <c r="U21" s="481"/>
      <c r="V21" s="481"/>
      <c r="Z21" s="482"/>
    </row>
    <row r="22" spans="2:27">
      <c r="B22" s="508" t="s">
        <v>323</v>
      </c>
      <c r="C22" s="516" t="s">
        <v>321</v>
      </c>
      <c r="D22" s="523">
        <f>H12/1000</f>
        <v>0.626</v>
      </c>
      <c r="E22" s="707"/>
      <c r="U22" s="481"/>
      <c r="V22" s="481"/>
      <c r="Z22" s="482"/>
    </row>
    <row r="23" spans="2:27">
      <c r="B23" s="508" t="s">
        <v>327</v>
      </c>
      <c r="C23" s="516" t="s">
        <v>321</v>
      </c>
      <c r="D23" s="523">
        <v>0.64</v>
      </c>
      <c r="E23" s="474" t="s">
        <v>328</v>
      </c>
      <c r="P23" s="481"/>
      <c r="V23" s="481"/>
      <c r="Z23" s="482"/>
    </row>
    <row r="24" spans="2:27">
      <c r="B24" s="508" t="s">
        <v>329</v>
      </c>
      <c r="C24" s="516" t="s">
        <v>307</v>
      </c>
      <c r="D24" s="524">
        <v>0</v>
      </c>
      <c r="U24" s="481"/>
      <c r="V24" s="481"/>
      <c r="Z24" s="482"/>
    </row>
    <row r="25" spans="2:27">
      <c r="B25" s="508"/>
      <c r="C25" s="509"/>
      <c r="D25" s="510"/>
      <c r="U25" s="481"/>
      <c r="V25" s="481"/>
      <c r="Z25" s="482"/>
    </row>
    <row r="26" spans="2:27">
      <c r="B26" s="508"/>
      <c r="C26" s="509"/>
      <c r="D26" s="510"/>
      <c r="U26" s="481"/>
      <c r="V26" s="481"/>
      <c r="Z26" s="482"/>
    </row>
    <row r="27" spans="2:27">
      <c r="B27" s="525" t="s">
        <v>330</v>
      </c>
      <c r="C27" s="526" t="s">
        <v>331</v>
      </c>
      <c r="D27" s="527">
        <f>D5</f>
        <v>10822098.588424647</v>
      </c>
      <c r="U27" s="481"/>
      <c r="V27" s="481"/>
      <c r="Z27" s="482"/>
    </row>
    <row r="28" spans="2:27">
      <c r="U28" s="481"/>
      <c r="V28" s="481"/>
      <c r="Z28" s="482"/>
    </row>
    <row r="29" spans="2:27">
      <c r="B29" s="528" t="s">
        <v>332</v>
      </c>
      <c r="C29" s="529">
        <v>1</v>
      </c>
      <c r="D29" s="530" t="s">
        <v>333</v>
      </c>
      <c r="M29" s="481"/>
      <c r="U29" s="481"/>
      <c r="V29" s="481"/>
      <c r="Z29" s="482"/>
    </row>
    <row r="30" spans="2:27">
      <c r="B30" s="531" t="s">
        <v>334</v>
      </c>
      <c r="C30" s="532">
        <v>1000</v>
      </c>
      <c r="D30" s="533" t="s">
        <v>335</v>
      </c>
      <c r="O30" s="481"/>
      <c r="P30" s="481"/>
      <c r="V30" s="481"/>
      <c r="W30" s="481"/>
      <c r="AA30" s="482"/>
    </row>
    <row r="31" spans="2:27">
      <c r="B31" s="531" t="s">
        <v>336</v>
      </c>
      <c r="C31" s="534">
        <v>3.5999999999999999E-3</v>
      </c>
      <c r="D31" s="533" t="s">
        <v>337</v>
      </c>
      <c r="O31" s="481"/>
      <c r="P31" s="481"/>
      <c r="V31" s="481"/>
      <c r="W31" s="481"/>
      <c r="AA31" s="482"/>
    </row>
    <row r="33" spans="2:5" ht="12.95">
      <c r="B33" s="880" t="s">
        <v>338</v>
      </c>
      <c r="C33" s="881"/>
      <c r="D33" s="882"/>
    </row>
    <row r="34" spans="2:5">
      <c r="B34" s="535" t="s">
        <v>339</v>
      </c>
      <c r="C34" s="536" t="s">
        <v>307</v>
      </c>
      <c r="D34" s="517">
        <v>1</v>
      </c>
    </row>
    <row r="35" spans="2:5">
      <c r="B35" s="531" t="s">
        <v>340</v>
      </c>
      <c r="C35" s="533" t="s">
        <v>307</v>
      </c>
      <c r="D35" s="524">
        <v>0</v>
      </c>
    </row>
    <row r="36" spans="2:5">
      <c r="B36" s="537" t="s">
        <v>341</v>
      </c>
      <c r="C36" s="538" t="s">
        <v>342</v>
      </c>
      <c r="D36" s="539">
        <v>25</v>
      </c>
    </row>
    <row r="37" spans="2:5">
      <c r="B37" s="531" t="s">
        <v>343</v>
      </c>
      <c r="C37" s="533" t="s">
        <v>342</v>
      </c>
      <c r="D37" s="540">
        <v>25</v>
      </c>
    </row>
    <row r="38" spans="2:5">
      <c r="B38" s="537" t="s">
        <v>344</v>
      </c>
      <c r="C38" s="538" t="s">
        <v>307</v>
      </c>
      <c r="D38" s="518">
        <v>0.14699999999999999</v>
      </c>
      <c r="E38" s="474" t="s">
        <v>308</v>
      </c>
    </row>
    <row r="39" spans="2:5">
      <c r="B39" s="537" t="s">
        <v>345</v>
      </c>
      <c r="C39" s="538" t="s">
        <v>307</v>
      </c>
      <c r="D39" s="518">
        <f>0.0075</f>
        <v>7.4999999999999997E-3</v>
      </c>
    </row>
    <row r="40" spans="2:5">
      <c r="B40" s="537" t="s">
        <v>346</v>
      </c>
      <c r="C40" s="538" t="s">
        <v>307</v>
      </c>
      <c r="D40" s="518">
        <v>0.12</v>
      </c>
      <c r="E40" s="474" t="s">
        <v>347</v>
      </c>
    </row>
    <row r="41" spans="2:5">
      <c r="B41" s="531" t="s">
        <v>348</v>
      </c>
      <c r="C41" s="533" t="s">
        <v>307</v>
      </c>
      <c r="D41" s="524">
        <v>0.2</v>
      </c>
      <c r="E41" s="474" t="s">
        <v>349</v>
      </c>
    </row>
    <row r="43" spans="2:5" ht="13.5" thickBot="1">
      <c r="B43" s="883" t="s">
        <v>350</v>
      </c>
      <c r="C43" s="883"/>
      <c r="D43" s="883"/>
    </row>
    <row r="44" spans="2:5" ht="12.95" thickTop="1">
      <c r="B44" s="509" t="s">
        <v>351</v>
      </c>
      <c r="C44" s="541">
        <f>D101</f>
        <v>10822098.588424647</v>
      </c>
      <c r="D44" s="516" t="s">
        <v>331</v>
      </c>
    </row>
    <row r="45" spans="2:5">
      <c r="B45" s="509" t="s">
        <v>352</v>
      </c>
      <c r="C45" s="541">
        <f>SUM(D83:AB84)</f>
        <v>4149874.7699970817</v>
      </c>
      <c r="D45" s="516" t="s">
        <v>331</v>
      </c>
    </row>
    <row r="46" spans="2:5" ht="13.5" thickBot="1">
      <c r="B46" s="542" t="s">
        <v>97</v>
      </c>
      <c r="C46" s="543">
        <f>C45+C44</f>
        <v>14971973.358421728</v>
      </c>
      <c r="D46" s="544" t="s">
        <v>331</v>
      </c>
    </row>
    <row r="47" spans="2:5">
      <c r="B47" s="509" t="s">
        <v>353</v>
      </c>
      <c r="C47" s="541">
        <f>D125</f>
        <v>-22691905.798259497</v>
      </c>
      <c r="D47" s="516" t="s">
        <v>331</v>
      </c>
    </row>
    <row r="48" spans="2:5">
      <c r="B48" s="509" t="s">
        <v>354</v>
      </c>
      <c r="C48" s="541">
        <f>D131</f>
        <v>-9157316.5502420869</v>
      </c>
      <c r="D48" s="516" t="s">
        <v>331</v>
      </c>
    </row>
    <row r="49" spans="2:4" ht="13.5" thickBot="1">
      <c r="B49" s="542" t="s">
        <v>355</v>
      </c>
      <c r="C49" s="543">
        <f>C46-C47-C48</f>
        <v>46821195.706923313</v>
      </c>
      <c r="D49" s="544" t="s">
        <v>331</v>
      </c>
    </row>
    <row r="51" spans="2:4" ht="13.5" thickBot="1">
      <c r="B51" s="883" t="s">
        <v>356</v>
      </c>
      <c r="C51" s="883"/>
      <c r="D51" s="883"/>
    </row>
    <row r="52" spans="2:4" ht="12.95" thickTop="1">
      <c r="B52" s="509" t="s">
        <v>351</v>
      </c>
      <c r="C52" s="541">
        <f>C44/D79</f>
        <v>2.3470319634703193E-2</v>
      </c>
      <c r="D52" s="516" t="s">
        <v>331</v>
      </c>
    </row>
    <row r="53" spans="2:4">
      <c r="B53" s="509" t="s">
        <v>352</v>
      </c>
      <c r="C53" s="541">
        <f>C45/D79</f>
        <v>9.000000000000008E-3</v>
      </c>
      <c r="D53" s="516" t="s">
        <v>331</v>
      </c>
    </row>
    <row r="54" spans="2:4" ht="13.5" thickBot="1">
      <c r="B54" s="542" t="s">
        <v>97</v>
      </c>
      <c r="C54" s="543">
        <f>C53+C52</f>
        <v>3.2470319634703204E-2</v>
      </c>
      <c r="D54" s="544" t="s">
        <v>331</v>
      </c>
    </row>
    <row r="55" spans="2:4">
      <c r="B55" s="509" t="s">
        <v>353</v>
      </c>
      <c r="C55" s="541">
        <f>C47/D79</f>
        <v>-4.9212847014291773E-2</v>
      </c>
      <c r="D55" s="516" t="s">
        <v>331</v>
      </c>
    </row>
    <row r="56" spans="2:4">
      <c r="B56" s="509" t="s">
        <v>354</v>
      </c>
      <c r="C56" s="541">
        <f>C48/D79</f>
        <v>-1.9859840000000004E-2</v>
      </c>
      <c r="D56" s="516" t="s">
        <v>331</v>
      </c>
    </row>
    <row r="57" spans="2:4" ht="13.5" thickBot="1">
      <c r="B57" s="542" t="s">
        <v>355</v>
      </c>
      <c r="C57" s="543">
        <f>C54-C55-C56</f>
        <v>0.10154300664899497</v>
      </c>
      <c r="D57" s="544" t="s">
        <v>331</v>
      </c>
    </row>
    <row r="59" spans="2:4" ht="12.95">
      <c r="B59" s="880" t="s">
        <v>357</v>
      </c>
      <c r="C59" s="881"/>
      <c r="D59" s="882"/>
    </row>
    <row r="60" spans="2:4" ht="12.95">
      <c r="B60" s="528" t="s">
        <v>358</v>
      </c>
      <c r="C60" s="545" t="s">
        <v>359</v>
      </c>
      <c r="D60" s="521">
        <f>SUM(D111:AM111)/SUM(D110:AM110)</f>
        <v>0.12732004520604978</v>
      </c>
    </row>
    <row r="61" spans="2:4" ht="12.95">
      <c r="B61" s="528" t="s">
        <v>360</v>
      </c>
      <c r="C61" s="545" t="s">
        <v>359</v>
      </c>
      <c r="D61" s="521">
        <f>SUM(D112:AM112)/SUM(D110:AM110)</f>
        <v>0.1471259514909776</v>
      </c>
    </row>
    <row r="62" spans="2:4" ht="12.95">
      <c r="B62" s="528" t="s">
        <v>358</v>
      </c>
      <c r="C62" s="545" t="s">
        <v>361</v>
      </c>
      <c r="D62" s="546">
        <f>D60/$C$31</f>
        <v>35.366679223902715</v>
      </c>
    </row>
    <row r="63" spans="2:4" ht="12.95">
      <c r="B63" s="528" t="s">
        <v>362</v>
      </c>
      <c r="C63" s="545" t="s">
        <v>361</v>
      </c>
      <c r="D63" s="546">
        <f>D61/C31</f>
        <v>40.868319858604892</v>
      </c>
    </row>
    <row r="65" spans="1:39" ht="13.5" thickBot="1">
      <c r="B65" s="547" t="s">
        <v>363</v>
      </c>
      <c r="C65" s="548" t="s">
        <v>364</v>
      </c>
      <c r="D65" s="547"/>
    </row>
    <row r="66" spans="1:39" ht="12.95" thickTop="1">
      <c r="B66" s="549" t="s">
        <v>365</v>
      </c>
      <c r="C66" s="516" t="s">
        <v>331</v>
      </c>
      <c r="D66" s="550">
        <f>(D16-D60)*SUM(D78:AB78)</f>
        <v>-21819140.190634131</v>
      </c>
    </row>
    <row r="67" spans="1:39">
      <c r="B67" s="549" t="s">
        <v>366</v>
      </c>
      <c r="C67" s="516" t="s">
        <v>331</v>
      </c>
      <c r="D67" s="550">
        <f>(D17-D60)*SUM(D78:AB78)</f>
        <v>47345439.309317179</v>
      </c>
    </row>
    <row r="68" spans="1:39">
      <c r="B68" s="549" t="s">
        <v>367</v>
      </c>
      <c r="C68" s="516" t="s">
        <v>368</v>
      </c>
      <c r="D68" s="551">
        <f>D21*SUM(D78:AB78)</f>
        <v>7377555.1466614725</v>
      </c>
      <c r="E68" s="484"/>
    </row>
    <row r="69" spans="1:39">
      <c r="B69" s="549" t="s">
        <v>369</v>
      </c>
      <c r="C69" s="516" t="s">
        <v>368</v>
      </c>
      <c r="D69" s="551">
        <f>D23*SUM(D78:AB78)</f>
        <v>295102205.86645889</v>
      </c>
      <c r="E69" s="484"/>
    </row>
    <row r="71" spans="1:39">
      <c r="B71" s="509" t="s">
        <v>370</v>
      </c>
      <c r="C71" s="516" t="s">
        <v>371</v>
      </c>
      <c r="D71" s="551">
        <f>SUM(D78:AB78)</f>
        <v>461097196.66634202</v>
      </c>
    </row>
    <row r="72" spans="1:39">
      <c r="B72" s="509" t="s">
        <v>372</v>
      </c>
      <c r="C72" s="552" t="s">
        <v>373</v>
      </c>
      <c r="D72" s="553">
        <f>D120</f>
        <v>-295102.20586645888</v>
      </c>
    </row>
    <row r="75" spans="1:39" ht="12.95">
      <c r="B75" s="554" t="s">
        <v>67</v>
      </c>
      <c r="C75" s="555"/>
      <c r="D75" s="556" t="s">
        <v>374</v>
      </c>
      <c r="E75" s="556" t="s">
        <v>375</v>
      </c>
      <c r="F75" s="556" t="s">
        <v>376</v>
      </c>
      <c r="G75" s="556" t="s">
        <v>377</v>
      </c>
      <c r="H75" s="556" t="s">
        <v>378</v>
      </c>
      <c r="I75" s="556" t="s">
        <v>379</v>
      </c>
      <c r="J75" s="556" t="s">
        <v>380</v>
      </c>
      <c r="K75" s="556" t="s">
        <v>381</v>
      </c>
      <c r="L75" s="556" t="s">
        <v>382</v>
      </c>
      <c r="M75" s="556" t="s">
        <v>383</v>
      </c>
      <c r="N75" s="556" t="s">
        <v>384</v>
      </c>
      <c r="O75" s="556" t="s">
        <v>385</v>
      </c>
      <c r="P75" s="556" t="s">
        <v>386</v>
      </c>
      <c r="Q75" s="556" t="s">
        <v>387</v>
      </c>
      <c r="R75" s="556" t="s">
        <v>388</v>
      </c>
      <c r="S75" s="556" t="s">
        <v>389</v>
      </c>
      <c r="T75" s="556" t="s">
        <v>390</v>
      </c>
      <c r="U75" s="556" t="s">
        <v>391</v>
      </c>
      <c r="V75" s="556" t="s">
        <v>392</v>
      </c>
      <c r="W75" s="556" t="s">
        <v>393</v>
      </c>
      <c r="X75" s="556" t="s">
        <v>394</v>
      </c>
      <c r="Y75" s="556" t="s">
        <v>395</v>
      </c>
      <c r="Z75" s="556" t="s">
        <v>396</v>
      </c>
      <c r="AA75" s="556" t="s">
        <v>397</v>
      </c>
      <c r="AB75" s="556" t="s">
        <v>398</v>
      </c>
      <c r="AC75" s="556" t="s">
        <v>399</v>
      </c>
      <c r="AD75" s="556" t="s">
        <v>400</v>
      </c>
      <c r="AE75" s="556" t="s">
        <v>401</v>
      </c>
      <c r="AF75" s="556" t="s">
        <v>402</v>
      </c>
      <c r="AG75" s="556" t="s">
        <v>403</v>
      </c>
      <c r="AH75" s="556" t="s">
        <v>404</v>
      </c>
      <c r="AI75" s="556" t="s">
        <v>405</v>
      </c>
      <c r="AJ75" s="556" t="s">
        <v>406</v>
      </c>
      <c r="AK75" s="556" t="s">
        <v>407</v>
      </c>
      <c r="AL75" s="556" t="s">
        <v>408</v>
      </c>
      <c r="AM75" s="556" t="s">
        <v>409</v>
      </c>
    </row>
    <row r="76" spans="1:39">
      <c r="B76" s="557" t="s">
        <v>410</v>
      </c>
      <c r="C76" s="558"/>
      <c r="D76" s="559">
        <v>0</v>
      </c>
      <c r="E76" s="559">
        <v>1</v>
      </c>
      <c r="F76" s="559">
        <v>2</v>
      </c>
      <c r="G76" s="559">
        <v>3</v>
      </c>
      <c r="H76" s="559">
        <v>4</v>
      </c>
      <c r="I76" s="559">
        <v>5</v>
      </c>
      <c r="J76" s="559">
        <v>6</v>
      </c>
      <c r="K76" s="559">
        <v>7</v>
      </c>
      <c r="L76" s="559">
        <v>8</v>
      </c>
      <c r="M76" s="559">
        <v>9</v>
      </c>
      <c r="N76" s="559">
        <v>10</v>
      </c>
      <c r="O76" s="559">
        <v>11</v>
      </c>
      <c r="P76" s="559">
        <v>12</v>
      </c>
      <c r="Q76" s="559">
        <v>13</v>
      </c>
      <c r="R76" s="559">
        <v>14</v>
      </c>
      <c r="S76" s="559">
        <v>15</v>
      </c>
      <c r="T76" s="559">
        <v>16</v>
      </c>
      <c r="U76" s="559">
        <v>17</v>
      </c>
      <c r="V76" s="559">
        <v>18</v>
      </c>
      <c r="W76" s="559">
        <v>19</v>
      </c>
      <c r="X76" s="559">
        <v>20</v>
      </c>
      <c r="Y76" s="559">
        <v>21</v>
      </c>
      <c r="Z76" s="559">
        <v>22</v>
      </c>
      <c r="AA76" s="559">
        <v>23</v>
      </c>
      <c r="AB76" s="559">
        <v>24</v>
      </c>
      <c r="AC76" s="559">
        <v>25</v>
      </c>
      <c r="AD76" s="559">
        <v>26</v>
      </c>
      <c r="AE76" s="559">
        <v>27</v>
      </c>
      <c r="AF76" s="559">
        <v>28</v>
      </c>
      <c r="AG76" s="559">
        <v>29</v>
      </c>
      <c r="AH76" s="559">
        <v>30</v>
      </c>
      <c r="AI76" s="559">
        <v>31</v>
      </c>
      <c r="AJ76" s="559">
        <v>32</v>
      </c>
      <c r="AK76" s="559">
        <v>33</v>
      </c>
      <c r="AL76" s="559">
        <v>34</v>
      </c>
      <c r="AM76" s="560">
        <v>35</v>
      </c>
    </row>
    <row r="77" spans="1:39" ht="18" customHeight="1">
      <c r="B77" s="478"/>
      <c r="C77" s="485"/>
      <c r="D77" s="485"/>
    </row>
    <row r="78" spans="1:39">
      <c r="B78" s="561" t="s">
        <v>411</v>
      </c>
      <c r="C78" s="545" t="s">
        <v>412</v>
      </c>
      <c r="D78" s="562">
        <f>EthiopiaDigesterAnaly!B68</f>
        <v>18443887.866653681</v>
      </c>
      <c r="E78" s="532">
        <f>'EthBiogas Electricity Fin '!$D$78</f>
        <v>18443887.866653681</v>
      </c>
      <c r="F78" s="532">
        <f>'EthBiogas Electricity Fin '!$D$78</f>
        <v>18443887.866653681</v>
      </c>
      <c r="G78" s="532">
        <f>'EthBiogas Electricity Fin '!$D$78</f>
        <v>18443887.866653681</v>
      </c>
      <c r="H78" s="532">
        <f>'EthBiogas Electricity Fin '!$D$78</f>
        <v>18443887.866653681</v>
      </c>
      <c r="I78" s="532">
        <f>'EthBiogas Electricity Fin '!$D$78</f>
        <v>18443887.866653681</v>
      </c>
      <c r="J78" s="532">
        <f>'EthBiogas Electricity Fin '!$D$78</f>
        <v>18443887.866653681</v>
      </c>
      <c r="K78" s="532">
        <f>'EthBiogas Electricity Fin '!$D$78</f>
        <v>18443887.866653681</v>
      </c>
      <c r="L78" s="532">
        <f>'EthBiogas Electricity Fin '!$D$78</f>
        <v>18443887.866653681</v>
      </c>
      <c r="M78" s="532">
        <f>'EthBiogas Electricity Fin '!$D$78</f>
        <v>18443887.866653681</v>
      </c>
      <c r="N78" s="532">
        <f>'EthBiogas Electricity Fin '!$D$78</f>
        <v>18443887.866653681</v>
      </c>
      <c r="O78" s="532">
        <f>'EthBiogas Electricity Fin '!$D$78</f>
        <v>18443887.866653681</v>
      </c>
      <c r="P78" s="532">
        <f>'EthBiogas Electricity Fin '!$D$78</f>
        <v>18443887.866653681</v>
      </c>
      <c r="Q78" s="532">
        <f>'EthBiogas Electricity Fin '!$D$78</f>
        <v>18443887.866653681</v>
      </c>
      <c r="R78" s="719">
        <f>'EthBiogas Electricity Fin '!$D$78</f>
        <v>18443887.866653681</v>
      </c>
      <c r="S78" s="532">
        <f>'EthBiogas Electricity Fin '!$D$78</f>
        <v>18443887.866653681</v>
      </c>
      <c r="T78" s="532">
        <f>'EthBiogas Electricity Fin '!$D$78</f>
        <v>18443887.866653681</v>
      </c>
      <c r="U78" s="532">
        <f>'EthBiogas Electricity Fin '!$D$78</f>
        <v>18443887.866653681</v>
      </c>
      <c r="V78" s="532">
        <f>'EthBiogas Electricity Fin '!$D$78</f>
        <v>18443887.866653681</v>
      </c>
      <c r="W78" s="532">
        <f>'EthBiogas Electricity Fin '!$D$78</f>
        <v>18443887.866653681</v>
      </c>
      <c r="X78" s="532">
        <f>'EthBiogas Electricity Fin '!$D$78</f>
        <v>18443887.866653681</v>
      </c>
      <c r="Y78" s="532">
        <f>'EthBiogas Electricity Fin '!$D$78</f>
        <v>18443887.866653681</v>
      </c>
      <c r="Z78" s="532">
        <f>'EthBiogas Electricity Fin '!$D$78</f>
        <v>18443887.866653681</v>
      </c>
      <c r="AA78" s="532">
        <f>'EthBiogas Electricity Fin '!$D$78</f>
        <v>18443887.866653681</v>
      </c>
      <c r="AB78" s="532">
        <f>'EthBiogas Electricity Fin '!$D$78</f>
        <v>18443887.866653681</v>
      </c>
      <c r="AC78" s="532">
        <f>AB78</f>
        <v>18443887.866653681</v>
      </c>
      <c r="AD78" s="532">
        <f>IF(AD76&lt;=$D$37,AC78*(1-'EthBiogas Electricity Fin '!$D$24),0)</f>
        <v>0</v>
      </c>
      <c r="AE78" s="532">
        <f>IF(AE76&lt;=$D$37,AD78*(1-'EthBiogas Electricity Fin '!$D$24),0)</f>
        <v>0</v>
      </c>
      <c r="AF78" s="532">
        <f>IF(AF76&lt;=$D$37,AE78*(1-'EthBiogas Electricity Fin '!$D$24),0)</f>
        <v>0</v>
      </c>
      <c r="AG78" s="532">
        <f>IF(AG76&lt;=$D$37,AF78*(1-'EthBiogas Electricity Fin '!$D$24),0)</f>
        <v>0</v>
      </c>
      <c r="AH78" s="532">
        <f>IF(AH76&lt;=$D$37,AG78*(1-'EthBiogas Electricity Fin '!$D$24),0)</f>
        <v>0</v>
      </c>
      <c r="AI78" s="532">
        <f>IF(AI76&lt;=$D$37,AH78*(1-'EthBiogas Electricity Fin '!$D$24),0)</f>
        <v>0</v>
      </c>
      <c r="AJ78" s="532">
        <f>IF(AJ76&lt;=$D$37,AI78*(1-'EthBiogas Electricity Fin '!$D$24),0)</f>
        <v>0</v>
      </c>
      <c r="AK78" s="532">
        <f>IF(AK76&lt;=$D$37,AJ78*(1-'EthBiogas Electricity Fin '!$D$24),0)</f>
        <v>0</v>
      </c>
      <c r="AL78" s="532">
        <f>IF(AL76&lt;=$D$37,AK78*(1-'EthBiogas Electricity Fin '!$D$24),0)</f>
        <v>0</v>
      </c>
      <c r="AM78" s="563">
        <f>IF(AM76&lt;=$D$37,AL78*(1-'EthBiogas Electricity Fin '!$D$24),0)</f>
        <v>0</v>
      </c>
    </row>
    <row r="79" spans="1:39" s="487" customFormat="1">
      <c r="A79" s="474"/>
      <c r="B79" s="564" t="s">
        <v>413</v>
      </c>
      <c r="C79" s="545" t="s">
        <v>371</v>
      </c>
      <c r="D79" s="563">
        <f>SUM(D78:AB78)</f>
        <v>461097196.66634202</v>
      </c>
      <c r="E79" s="486"/>
      <c r="F79" s="486"/>
      <c r="G79" s="486"/>
      <c r="H79" s="486"/>
      <c r="I79" s="486"/>
      <c r="J79" s="486"/>
      <c r="K79" s="486"/>
      <c r="L79" s="486"/>
      <c r="M79" s="486"/>
      <c r="N79" s="486"/>
      <c r="O79" s="486"/>
      <c r="P79" s="486"/>
      <c r="Q79" s="486"/>
      <c r="R79" s="720"/>
      <c r="S79" s="486"/>
      <c r="T79" s="486"/>
      <c r="U79" s="486"/>
      <c r="V79" s="486"/>
      <c r="W79" s="486"/>
      <c r="X79" s="486"/>
      <c r="Y79" s="486"/>
      <c r="Z79" s="486"/>
      <c r="AA79" s="486"/>
      <c r="AB79" s="486"/>
      <c r="AC79" s="486"/>
      <c r="AD79" s="486"/>
      <c r="AE79" s="486"/>
      <c r="AF79" s="486"/>
      <c r="AG79" s="486"/>
      <c r="AH79" s="486"/>
      <c r="AI79" s="486"/>
      <c r="AJ79" s="486"/>
      <c r="AK79" s="486"/>
      <c r="AL79" s="486"/>
      <c r="AM79" s="486"/>
    </row>
    <row r="80" spans="1:39">
      <c r="B80" s="478"/>
      <c r="C80" s="485"/>
      <c r="D80" s="488"/>
      <c r="E80" s="488"/>
      <c r="F80" s="488"/>
      <c r="G80" s="488"/>
      <c r="H80" s="488"/>
      <c r="I80" s="488"/>
      <c r="J80" s="488"/>
      <c r="K80" s="488"/>
      <c r="L80" s="488"/>
      <c r="M80" s="488"/>
      <c r="N80" s="488"/>
      <c r="O80" s="488"/>
      <c r="P80" s="488"/>
      <c r="Q80" s="488"/>
      <c r="R80" s="488"/>
      <c r="S80" s="488"/>
      <c r="T80" s="488"/>
      <c r="U80" s="488"/>
      <c r="V80" s="488"/>
      <c r="W80" s="488"/>
      <c r="X80" s="488"/>
      <c r="Y80" s="488"/>
      <c r="Z80" s="488"/>
      <c r="AA80" s="488"/>
      <c r="AB80" s="488"/>
      <c r="AC80" s="488"/>
      <c r="AD80" s="488"/>
      <c r="AE80" s="488"/>
      <c r="AF80" s="488"/>
      <c r="AG80" s="488"/>
      <c r="AH80" s="488"/>
      <c r="AI80" s="488"/>
      <c r="AJ80" s="488"/>
      <c r="AK80" s="488"/>
      <c r="AL80" s="488"/>
      <c r="AM80" s="488"/>
    </row>
    <row r="81" spans="2:39" ht="12.95">
      <c r="B81" s="565" t="s">
        <v>414</v>
      </c>
      <c r="C81" s="566" t="s">
        <v>364</v>
      </c>
      <c r="D81" s="485"/>
      <c r="E81" s="489"/>
      <c r="F81" s="489"/>
      <c r="G81" s="489"/>
      <c r="H81" s="489"/>
      <c r="I81" s="489"/>
      <c r="J81" s="489"/>
      <c r="K81" s="489"/>
      <c r="L81" s="489"/>
      <c r="M81" s="489"/>
      <c r="N81" s="489"/>
      <c r="O81" s="489"/>
      <c r="P81" s="489"/>
      <c r="Q81" s="489"/>
      <c r="R81" s="489"/>
      <c r="S81" s="489"/>
      <c r="T81" s="489"/>
      <c r="U81" s="489"/>
      <c r="V81" s="489"/>
      <c r="W81" s="489"/>
      <c r="X81" s="489"/>
      <c r="Y81" s="489"/>
      <c r="Z81" s="489"/>
      <c r="AA81" s="489"/>
      <c r="AB81" s="489"/>
      <c r="AC81" s="489"/>
      <c r="AD81" s="489"/>
      <c r="AE81" s="489"/>
      <c r="AF81" s="489"/>
      <c r="AG81" s="489"/>
      <c r="AH81" s="489"/>
      <c r="AI81" s="489"/>
      <c r="AJ81" s="489"/>
      <c r="AK81" s="489"/>
      <c r="AL81" s="489"/>
      <c r="AM81" s="489"/>
    </row>
    <row r="82" spans="2:39" ht="12.95">
      <c r="B82" s="505" t="s">
        <v>415</v>
      </c>
      <c r="C82" s="567">
        <f>0.9/100</f>
        <v>9.0000000000000011E-3</v>
      </c>
      <c r="D82" s="485"/>
      <c r="E82" s="489"/>
      <c r="F82" s="489"/>
      <c r="G82" s="489"/>
      <c r="H82" s="489"/>
      <c r="I82" s="489"/>
      <c r="J82" s="489"/>
      <c r="K82" s="489"/>
      <c r="L82" s="489"/>
      <c r="M82" s="489"/>
      <c r="N82" s="489"/>
      <c r="O82" s="489"/>
      <c r="P82" s="489"/>
      <c r="Q82" s="489"/>
      <c r="R82" s="489"/>
      <c r="S82" s="489"/>
      <c r="T82" s="489"/>
      <c r="U82" s="489"/>
      <c r="V82" s="489"/>
      <c r="W82" s="489"/>
      <c r="X82" s="489"/>
      <c r="Y82" s="489"/>
      <c r="Z82" s="489"/>
      <c r="AA82" s="489"/>
      <c r="AB82" s="489"/>
      <c r="AC82" s="489"/>
      <c r="AD82" s="489"/>
      <c r="AE82" s="489"/>
      <c r="AF82" s="489"/>
      <c r="AG82" s="489"/>
      <c r="AH82" s="489"/>
      <c r="AI82" s="489"/>
      <c r="AJ82" s="489"/>
      <c r="AK82" s="489"/>
      <c r="AL82" s="489"/>
      <c r="AM82" s="489"/>
    </row>
    <row r="83" spans="2:39">
      <c r="B83" s="568" t="s">
        <v>416</v>
      </c>
      <c r="C83" s="569" t="s">
        <v>417</v>
      </c>
      <c r="D83" s="570">
        <f>D78*C82</f>
        <v>165994.99079988315</v>
      </c>
      <c r="E83" s="571">
        <f>'EthBiogas Electricity Fin '!$D$83</f>
        <v>165994.99079988315</v>
      </c>
      <c r="F83" s="571">
        <f>'EthBiogas Electricity Fin '!$D$83</f>
        <v>165994.99079988315</v>
      </c>
      <c r="G83" s="571">
        <f>'EthBiogas Electricity Fin '!$D$83</f>
        <v>165994.99079988315</v>
      </c>
      <c r="H83" s="571">
        <f>'EthBiogas Electricity Fin '!$D$83</f>
        <v>165994.99079988315</v>
      </c>
      <c r="I83" s="571">
        <f>'EthBiogas Electricity Fin '!$D$83</f>
        <v>165994.99079988315</v>
      </c>
      <c r="J83" s="571">
        <f>'EthBiogas Electricity Fin '!$D$83</f>
        <v>165994.99079988315</v>
      </c>
      <c r="K83" s="571">
        <f>'EthBiogas Electricity Fin '!$D$83</f>
        <v>165994.99079988315</v>
      </c>
      <c r="L83" s="571">
        <f>'EthBiogas Electricity Fin '!$D$83</f>
        <v>165994.99079988315</v>
      </c>
      <c r="M83" s="571">
        <f>'EthBiogas Electricity Fin '!$D$83</f>
        <v>165994.99079988315</v>
      </c>
      <c r="N83" s="571">
        <f>'EthBiogas Electricity Fin '!$D$83</f>
        <v>165994.99079988315</v>
      </c>
      <c r="O83" s="571">
        <f>'EthBiogas Electricity Fin '!$D$83</f>
        <v>165994.99079988315</v>
      </c>
      <c r="P83" s="571">
        <f>'EthBiogas Electricity Fin '!$D$83</f>
        <v>165994.99079988315</v>
      </c>
      <c r="Q83" s="571">
        <f>'EthBiogas Electricity Fin '!$D$83</f>
        <v>165994.99079988315</v>
      </c>
      <c r="R83" s="715">
        <f>'EthBiogas Electricity Fin '!$D$83</f>
        <v>165994.99079988315</v>
      </c>
      <c r="S83" s="571">
        <f>'EthBiogas Electricity Fin '!$D$83</f>
        <v>165994.99079988315</v>
      </c>
      <c r="T83" s="571">
        <f>'EthBiogas Electricity Fin '!$D$83</f>
        <v>165994.99079988315</v>
      </c>
      <c r="U83" s="571">
        <f>'EthBiogas Electricity Fin '!$D$83</f>
        <v>165994.99079988315</v>
      </c>
      <c r="V83" s="571">
        <f>'EthBiogas Electricity Fin '!$D$83</f>
        <v>165994.99079988315</v>
      </c>
      <c r="W83" s="571">
        <f>'EthBiogas Electricity Fin '!$D$83</f>
        <v>165994.99079988315</v>
      </c>
      <c r="X83" s="571">
        <f>'EthBiogas Electricity Fin '!$D$83</f>
        <v>165994.99079988315</v>
      </c>
      <c r="Y83" s="571">
        <f>'EthBiogas Electricity Fin '!$D$83</f>
        <v>165994.99079988315</v>
      </c>
      <c r="Z83" s="571">
        <f>'EthBiogas Electricity Fin '!$D$83</f>
        <v>165994.99079988315</v>
      </c>
      <c r="AA83" s="571">
        <f>'EthBiogas Electricity Fin '!$D$83</f>
        <v>165994.99079988315</v>
      </c>
      <c r="AB83" s="571">
        <f>'EthBiogas Electricity Fin '!$D$83</f>
        <v>165994.99079988315</v>
      </c>
      <c r="AC83" s="571">
        <v>1642768.8673553236</v>
      </c>
      <c r="AD83" s="571">
        <f t="shared" ref="AD83:AM83" si="0">IF(AD76&lt;=$D$37,$D$7*$D$3*(1+$D$8)^(AD76-1),0)</f>
        <v>0</v>
      </c>
      <c r="AE83" s="571">
        <f t="shared" si="0"/>
        <v>0</v>
      </c>
      <c r="AF83" s="571">
        <f t="shared" si="0"/>
        <v>0</v>
      </c>
      <c r="AG83" s="571">
        <f t="shared" si="0"/>
        <v>0</v>
      </c>
      <c r="AH83" s="571">
        <f t="shared" si="0"/>
        <v>0</v>
      </c>
      <c r="AI83" s="571">
        <f t="shared" si="0"/>
        <v>0</v>
      </c>
      <c r="AJ83" s="571">
        <f t="shared" si="0"/>
        <v>0</v>
      </c>
      <c r="AK83" s="571">
        <f t="shared" si="0"/>
        <v>0</v>
      </c>
      <c r="AL83" s="571">
        <f t="shared" si="0"/>
        <v>0</v>
      </c>
      <c r="AM83" s="572">
        <f t="shared" si="0"/>
        <v>0</v>
      </c>
    </row>
    <row r="84" spans="2:39">
      <c r="B84" s="573" t="s">
        <v>418</v>
      </c>
      <c r="C84" s="574" t="s">
        <v>417</v>
      </c>
      <c r="D84" s="575">
        <f>'EthBiogas Electricity Fin '!$D$9*D78*(1+'EthBiogas Electricity Fin '!$D$10)^(D76-1)</f>
        <v>0</v>
      </c>
      <c r="E84" s="541">
        <f>'EthBiogas Electricity Fin '!$D$9*E78*(1+'EthBiogas Electricity Fin '!$D$10)^(E76-1)</f>
        <v>0</v>
      </c>
      <c r="F84" s="541">
        <f>'EthBiogas Electricity Fin '!$D$9*F78*(1+'EthBiogas Electricity Fin '!$D$10)^(F76-1)</f>
        <v>0</v>
      </c>
      <c r="G84" s="541">
        <f>'EthBiogas Electricity Fin '!$D$9*G78*(1+'EthBiogas Electricity Fin '!$D$10)^(G76-1)</f>
        <v>0</v>
      </c>
      <c r="H84" s="541">
        <f>'EthBiogas Electricity Fin '!$D$9*H78*(1+'EthBiogas Electricity Fin '!$D$10)^(H76-1)</f>
        <v>0</v>
      </c>
      <c r="I84" s="541">
        <f>'EthBiogas Electricity Fin '!$D$9*I78*(1+'EthBiogas Electricity Fin '!$D$10)^(I76-1)</f>
        <v>0</v>
      </c>
      <c r="J84" s="541">
        <f>'EthBiogas Electricity Fin '!$D$9*J78*(1+'EthBiogas Electricity Fin '!$D$10)^(J76-1)</f>
        <v>0</v>
      </c>
      <c r="K84" s="541">
        <f>'EthBiogas Electricity Fin '!$D$9*K78*(1+'EthBiogas Electricity Fin '!$D$10)^(K76-1)</f>
        <v>0</v>
      </c>
      <c r="L84" s="541">
        <f>'EthBiogas Electricity Fin '!$D$9*L78*(1+'EthBiogas Electricity Fin '!$D$10)^(L76-1)</f>
        <v>0</v>
      </c>
      <c r="M84" s="541">
        <f>'EthBiogas Electricity Fin '!$D$9*M78*(1+'EthBiogas Electricity Fin '!$D$10)^(M76-1)</f>
        <v>0</v>
      </c>
      <c r="N84" s="541">
        <f>'EthBiogas Electricity Fin '!$D$9*N78*(1+'EthBiogas Electricity Fin '!$D$10)^(N76-1)</f>
        <v>0</v>
      </c>
      <c r="O84" s="541">
        <f>'EthBiogas Electricity Fin '!$D$9*O78*(1+'EthBiogas Electricity Fin '!$D$10)^(O76-1)</f>
        <v>0</v>
      </c>
      <c r="P84" s="541">
        <f>'EthBiogas Electricity Fin '!$D$9*P78*(1+'EthBiogas Electricity Fin '!$D$10)^(P76-1)</f>
        <v>0</v>
      </c>
      <c r="Q84" s="541">
        <f>'EthBiogas Electricity Fin '!$D$9*Q78*(1+'EthBiogas Electricity Fin '!$D$10)^(Q76-1)</f>
        <v>0</v>
      </c>
      <c r="R84" s="721">
        <f>'EthBiogas Electricity Fin '!$D$9*R78*(1+'EthBiogas Electricity Fin '!$D$10)^(R76-1)</f>
        <v>0</v>
      </c>
      <c r="S84" s="541">
        <f>'EthBiogas Electricity Fin '!$D$9*S78*(1+'EthBiogas Electricity Fin '!$D$10)^(S76-1)</f>
        <v>0</v>
      </c>
      <c r="T84" s="541">
        <f>'EthBiogas Electricity Fin '!$D$9*T78*(1+'EthBiogas Electricity Fin '!$D$10)^(T76-1)</f>
        <v>0</v>
      </c>
      <c r="U84" s="541">
        <f>'EthBiogas Electricity Fin '!$D$9*U78*(1+'EthBiogas Electricity Fin '!$D$10)^(U76-1)</f>
        <v>0</v>
      </c>
      <c r="V84" s="541">
        <f>'EthBiogas Electricity Fin '!$D$9*V78*(1+'EthBiogas Electricity Fin '!$D$10)^(V76-1)</f>
        <v>0</v>
      </c>
      <c r="W84" s="541">
        <f>'EthBiogas Electricity Fin '!$D$9*W78*(1+'EthBiogas Electricity Fin '!$D$10)^(W76-1)</f>
        <v>0</v>
      </c>
      <c r="X84" s="541">
        <f>'EthBiogas Electricity Fin '!$D$9*X78*(1+'EthBiogas Electricity Fin '!$D$10)^(X76-1)</f>
        <v>0</v>
      </c>
      <c r="Y84" s="541">
        <f>'EthBiogas Electricity Fin '!$D$9*Y78*(1+'EthBiogas Electricity Fin '!$D$10)^(Y76-1)</f>
        <v>0</v>
      </c>
      <c r="Z84" s="541">
        <f>'EthBiogas Electricity Fin '!$D$9*Z78*(1+'EthBiogas Electricity Fin '!$D$10)^(Z76-1)</f>
        <v>0</v>
      </c>
      <c r="AA84" s="541">
        <f>'EthBiogas Electricity Fin '!$D$9*AA78*(1+'EthBiogas Electricity Fin '!$D$10)^(AA76-1)</f>
        <v>0</v>
      </c>
      <c r="AB84" s="541">
        <f>'EthBiogas Electricity Fin '!$D$9*AB78*(1+'EthBiogas Electricity Fin '!$D$10)^(AB76-1)</f>
        <v>0</v>
      </c>
      <c r="AC84" s="541">
        <f>'EthBiogas Electricity Fin '!$D$9*AC78*(1+'EthBiogas Electricity Fin '!$D$10)^(AC76-1)</f>
        <v>0</v>
      </c>
      <c r="AD84" s="541">
        <f>'EthBiogas Electricity Fin '!$D$9*AD78*(1+'EthBiogas Electricity Fin '!$D$10)^(AD76-1)</f>
        <v>0</v>
      </c>
      <c r="AE84" s="541">
        <f>'EthBiogas Electricity Fin '!$D$9*AE78*(1+'EthBiogas Electricity Fin '!$D$10)^(AE76-1)</f>
        <v>0</v>
      </c>
      <c r="AF84" s="541">
        <f>'EthBiogas Electricity Fin '!$D$9*AF78*(1+'EthBiogas Electricity Fin '!$D$10)^(AF76-1)</f>
        <v>0</v>
      </c>
      <c r="AG84" s="541">
        <f>'EthBiogas Electricity Fin '!$D$9*AG78*(1+'EthBiogas Electricity Fin '!$D$10)^(AG76-1)</f>
        <v>0</v>
      </c>
      <c r="AH84" s="541">
        <f>'EthBiogas Electricity Fin '!$D$9*AH78*(1+'EthBiogas Electricity Fin '!$D$10)^(AH76-1)</f>
        <v>0</v>
      </c>
      <c r="AI84" s="541">
        <f>'EthBiogas Electricity Fin '!$D$9*AI78*(1+'EthBiogas Electricity Fin '!$D$10)^(AI76-1)</f>
        <v>0</v>
      </c>
      <c r="AJ84" s="541">
        <f>'EthBiogas Electricity Fin '!$D$9*AJ78*(1+'EthBiogas Electricity Fin '!$D$10)^(AJ76-1)</f>
        <v>0</v>
      </c>
      <c r="AK84" s="541">
        <f>'EthBiogas Electricity Fin '!$D$9*AK78*(1+'EthBiogas Electricity Fin '!$D$10)^(AK76-1)</f>
        <v>0</v>
      </c>
      <c r="AL84" s="541">
        <f>'EthBiogas Electricity Fin '!$D$9*AL78*(1+'EthBiogas Electricity Fin '!$D$10)^(AL76-1)</f>
        <v>0</v>
      </c>
      <c r="AM84" s="576">
        <f>'EthBiogas Electricity Fin '!$D$9*AM78*(1+'EthBiogas Electricity Fin '!$D$10)^(AM76-1)</f>
        <v>0</v>
      </c>
    </row>
    <row r="85" spans="2:39">
      <c r="B85" s="577" t="s">
        <v>419</v>
      </c>
      <c r="C85" s="578" t="s">
        <v>417</v>
      </c>
      <c r="D85" s="579">
        <f>0</f>
        <v>0</v>
      </c>
      <c r="E85" s="580">
        <f>0</f>
        <v>0</v>
      </c>
      <c r="F85" s="580">
        <f>0</f>
        <v>0</v>
      </c>
      <c r="G85" s="580">
        <f>0</f>
        <v>0</v>
      </c>
      <c r="H85" s="580">
        <f>0</f>
        <v>0</v>
      </c>
      <c r="I85" s="580">
        <f>0</f>
        <v>0</v>
      </c>
      <c r="J85" s="580">
        <f>0</f>
        <v>0</v>
      </c>
      <c r="K85" s="580">
        <f>0</f>
        <v>0</v>
      </c>
      <c r="L85" s="580">
        <f>0</f>
        <v>0</v>
      </c>
      <c r="M85" s="580">
        <f>0</f>
        <v>0</v>
      </c>
      <c r="N85" s="580">
        <f>0</f>
        <v>0</v>
      </c>
      <c r="O85" s="580">
        <f>0</f>
        <v>0</v>
      </c>
      <c r="P85" s="580">
        <f>0</f>
        <v>0</v>
      </c>
      <c r="Q85" s="580">
        <f>0</f>
        <v>0</v>
      </c>
      <c r="R85" s="716">
        <f>0</f>
        <v>0</v>
      </c>
      <c r="S85" s="580">
        <f>0</f>
        <v>0</v>
      </c>
      <c r="T85" s="580">
        <f>0</f>
        <v>0</v>
      </c>
      <c r="U85" s="580">
        <f>0</f>
        <v>0</v>
      </c>
      <c r="V85" s="580">
        <f>0</f>
        <v>0</v>
      </c>
      <c r="W85" s="580">
        <f>0</f>
        <v>0</v>
      </c>
      <c r="X85" s="580">
        <f>0</f>
        <v>0</v>
      </c>
      <c r="Y85" s="580">
        <f>0</f>
        <v>0</v>
      </c>
      <c r="Z85" s="580">
        <f>0</f>
        <v>0</v>
      </c>
      <c r="AA85" s="580">
        <f>0</f>
        <v>0</v>
      </c>
      <c r="AB85" s="580">
        <f>0</f>
        <v>0</v>
      </c>
      <c r="AC85" s="580">
        <f>0</f>
        <v>0</v>
      </c>
      <c r="AD85" s="580">
        <f>0</f>
        <v>0</v>
      </c>
      <c r="AE85" s="580">
        <f>0</f>
        <v>0</v>
      </c>
      <c r="AF85" s="580">
        <f>0</f>
        <v>0</v>
      </c>
      <c r="AG85" s="580">
        <f>0</f>
        <v>0</v>
      </c>
      <c r="AH85" s="580">
        <f>0</f>
        <v>0</v>
      </c>
      <c r="AI85" s="580">
        <f>0</f>
        <v>0</v>
      </c>
      <c r="AJ85" s="580">
        <f>0</f>
        <v>0</v>
      </c>
      <c r="AK85" s="580">
        <f>0</f>
        <v>0</v>
      </c>
      <c r="AL85" s="580">
        <f>0</f>
        <v>0</v>
      </c>
      <c r="AM85" s="581">
        <f>0</f>
        <v>0</v>
      </c>
    </row>
    <row r="86" spans="2:39" ht="12.95">
      <c r="B86" s="582" t="s">
        <v>420</v>
      </c>
      <c r="C86" s="583" t="s">
        <v>417</v>
      </c>
      <c r="D86" s="584">
        <f>IF(D76&lt;=$D$37,SUM(D83:D84),0)</f>
        <v>165994.99079988315</v>
      </c>
      <c r="E86" s="585">
        <f t="shared" ref="E86:AM86" si="1">IF(E76&lt;=$D$37,SUM(E83:E84),0)</f>
        <v>165994.99079988315</v>
      </c>
      <c r="F86" s="585">
        <f t="shared" si="1"/>
        <v>165994.99079988315</v>
      </c>
      <c r="G86" s="585">
        <f t="shared" si="1"/>
        <v>165994.99079988315</v>
      </c>
      <c r="H86" s="585">
        <f t="shared" si="1"/>
        <v>165994.99079988315</v>
      </c>
      <c r="I86" s="585">
        <f t="shared" si="1"/>
        <v>165994.99079988315</v>
      </c>
      <c r="J86" s="585">
        <f t="shared" si="1"/>
        <v>165994.99079988315</v>
      </c>
      <c r="K86" s="585">
        <f t="shared" si="1"/>
        <v>165994.99079988315</v>
      </c>
      <c r="L86" s="585">
        <f t="shared" si="1"/>
        <v>165994.99079988315</v>
      </c>
      <c r="M86" s="585">
        <f t="shared" si="1"/>
        <v>165994.99079988315</v>
      </c>
      <c r="N86" s="585">
        <f t="shared" si="1"/>
        <v>165994.99079988315</v>
      </c>
      <c r="O86" s="585">
        <f t="shared" si="1"/>
        <v>165994.99079988315</v>
      </c>
      <c r="P86" s="585">
        <f t="shared" si="1"/>
        <v>165994.99079988315</v>
      </c>
      <c r="Q86" s="585">
        <f t="shared" si="1"/>
        <v>165994.99079988315</v>
      </c>
      <c r="R86" s="585">
        <f t="shared" si="1"/>
        <v>165994.99079988315</v>
      </c>
      <c r="S86" s="585">
        <f t="shared" si="1"/>
        <v>165994.99079988315</v>
      </c>
      <c r="T86" s="585">
        <f t="shared" si="1"/>
        <v>165994.99079988315</v>
      </c>
      <c r="U86" s="585">
        <f t="shared" si="1"/>
        <v>165994.99079988315</v>
      </c>
      <c r="V86" s="585">
        <f t="shared" si="1"/>
        <v>165994.99079988315</v>
      </c>
      <c r="W86" s="585">
        <f t="shared" si="1"/>
        <v>165994.99079988315</v>
      </c>
      <c r="X86" s="585">
        <f t="shared" si="1"/>
        <v>165994.99079988315</v>
      </c>
      <c r="Y86" s="585">
        <f t="shared" si="1"/>
        <v>165994.99079988315</v>
      </c>
      <c r="Z86" s="585">
        <f t="shared" si="1"/>
        <v>165994.99079988315</v>
      </c>
      <c r="AA86" s="585">
        <f t="shared" si="1"/>
        <v>165994.99079988315</v>
      </c>
      <c r="AB86" s="585">
        <f t="shared" si="1"/>
        <v>165994.99079988315</v>
      </c>
      <c r="AC86" s="585">
        <f t="shared" si="1"/>
        <v>1642768.8673553236</v>
      </c>
      <c r="AD86" s="585">
        <f t="shared" si="1"/>
        <v>0</v>
      </c>
      <c r="AE86" s="585">
        <f t="shared" si="1"/>
        <v>0</v>
      </c>
      <c r="AF86" s="585">
        <f t="shared" si="1"/>
        <v>0</v>
      </c>
      <c r="AG86" s="585">
        <f t="shared" si="1"/>
        <v>0</v>
      </c>
      <c r="AH86" s="585">
        <f t="shared" si="1"/>
        <v>0</v>
      </c>
      <c r="AI86" s="585">
        <f t="shared" si="1"/>
        <v>0</v>
      </c>
      <c r="AJ86" s="585">
        <f t="shared" si="1"/>
        <v>0</v>
      </c>
      <c r="AK86" s="585">
        <f t="shared" si="1"/>
        <v>0</v>
      </c>
      <c r="AL86" s="585">
        <f t="shared" si="1"/>
        <v>0</v>
      </c>
      <c r="AM86" s="586">
        <f t="shared" si="1"/>
        <v>0</v>
      </c>
    </row>
    <row r="87" spans="2:39" ht="12.95">
      <c r="B87" s="479"/>
      <c r="C87" s="491"/>
      <c r="D87" s="491"/>
      <c r="E87" s="492"/>
      <c r="F87" s="492"/>
      <c r="G87" s="492"/>
      <c r="H87" s="492"/>
      <c r="I87" s="492"/>
      <c r="J87" s="492"/>
      <c r="K87" s="492"/>
      <c r="L87" s="492"/>
      <c r="M87" s="492"/>
      <c r="N87" s="492"/>
      <c r="O87" s="492"/>
      <c r="P87" s="492"/>
      <c r="Q87" s="492"/>
      <c r="R87" s="493"/>
      <c r="S87" s="492"/>
      <c r="T87" s="492"/>
      <c r="U87" s="492"/>
      <c r="V87" s="492"/>
      <c r="W87" s="492"/>
      <c r="X87" s="492"/>
      <c r="Y87" s="492"/>
      <c r="Z87" s="492"/>
      <c r="AA87" s="492"/>
      <c r="AB87" s="492"/>
      <c r="AC87" s="492"/>
      <c r="AD87" s="492"/>
      <c r="AE87" s="492"/>
      <c r="AF87" s="492"/>
      <c r="AG87" s="492"/>
      <c r="AH87" s="492"/>
      <c r="AI87" s="492"/>
      <c r="AJ87" s="492"/>
      <c r="AK87" s="492"/>
      <c r="AL87" s="492"/>
      <c r="AM87" s="492"/>
    </row>
    <row r="88" spans="2:39" ht="12.95">
      <c r="B88" s="479"/>
      <c r="C88" s="491"/>
      <c r="D88" s="491"/>
      <c r="E88" s="492"/>
      <c r="F88" s="492"/>
      <c r="G88" s="492"/>
      <c r="H88" s="492"/>
      <c r="I88" s="492"/>
      <c r="J88" s="492"/>
      <c r="K88" s="492"/>
      <c r="L88" s="492"/>
      <c r="M88" s="492"/>
      <c r="N88" s="492"/>
      <c r="O88" s="492"/>
      <c r="P88" s="492"/>
      <c r="Q88" s="492"/>
      <c r="R88" s="493"/>
      <c r="S88" s="492"/>
      <c r="T88" s="492"/>
      <c r="U88" s="492"/>
      <c r="V88" s="492"/>
      <c r="W88" s="492"/>
      <c r="X88" s="492"/>
      <c r="Y88" s="492"/>
      <c r="Z88" s="492"/>
      <c r="AA88" s="492"/>
      <c r="AB88" s="492"/>
      <c r="AC88" s="492"/>
      <c r="AD88" s="492"/>
      <c r="AE88" s="492"/>
      <c r="AF88" s="492"/>
      <c r="AG88" s="492"/>
      <c r="AH88" s="492"/>
      <c r="AI88" s="492"/>
      <c r="AJ88" s="492"/>
      <c r="AK88" s="492"/>
      <c r="AL88" s="492"/>
      <c r="AM88" s="492"/>
    </row>
    <row r="89" spans="2:39" ht="12.95">
      <c r="B89" s="565" t="s">
        <v>421</v>
      </c>
      <c r="C89" s="566" t="s">
        <v>364</v>
      </c>
      <c r="D89" s="491"/>
      <c r="E89" s="492"/>
      <c r="F89" s="492"/>
      <c r="G89" s="492"/>
      <c r="H89" s="492"/>
      <c r="I89" s="492"/>
      <c r="J89" s="492"/>
      <c r="K89" s="492"/>
      <c r="L89" s="492"/>
      <c r="M89" s="492"/>
      <c r="N89" s="492"/>
      <c r="O89" s="492"/>
      <c r="P89" s="492"/>
      <c r="Q89" s="492"/>
      <c r="R89" s="493"/>
      <c r="S89" s="492"/>
      <c r="T89" s="492"/>
      <c r="U89" s="492"/>
      <c r="V89" s="492"/>
      <c r="W89" s="492"/>
      <c r="X89" s="492"/>
      <c r="Y89" s="492"/>
      <c r="Z89" s="492"/>
      <c r="AA89" s="492"/>
      <c r="AB89" s="492"/>
      <c r="AC89" s="492"/>
      <c r="AD89" s="492"/>
      <c r="AE89" s="492"/>
      <c r="AF89" s="492"/>
      <c r="AG89" s="492"/>
      <c r="AH89" s="492"/>
      <c r="AI89" s="492"/>
      <c r="AJ89" s="492"/>
      <c r="AK89" s="492"/>
      <c r="AL89" s="492"/>
      <c r="AM89" s="492"/>
    </row>
    <row r="90" spans="2:39" ht="12.95">
      <c r="B90" s="568" t="s">
        <v>422</v>
      </c>
      <c r="C90" s="569" t="s">
        <v>331</v>
      </c>
      <c r="D90" s="587">
        <f>SUM(D83:AB83)</f>
        <v>4149874.7699970817</v>
      </c>
      <c r="E90" s="492"/>
      <c r="F90" s="492"/>
      <c r="G90" s="492"/>
      <c r="H90" s="492"/>
      <c r="I90" s="492"/>
      <c r="J90" s="492"/>
      <c r="K90" s="492"/>
      <c r="L90" s="492"/>
      <c r="M90" s="492"/>
      <c r="N90" s="492"/>
      <c r="O90" s="492"/>
      <c r="P90" s="492"/>
      <c r="Q90" s="492"/>
      <c r="R90" s="493"/>
      <c r="S90" s="492"/>
      <c r="T90" s="492"/>
      <c r="U90" s="492"/>
      <c r="V90" s="492"/>
      <c r="W90" s="492"/>
      <c r="X90" s="492"/>
      <c r="Y90" s="492"/>
      <c r="Z90" s="492"/>
      <c r="AA90" s="492"/>
      <c r="AB90" s="492"/>
      <c r="AC90" s="492"/>
      <c r="AD90" s="492"/>
      <c r="AE90" s="492"/>
      <c r="AF90" s="492"/>
      <c r="AG90" s="492"/>
      <c r="AH90" s="492"/>
      <c r="AI90" s="492"/>
      <c r="AJ90" s="492"/>
      <c r="AK90" s="492"/>
      <c r="AL90" s="492"/>
      <c r="AM90" s="492"/>
    </row>
    <row r="91" spans="2:39" ht="12.95">
      <c r="B91" s="577" t="s">
        <v>418</v>
      </c>
      <c r="C91" s="578" t="s">
        <v>331</v>
      </c>
      <c r="D91" s="588">
        <f>SUM(D84:AM84)</f>
        <v>0</v>
      </c>
      <c r="E91" s="492"/>
      <c r="F91" s="492"/>
      <c r="G91" s="492"/>
      <c r="H91" s="492"/>
      <c r="I91" s="492"/>
      <c r="J91" s="492"/>
      <c r="K91" s="492"/>
      <c r="L91" s="492"/>
      <c r="M91" s="492"/>
      <c r="N91" s="492"/>
      <c r="O91" s="492"/>
      <c r="P91" s="492"/>
      <c r="Q91" s="492"/>
      <c r="R91" s="493"/>
      <c r="S91" s="492"/>
      <c r="T91" s="492"/>
      <c r="U91" s="492"/>
      <c r="V91" s="492"/>
      <c r="W91" s="492"/>
      <c r="X91" s="492"/>
      <c r="Y91" s="492"/>
      <c r="Z91" s="492"/>
      <c r="AA91" s="492"/>
      <c r="AB91" s="492"/>
      <c r="AC91" s="492"/>
      <c r="AD91" s="492"/>
      <c r="AE91" s="492"/>
      <c r="AF91" s="492"/>
      <c r="AG91" s="492"/>
      <c r="AH91" s="492"/>
      <c r="AI91" s="492"/>
      <c r="AJ91" s="492"/>
      <c r="AK91" s="492"/>
      <c r="AL91" s="492"/>
      <c r="AM91" s="492"/>
    </row>
    <row r="92" spans="2:39" ht="12.95">
      <c r="B92" s="589" t="s">
        <v>423</v>
      </c>
      <c r="C92" s="583" t="s">
        <v>331</v>
      </c>
      <c r="D92" s="590">
        <f>SUM(D90:D91)</f>
        <v>4149874.7699970817</v>
      </c>
      <c r="E92" s="492"/>
      <c r="F92" s="492"/>
      <c r="G92" s="492"/>
      <c r="H92" s="492"/>
      <c r="I92" s="492"/>
      <c r="J92" s="492"/>
      <c r="K92" s="492"/>
      <c r="L92" s="492"/>
      <c r="M92" s="492"/>
      <c r="N92" s="492"/>
      <c r="O92" s="492"/>
      <c r="P92" s="492"/>
      <c r="Q92" s="492"/>
      <c r="R92" s="493"/>
      <c r="S92" s="492"/>
      <c r="T92" s="492"/>
      <c r="U92" s="492"/>
      <c r="V92" s="492"/>
      <c r="W92" s="492"/>
      <c r="X92" s="492"/>
      <c r="Y92" s="492"/>
      <c r="Z92" s="492"/>
      <c r="AA92" s="492"/>
      <c r="AB92" s="492"/>
      <c r="AC92" s="492"/>
      <c r="AD92" s="492"/>
      <c r="AE92" s="492"/>
      <c r="AF92" s="492"/>
      <c r="AG92" s="492"/>
      <c r="AH92" s="492"/>
      <c r="AI92" s="492"/>
      <c r="AJ92" s="492"/>
      <c r="AK92" s="492"/>
      <c r="AL92" s="492"/>
      <c r="AM92" s="492"/>
    </row>
    <row r="93" spans="2:39">
      <c r="B93" s="478"/>
      <c r="C93" s="485"/>
      <c r="D93" s="485"/>
      <c r="E93" s="489"/>
      <c r="F93" s="489"/>
      <c r="G93" s="489"/>
      <c r="H93" s="489"/>
      <c r="I93" s="489"/>
      <c r="J93" s="489"/>
      <c r="K93" s="489"/>
      <c r="L93" s="489"/>
      <c r="M93" s="489"/>
      <c r="N93" s="489"/>
      <c r="O93" s="489"/>
      <c r="P93" s="489"/>
      <c r="Q93" s="489"/>
      <c r="R93" s="490"/>
      <c r="S93" s="489"/>
      <c r="T93" s="489"/>
      <c r="U93" s="489"/>
      <c r="V93" s="489"/>
      <c r="W93" s="489"/>
      <c r="X93" s="489"/>
      <c r="Y93" s="489"/>
      <c r="Z93" s="489"/>
      <c r="AA93" s="489"/>
      <c r="AB93" s="489"/>
      <c r="AC93" s="489"/>
      <c r="AD93" s="489"/>
      <c r="AE93" s="489"/>
      <c r="AF93" s="489"/>
      <c r="AG93" s="489"/>
      <c r="AH93" s="489"/>
      <c r="AI93" s="489"/>
      <c r="AJ93" s="489"/>
      <c r="AK93" s="489"/>
      <c r="AL93" s="489"/>
      <c r="AM93" s="489"/>
    </row>
    <row r="94" spans="2:39" ht="12.95">
      <c r="B94" s="565" t="s">
        <v>424</v>
      </c>
      <c r="C94" s="566" t="s">
        <v>364</v>
      </c>
      <c r="D94" s="591">
        <v>1</v>
      </c>
      <c r="E94" s="559">
        <v>2</v>
      </c>
      <c r="F94" s="559">
        <v>3</v>
      </c>
      <c r="G94" s="559">
        <v>4</v>
      </c>
      <c r="H94" s="559">
        <v>5</v>
      </c>
      <c r="I94" s="559">
        <v>6</v>
      </c>
      <c r="J94" s="559">
        <v>7</v>
      </c>
      <c r="K94" s="559">
        <v>8</v>
      </c>
      <c r="L94" s="559">
        <v>9</v>
      </c>
      <c r="M94" s="560">
        <v>10</v>
      </c>
      <c r="N94" s="489"/>
      <c r="O94" s="489"/>
      <c r="P94" s="489"/>
      <c r="Q94" s="489"/>
      <c r="R94" s="490"/>
      <c r="S94" s="489"/>
      <c r="T94" s="489"/>
      <c r="U94" s="489"/>
      <c r="V94" s="489"/>
      <c r="W94" s="489"/>
      <c r="X94" s="489"/>
      <c r="Y94" s="489"/>
      <c r="Z94" s="489"/>
      <c r="AA94" s="489"/>
      <c r="AB94" s="489"/>
      <c r="AC94" s="489"/>
      <c r="AD94" s="489"/>
      <c r="AE94" s="489"/>
      <c r="AF94" s="489"/>
      <c r="AG94" s="489"/>
      <c r="AH94" s="489"/>
      <c r="AI94" s="489"/>
      <c r="AJ94" s="489"/>
      <c r="AK94" s="489"/>
      <c r="AL94" s="489"/>
      <c r="AM94" s="489"/>
    </row>
    <row r="95" spans="2:39" ht="12.95">
      <c r="B95" s="565" t="s">
        <v>425</v>
      </c>
      <c r="C95" s="592" t="s">
        <v>67</v>
      </c>
      <c r="D95" s="593">
        <v>1</v>
      </c>
      <c r="E95" s="489"/>
      <c r="F95" s="489"/>
      <c r="G95" s="489"/>
      <c r="H95" s="489"/>
      <c r="I95" s="489"/>
      <c r="J95" s="489"/>
      <c r="K95" s="489"/>
      <c r="L95" s="489"/>
      <c r="M95" s="489"/>
      <c r="N95" s="489"/>
      <c r="O95" s="489"/>
      <c r="P95" s="489"/>
      <c r="Q95" s="489"/>
      <c r="R95" s="490"/>
      <c r="S95" s="489"/>
      <c r="T95" s="489"/>
      <c r="U95" s="489"/>
      <c r="V95" s="489"/>
      <c r="W95" s="489"/>
      <c r="X95" s="489"/>
      <c r="Y95" s="489"/>
      <c r="Z95" s="489"/>
      <c r="AA95" s="489"/>
      <c r="AB95" s="489"/>
      <c r="AC95" s="489"/>
      <c r="AD95" s="489"/>
      <c r="AE95" s="489"/>
      <c r="AF95" s="489"/>
      <c r="AG95" s="489"/>
      <c r="AH95" s="489"/>
      <c r="AI95" s="489"/>
      <c r="AJ95" s="489"/>
      <c r="AK95" s="489"/>
      <c r="AL95" s="489"/>
      <c r="AM95" s="489"/>
    </row>
    <row r="96" spans="2:39">
      <c r="B96" s="561" t="s">
        <v>426</v>
      </c>
      <c r="C96" s="594" t="s">
        <v>417</v>
      </c>
      <c r="D96" s="595">
        <f t="shared" ref="D96:M96" si="2">IF($D$95&gt;=D94,$D$27/$D$95,0)</f>
        <v>10822098.588424647</v>
      </c>
      <c r="E96" s="596">
        <f t="shared" si="2"/>
        <v>0</v>
      </c>
      <c r="F96" s="596">
        <f t="shared" si="2"/>
        <v>0</v>
      </c>
      <c r="G96" s="596">
        <f t="shared" si="2"/>
        <v>0</v>
      </c>
      <c r="H96" s="596">
        <f t="shared" si="2"/>
        <v>0</v>
      </c>
      <c r="I96" s="596">
        <f t="shared" si="2"/>
        <v>0</v>
      </c>
      <c r="J96" s="596">
        <f t="shared" si="2"/>
        <v>0</v>
      </c>
      <c r="K96" s="596">
        <f t="shared" si="2"/>
        <v>0</v>
      </c>
      <c r="L96" s="596">
        <f t="shared" si="2"/>
        <v>0</v>
      </c>
      <c r="M96" s="597">
        <f t="shared" si="2"/>
        <v>0</v>
      </c>
      <c r="N96" s="489"/>
      <c r="O96" s="489"/>
      <c r="P96" s="489"/>
      <c r="Q96" s="489"/>
      <c r="R96" s="490"/>
      <c r="S96" s="489"/>
      <c r="T96" s="489"/>
      <c r="U96" s="489"/>
      <c r="V96" s="489"/>
      <c r="W96" s="489"/>
      <c r="X96" s="489"/>
      <c r="Y96" s="489"/>
      <c r="Z96" s="489"/>
      <c r="AA96" s="489"/>
      <c r="AB96" s="489"/>
      <c r="AC96" s="489"/>
      <c r="AD96" s="489"/>
      <c r="AE96" s="489"/>
      <c r="AF96" s="489"/>
      <c r="AG96" s="489"/>
      <c r="AH96" s="489"/>
      <c r="AI96" s="489"/>
      <c r="AJ96" s="489"/>
      <c r="AK96" s="489"/>
      <c r="AL96" s="489"/>
      <c r="AM96" s="489"/>
    </row>
    <row r="97" spans="2:39">
      <c r="B97" s="478"/>
      <c r="C97" s="485"/>
      <c r="D97" s="485"/>
      <c r="E97" s="489"/>
      <c r="F97" s="489"/>
      <c r="G97" s="489"/>
      <c r="H97" s="489"/>
      <c r="I97" s="489"/>
      <c r="J97" s="489"/>
      <c r="K97" s="489"/>
      <c r="L97" s="489"/>
      <c r="M97" s="489"/>
      <c r="N97" s="489"/>
      <c r="O97" s="489"/>
      <c r="P97" s="489"/>
      <c r="Q97" s="489"/>
      <c r="R97" s="490"/>
      <c r="S97" s="489"/>
      <c r="T97" s="489"/>
      <c r="U97" s="489"/>
      <c r="V97" s="489"/>
      <c r="W97" s="489"/>
      <c r="X97" s="489"/>
      <c r="Y97" s="489"/>
      <c r="Z97" s="489"/>
      <c r="AA97" s="489"/>
      <c r="AB97" s="489"/>
      <c r="AC97" s="489"/>
      <c r="AD97" s="489"/>
      <c r="AE97" s="489"/>
      <c r="AF97" s="489"/>
      <c r="AG97" s="489"/>
      <c r="AH97" s="489"/>
      <c r="AI97" s="489"/>
      <c r="AJ97" s="489"/>
      <c r="AK97" s="489"/>
      <c r="AL97" s="489"/>
      <c r="AM97" s="489"/>
    </row>
    <row r="98" spans="2:39" ht="12.95">
      <c r="B98" s="565" t="s">
        <v>427</v>
      </c>
      <c r="C98" s="592" t="s">
        <v>364</v>
      </c>
      <c r="D98" s="485"/>
      <c r="E98" s="489"/>
      <c r="F98" s="489"/>
      <c r="G98" s="489"/>
      <c r="H98" s="489"/>
      <c r="I98" s="489"/>
      <c r="J98" s="489"/>
      <c r="K98" s="489"/>
      <c r="L98" s="489"/>
      <c r="M98" s="489"/>
      <c r="N98" s="489"/>
      <c r="O98" s="489"/>
      <c r="P98" s="489"/>
      <c r="Q98" s="489"/>
      <c r="R98" s="490"/>
      <c r="S98" s="489"/>
      <c r="T98" s="489"/>
      <c r="U98" s="489"/>
      <c r="V98" s="489"/>
      <c r="W98" s="489"/>
      <c r="X98" s="489"/>
      <c r="Y98" s="489"/>
      <c r="Z98" s="489"/>
      <c r="AA98" s="489"/>
      <c r="AB98" s="489"/>
      <c r="AC98" s="489"/>
      <c r="AD98" s="489"/>
      <c r="AE98" s="489"/>
      <c r="AF98" s="489"/>
      <c r="AG98" s="489"/>
      <c r="AH98" s="489"/>
      <c r="AI98" s="489"/>
      <c r="AJ98" s="489"/>
      <c r="AK98" s="489"/>
      <c r="AL98" s="489"/>
      <c r="AM98" s="489"/>
    </row>
    <row r="99" spans="2:39">
      <c r="B99" s="568" t="s">
        <v>428</v>
      </c>
      <c r="C99" s="574" t="s">
        <v>417</v>
      </c>
      <c r="D99" s="570"/>
      <c r="E99" s="571">
        <f>IF(E76&lt;=$D$36,-IPMT($D$35,E76,$D$36,'EthBiogas Electricity Fin '!$D$27*$D$34),0)</f>
        <v>0</v>
      </c>
      <c r="F99" s="571">
        <f>IF(F76&lt;=$D$36,-IPMT($D$35,F76,$D$36,'EthBiogas Electricity Fin '!$D$27*$D$34),0)</f>
        <v>0</v>
      </c>
      <c r="G99" s="571">
        <f>IF(G76&lt;=$D$36,-IPMT($D$35,G76,$D$36,'EthBiogas Electricity Fin '!$D$27*$D$34),0)</f>
        <v>0</v>
      </c>
      <c r="H99" s="571">
        <f>IF(H76&lt;=$D$36,-IPMT($D$35,H76,$D$36,'EthBiogas Electricity Fin '!$D$27*$D$34),0)</f>
        <v>0</v>
      </c>
      <c r="I99" s="571">
        <f>IF(I76&lt;=$D$36,-IPMT($D$35,I76,$D$36,'EthBiogas Electricity Fin '!$D$27*$D$34),0)</f>
        <v>0</v>
      </c>
      <c r="J99" s="571">
        <f>IF(J76&lt;=$D$36,-IPMT($D$35,J76,$D$36,'EthBiogas Electricity Fin '!$D$27*$D$34),0)</f>
        <v>0</v>
      </c>
      <c r="K99" s="571">
        <f>IF(K76&lt;=$D$36,-IPMT($D$35,K76,$D$36,'EthBiogas Electricity Fin '!$D$27*$D$34),0)</f>
        <v>0</v>
      </c>
      <c r="L99" s="571">
        <f>IF(L76&lt;=$D$36,-IPMT($D$35,L76,$D$36,'EthBiogas Electricity Fin '!$D$27*$D$34),0)</f>
        <v>0</v>
      </c>
      <c r="M99" s="571">
        <f>IF(M76&lt;=$D$36,-IPMT($D$35,M76,$D$36,'EthBiogas Electricity Fin '!$D$27*$D$34),0)</f>
        <v>0</v>
      </c>
      <c r="N99" s="571">
        <f>IF(N76&lt;=$D$36,-IPMT($D$35,N76,$D$36,'EthBiogas Electricity Fin '!$D$27*$D$34),0)</f>
        <v>0</v>
      </c>
      <c r="O99" s="571">
        <f>IF(O76&lt;=$D$36,-IPMT($D$35,O76,$D$36,'EthBiogas Electricity Fin '!$D$27*$D$34),0)</f>
        <v>0</v>
      </c>
      <c r="P99" s="571">
        <f>IF(P76&lt;=$D$36,-IPMT($D$35,P76,$D$36,'EthBiogas Electricity Fin '!$D$27*$D$34),0)</f>
        <v>0</v>
      </c>
      <c r="Q99" s="571">
        <f>IF(Q76&lt;=$D$36,-IPMT($D$35,Q76,$D$36,'EthBiogas Electricity Fin '!$D$27*$D$34),0)</f>
        <v>0</v>
      </c>
      <c r="R99" s="715">
        <f>IF(R76&lt;=$D$36,-IPMT($D$35,R76,$D$36,'EthBiogas Electricity Fin '!$D$27*$D$34),0)</f>
        <v>0</v>
      </c>
      <c r="S99" s="571">
        <f>IF(S76&lt;=$D$36,-IPMT($D$35,S76,$D$36,'EthBiogas Electricity Fin '!$D$27*$D$34),0)</f>
        <v>0</v>
      </c>
      <c r="T99" s="571">
        <f>IF(T76&lt;=$D$36,-IPMT($D$35,T76,$D$36,'EthBiogas Electricity Fin '!$D$27*$D$34),0)</f>
        <v>0</v>
      </c>
      <c r="U99" s="571">
        <f>IF(U76&lt;=$D$36,-IPMT($D$35,U76,$D$36,'EthBiogas Electricity Fin '!$D$27*$D$34),0)</f>
        <v>0</v>
      </c>
      <c r="V99" s="571">
        <f>IF(V76&lt;=$D$36,-IPMT($D$35,V76,$D$36,'EthBiogas Electricity Fin '!$D$27*$D$34),0)</f>
        <v>0</v>
      </c>
      <c r="W99" s="571">
        <f>IF(W76&lt;=$D$36,-IPMT($D$35,W76,$D$36,'EthBiogas Electricity Fin '!$D$27*$D$34),0)</f>
        <v>0</v>
      </c>
      <c r="X99" s="571">
        <f>IF(X76&lt;=$D$36,-IPMT($D$35,X76,$D$36,'EthBiogas Electricity Fin '!$D$27*$D$34),0)</f>
        <v>0</v>
      </c>
      <c r="Y99" s="571">
        <f>IF(Y76&lt;=$D$36,-IPMT($D$35,Y76,$D$36,'EthBiogas Electricity Fin '!$D$27*$D$34),0)</f>
        <v>0</v>
      </c>
      <c r="Z99" s="571">
        <f>IF(Z76&lt;=$D$36,-IPMT($D$35,Z76,$D$36,'EthBiogas Electricity Fin '!$D$27*$D$34),0)</f>
        <v>0</v>
      </c>
      <c r="AA99" s="571">
        <f>IF(AA76&lt;=$D$36,-IPMT($D$35,AA76,$D$36,'EthBiogas Electricity Fin '!$D$27*$D$34),0)</f>
        <v>0</v>
      </c>
      <c r="AB99" s="571">
        <f>IF(AB76&lt;=$D$36,-IPMT($D$35,AB76,$D$36,'EthBiogas Electricity Fin '!$D$27*$D$34),0)</f>
        <v>0</v>
      </c>
      <c r="AC99" s="571">
        <f>IF(AC76&lt;=$D$36,-IPMT($D$35,AC76,$D$36,'EthBiogas Electricity Fin '!$D$27*$D$34),0)</f>
        <v>0</v>
      </c>
      <c r="AD99" s="571">
        <f>IF(AD76&lt;=$D$36,-IPMT($D$35,AD76,$D$36,'EthBiogas Electricity Fin '!$D$27*$D$34),0)</f>
        <v>0</v>
      </c>
      <c r="AE99" s="571">
        <f>IF(AE76&lt;=$D$36,-IPMT($D$35,AE76,$D$36,'EthBiogas Electricity Fin '!$D$27*$D$34),0)</f>
        <v>0</v>
      </c>
      <c r="AF99" s="571">
        <f>IF(AF76&lt;=$D$36,-IPMT($D$35,AF76,$D$36,'EthBiogas Electricity Fin '!$D$27*$D$34),0)</f>
        <v>0</v>
      </c>
      <c r="AG99" s="571">
        <f>IF(AG76&lt;=$D$36,-IPMT($D$35,AG76,$D$36,'EthBiogas Electricity Fin '!$D$27*$D$34),0)</f>
        <v>0</v>
      </c>
      <c r="AH99" s="571">
        <f>IF(AH76&lt;=$D$36,-IPMT($D$35,AH76,$D$36,'EthBiogas Electricity Fin '!$D$27*$D$34),0)</f>
        <v>0</v>
      </c>
      <c r="AI99" s="571">
        <f>IF(AI76&lt;=$D$36,-IPMT($D$35,AI76,$D$36,'EthBiogas Electricity Fin '!$D$27*$D$34),0)</f>
        <v>0</v>
      </c>
      <c r="AJ99" s="571">
        <f>IF(AJ76&lt;=$D$36,-IPMT($D$35,AJ76,$D$36,'EthBiogas Electricity Fin '!$D$27*$D$34),0)</f>
        <v>0</v>
      </c>
      <c r="AK99" s="571">
        <f>IF(AK76&lt;=$D$36,-IPMT($D$35,AK76,$D$36,'EthBiogas Electricity Fin '!$D$27*$D$34),0)</f>
        <v>0</v>
      </c>
      <c r="AL99" s="571">
        <f>IF(AL76&lt;=$D$36,-IPMT($D$35,AL76,$D$36,'EthBiogas Electricity Fin '!$D$27*$D$34),0)</f>
        <v>0</v>
      </c>
      <c r="AM99" s="572">
        <f>IF(AM76&lt;=$D$36,-IPMT($D$35,AM76,$D$36,'EthBiogas Electricity Fin '!$D$27*$D$34),0)</f>
        <v>0</v>
      </c>
    </row>
    <row r="100" spans="2:39">
      <c r="B100" s="573" t="s">
        <v>429</v>
      </c>
      <c r="C100" s="578" t="s">
        <v>417</v>
      </c>
      <c r="D100" s="579"/>
      <c r="E100" s="580">
        <f>IF(E76&lt;=$D$36,-PPMT($D$35,E76,$D$36,'EthBiogas Electricity Fin '!$D$27*$D$34),0)</f>
        <v>432883.9435369859</v>
      </c>
      <c r="F100" s="580">
        <f>IF(F76&lt;=$D$36,-PPMT($D$35,F76,$D$36,'EthBiogas Electricity Fin '!$D$27*$D$34),0)</f>
        <v>432883.9435369859</v>
      </c>
      <c r="G100" s="580">
        <f>IF(G76&lt;=$D$36,-PPMT($D$35,G76,$D$36,'EthBiogas Electricity Fin '!$D$27*$D$34),0)</f>
        <v>432883.9435369859</v>
      </c>
      <c r="H100" s="580">
        <f>IF(H76&lt;=$D$36,-PPMT($D$35,H76,$D$36,'EthBiogas Electricity Fin '!$D$27*$D$34),0)</f>
        <v>432883.9435369859</v>
      </c>
      <c r="I100" s="580">
        <f>IF(I76&lt;=$D$36,-PPMT($D$35,I76,$D$36,'EthBiogas Electricity Fin '!$D$27*$D$34),0)</f>
        <v>432883.9435369859</v>
      </c>
      <c r="J100" s="580">
        <f>IF(J76&lt;=$D$36,-PPMT($D$35,J76,$D$36,'EthBiogas Electricity Fin '!$D$27*$D$34),0)</f>
        <v>432883.9435369859</v>
      </c>
      <c r="K100" s="580">
        <f>IF(K76&lt;=$D$36,-PPMT($D$35,K76,$D$36,'EthBiogas Electricity Fin '!$D$27*$D$34),0)</f>
        <v>432883.9435369859</v>
      </c>
      <c r="L100" s="580">
        <f>IF(L76&lt;=$D$36,-PPMT($D$35,L76,$D$36,'EthBiogas Electricity Fin '!$D$27*$D$34),0)</f>
        <v>432883.9435369859</v>
      </c>
      <c r="M100" s="580">
        <f>IF(M76&lt;=$D$36,-PPMT($D$35,M76,$D$36,'EthBiogas Electricity Fin '!$D$27*$D$34),0)</f>
        <v>432883.9435369859</v>
      </c>
      <c r="N100" s="580">
        <f>IF(N76&lt;=$D$36,-PPMT($D$35,N76,$D$36,'EthBiogas Electricity Fin '!$D$27*$D$34),0)</f>
        <v>432883.9435369859</v>
      </c>
      <c r="O100" s="580">
        <f>IF(O76&lt;=$D$36,-PPMT($D$35,O76,$D$36,'EthBiogas Electricity Fin '!$D$27*$D$34),0)</f>
        <v>432883.9435369859</v>
      </c>
      <c r="P100" s="580">
        <f>IF(P76&lt;=$D$36,-PPMT($D$35,P76,$D$36,'EthBiogas Electricity Fin '!$D$27*$D$34),0)</f>
        <v>432883.9435369859</v>
      </c>
      <c r="Q100" s="580">
        <f>IF(Q76&lt;=$D$36,-PPMT($D$35,Q76,$D$36,'EthBiogas Electricity Fin '!$D$27*$D$34),0)</f>
        <v>432883.9435369859</v>
      </c>
      <c r="R100" s="716">
        <f>IF(R76&lt;=$D$36,-PPMT($D$35,R76,$D$36,'EthBiogas Electricity Fin '!$D$27*$D$34),0)</f>
        <v>432883.9435369859</v>
      </c>
      <c r="S100" s="580">
        <f>IF(S76&lt;=$D$36,-PPMT($D$35,S76,$D$36,'EthBiogas Electricity Fin '!$D$27*$D$34),0)</f>
        <v>432883.9435369859</v>
      </c>
      <c r="T100" s="580">
        <f>IF(T76&lt;=$D$36,-PPMT($D$35,T76,$D$36,'EthBiogas Electricity Fin '!$D$27*$D$34),0)</f>
        <v>432883.9435369859</v>
      </c>
      <c r="U100" s="580">
        <f>IF(U76&lt;=$D$36,-PPMT($D$35,U76,$D$36,'EthBiogas Electricity Fin '!$D$27*$D$34),0)</f>
        <v>432883.9435369859</v>
      </c>
      <c r="V100" s="580">
        <f>IF(V76&lt;=$D$36,-PPMT($D$35,V76,$D$36,'EthBiogas Electricity Fin '!$D$27*$D$34),0)</f>
        <v>432883.9435369859</v>
      </c>
      <c r="W100" s="580">
        <f>IF(W76&lt;=$D$36,-PPMT($D$35,W76,$D$36,'EthBiogas Electricity Fin '!$D$27*$D$34),0)</f>
        <v>432883.9435369859</v>
      </c>
      <c r="X100" s="580">
        <f>IF(X76&lt;=$D$36,-PPMT($D$35,X76,$D$36,'EthBiogas Electricity Fin '!$D$27*$D$34),0)</f>
        <v>432883.9435369859</v>
      </c>
      <c r="Y100" s="580">
        <f>IF(Y76&lt;=$D$36,-PPMT($D$35,Y76,$D$36,'EthBiogas Electricity Fin '!$D$27*$D$34),0)</f>
        <v>432883.9435369859</v>
      </c>
      <c r="Z100" s="580">
        <f>IF(Z76&lt;=$D$36,-PPMT($D$35,Z76,$D$36,'EthBiogas Electricity Fin '!$D$27*$D$34),0)</f>
        <v>432883.9435369859</v>
      </c>
      <c r="AA100" s="580">
        <f>IF(AA76&lt;=$D$36,-PPMT($D$35,AA76,$D$36,'EthBiogas Electricity Fin '!$D$27*$D$34),0)</f>
        <v>432883.9435369859</v>
      </c>
      <c r="AB100" s="580">
        <f>IF(AB76&lt;=$D$36,-PPMT($D$35,AB76,$D$36,'EthBiogas Electricity Fin '!$D$27*$D$34),0)</f>
        <v>432883.9435369859</v>
      </c>
      <c r="AC100" s="580">
        <f>IF(AC76&lt;=$D$36,-PPMT($D$35,AC76,$D$36,'EthBiogas Electricity Fin '!$D$27*$D$34),0)</f>
        <v>432883.9435369859</v>
      </c>
      <c r="AD100" s="580">
        <f>IF(AD76&lt;=$D$36,-PPMT($D$35,AD76,$D$36,'EthBiogas Electricity Fin '!$D$27*$D$34),0)</f>
        <v>0</v>
      </c>
      <c r="AE100" s="580">
        <f>IF(AE76&lt;=$D$36,-PPMT($D$35,AE76,$D$36,'EthBiogas Electricity Fin '!$D$27*$D$34),0)</f>
        <v>0</v>
      </c>
      <c r="AF100" s="580">
        <f>IF(AF76&lt;=$D$36,-PPMT($D$35,AF76,$D$36,'EthBiogas Electricity Fin '!$D$27*$D$34),0)</f>
        <v>0</v>
      </c>
      <c r="AG100" s="580">
        <f>IF(AG76&lt;=$D$36,-PPMT($D$35,AG76,$D$36,'EthBiogas Electricity Fin '!$D$27*$D$34),0)</f>
        <v>0</v>
      </c>
      <c r="AH100" s="580">
        <f>IF(AH76&lt;=$D$36,-PPMT($D$35,AH76,$D$36,'EthBiogas Electricity Fin '!$D$27*$D$34),0)</f>
        <v>0</v>
      </c>
      <c r="AI100" s="580">
        <f>IF(AI76&lt;=$D$36,-PPMT($D$35,AI76,$D$36,'EthBiogas Electricity Fin '!$D$27*$D$34),0)</f>
        <v>0</v>
      </c>
      <c r="AJ100" s="580">
        <f>IF(AJ76&lt;=$D$36,-PPMT($D$35,AJ76,$D$36,'EthBiogas Electricity Fin '!$D$27*$D$34),0)</f>
        <v>0</v>
      </c>
      <c r="AK100" s="580">
        <f>IF(AK76&lt;=$D$36,-PPMT($D$35,AK76,$D$36,'EthBiogas Electricity Fin '!$D$27*$D$34),0)</f>
        <v>0</v>
      </c>
      <c r="AL100" s="580">
        <f>IF(AL76&lt;=$D$36,-PPMT($D$35,AL76,$D$36,'EthBiogas Electricity Fin '!$D$27*$D$34),0)</f>
        <v>0</v>
      </c>
      <c r="AM100" s="581">
        <f>IF(AM76&lt;=$D$36,-PPMT($D$35,AM76,$D$36,'EthBiogas Electricity Fin '!$D$27*$D$34),0)</f>
        <v>0</v>
      </c>
    </row>
    <row r="101" spans="2:39" ht="12.95">
      <c r="B101" s="598" t="s">
        <v>430</v>
      </c>
      <c r="C101" s="583" t="s">
        <v>417</v>
      </c>
      <c r="D101" s="599">
        <f>D96</f>
        <v>10822098.588424647</v>
      </c>
      <c r="E101" s="600">
        <f>SUM(E99:E100)+E96</f>
        <v>432883.9435369859</v>
      </c>
      <c r="F101" s="600">
        <f t="shared" ref="F101:M101" si="3">SUM(F99:F100)+F96</f>
        <v>432883.9435369859</v>
      </c>
      <c r="G101" s="600">
        <f t="shared" si="3"/>
        <v>432883.9435369859</v>
      </c>
      <c r="H101" s="600">
        <f t="shared" si="3"/>
        <v>432883.9435369859</v>
      </c>
      <c r="I101" s="600">
        <f t="shared" si="3"/>
        <v>432883.9435369859</v>
      </c>
      <c r="J101" s="600">
        <f t="shared" si="3"/>
        <v>432883.9435369859</v>
      </c>
      <c r="K101" s="600">
        <f t="shared" si="3"/>
        <v>432883.9435369859</v>
      </c>
      <c r="L101" s="600">
        <f t="shared" si="3"/>
        <v>432883.9435369859</v>
      </c>
      <c r="M101" s="600">
        <f t="shared" si="3"/>
        <v>432883.9435369859</v>
      </c>
      <c r="N101" s="600">
        <f>SUM(N99:N100)</f>
        <v>432883.9435369859</v>
      </c>
      <c r="O101" s="600">
        <f t="shared" ref="O101:AM101" si="4">SUM(O99:O100)</f>
        <v>432883.9435369859</v>
      </c>
      <c r="P101" s="600">
        <f t="shared" si="4"/>
        <v>432883.9435369859</v>
      </c>
      <c r="Q101" s="600">
        <f t="shared" si="4"/>
        <v>432883.9435369859</v>
      </c>
      <c r="R101" s="600">
        <f t="shared" si="4"/>
        <v>432883.9435369859</v>
      </c>
      <c r="S101" s="600">
        <f t="shared" si="4"/>
        <v>432883.9435369859</v>
      </c>
      <c r="T101" s="600">
        <f t="shared" si="4"/>
        <v>432883.9435369859</v>
      </c>
      <c r="U101" s="600">
        <f t="shared" si="4"/>
        <v>432883.9435369859</v>
      </c>
      <c r="V101" s="600">
        <f t="shared" si="4"/>
        <v>432883.9435369859</v>
      </c>
      <c r="W101" s="600">
        <f t="shared" si="4"/>
        <v>432883.9435369859</v>
      </c>
      <c r="X101" s="600">
        <f t="shared" si="4"/>
        <v>432883.9435369859</v>
      </c>
      <c r="Y101" s="600">
        <f t="shared" si="4"/>
        <v>432883.9435369859</v>
      </c>
      <c r="Z101" s="600">
        <f t="shared" si="4"/>
        <v>432883.9435369859</v>
      </c>
      <c r="AA101" s="600">
        <f t="shared" si="4"/>
        <v>432883.9435369859</v>
      </c>
      <c r="AB101" s="600">
        <f t="shared" si="4"/>
        <v>432883.9435369859</v>
      </c>
      <c r="AC101" s="600">
        <f t="shared" si="4"/>
        <v>432883.9435369859</v>
      </c>
      <c r="AD101" s="600">
        <f t="shared" si="4"/>
        <v>0</v>
      </c>
      <c r="AE101" s="600">
        <f t="shared" si="4"/>
        <v>0</v>
      </c>
      <c r="AF101" s="600">
        <f t="shared" si="4"/>
        <v>0</v>
      </c>
      <c r="AG101" s="600">
        <f t="shared" si="4"/>
        <v>0</v>
      </c>
      <c r="AH101" s="600">
        <f t="shared" si="4"/>
        <v>0</v>
      </c>
      <c r="AI101" s="600">
        <f t="shared" si="4"/>
        <v>0</v>
      </c>
      <c r="AJ101" s="600">
        <f t="shared" si="4"/>
        <v>0</v>
      </c>
      <c r="AK101" s="600">
        <f t="shared" si="4"/>
        <v>0</v>
      </c>
      <c r="AL101" s="600">
        <f t="shared" si="4"/>
        <v>0</v>
      </c>
      <c r="AM101" s="601">
        <f t="shared" si="4"/>
        <v>0</v>
      </c>
    </row>
    <row r="102" spans="2:39" ht="12.95">
      <c r="B102" s="479"/>
      <c r="C102" s="479"/>
      <c r="D102" s="494"/>
      <c r="E102" s="494"/>
      <c r="F102" s="494"/>
      <c r="G102" s="494"/>
      <c r="H102" s="494"/>
      <c r="I102" s="494"/>
      <c r="J102" s="494"/>
      <c r="K102" s="494"/>
      <c r="L102" s="494"/>
      <c r="M102" s="494"/>
      <c r="N102" s="494"/>
      <c r="O102" s="494"/>
      <c r="P102" s="494"/>
      <c r="Q102" s="494"/>
      <c r="R102" s="494"/>
      <c r="S102" s="494"/>
      <c r="T102" s="494"/>
      <c r="U102" s="494"/>
      <c r="V102" s="494"/>
      <c r="W102" s="494"/>
      <c r="X102" s="494"/>
      <c r="Y102" s="494"/>
      <c r="Z102" s="494"/>
      <c r="AA102" s="494"/>
      <c r="AB102" s="494"/>
      <c r="AC102" s="494"/>
      <c r="AD102" s="494"/>
      <c r="AE102" s="494"/>
      <c r="AF102" s="494"/>
      <c r="AG102" s="494"/>
      <c r="AH102" s="494"/>
      <c r="AI102" s="494"/>
      <c r="AJ102" s="494"/>
      <c r="AK102" s="494"/>
      <c r="AL102" s="494"/>
      <c r="AM102" s="494"/>
    </row>
    <row r="103" spans="2:39" ht="12.95">
      <c r="B103" s="598" t="s">
        <v>431</v>
      </c>
      <c r="C103" s="602" t="s">
        <v>417</v>
      </c>
      <c r="D103" s="599">
        <f>D101+D86+D108</f>
        <v>10988093.579224531</v>
      </c>
      <c r="E103" s="600">
        <f>E101+E86+E107</f>
        <v>598878.93433686905</v>
      </c>
      <c r="F103" s="600">
        <f t="shared" ref="F103:AM103" si="5">F101+F86+F107</f>
        <v>598878.93433686905</v>
      </c>
      <c r="G103" s="600">
        <f t="shared" si="5"/>
        <v>598878.93433686905</v>
      </c>
      <c r="H103" s="600">
        <f t="shared" si="5"/>
        <v>598878.93433686905</v>
      </c>
      <c r="I103" s="600">
        <f t="shared" si="5"/>
        <v>598878.93433686905</v>
      </c>
      <c r="J103" s="600">
        <f t="shared" si="5"/>
        <v>598878.93433686905</v>
      </c>
      <c r="K103" s="600">
        <f t="shared" si="5"/>
        <v>598878.93433686905</v>
      </c>
      <c r="L103" s="600">
        <f t="shared" si="5"/>
        <v>598878.93433686905</v>
      </c>
      <c r="M103" s="600">
        <f t="shared" si="5"/>
        <v>598878.93433686905</v>
      </c>
      <c r="N103" s="600">
        <f t="shared" si="5"/>
        <v>598878.93433686905</v>
      </c>
      <c r="O103" s="600">
        <f t="shared" si="5"/>
        <v>598878.93433686905</v>
      </c>
      <c r="P103" s="600">
        <f t="shared" si="5"/>
        <v>598878.93433686905</v>
      </c>
      <c r="Q103" s="600">
        <f t="shared" si="5"/>
        <v>598878.93433686905</v>
      </c>
      <c r="R103" s="600">
        <f t="shared" si="5"/>
        <v>598878.93433686905</v>
      </c>
      <c r="S103" s="600">
        <f t="shared" si="5"/>
        <v>598878.93433686905</v>
      </c>
      <c r="T103" s="600">
        <f t="shared" si="5"/>
        <v>598878.93433686905</v>
      </c>
      <c r="U103" s="600">
        <f t="shared" si="5"/>
        <v>598878.93433686905</v>
      </c>
      <c r="V103" s="600">
        <f t="shared" si="5"/>
        <v>598878.93433686905</v>
      </c>
      <c r="W103" s="600">
        <f t="shared" si="5"/>
        <v>598878.93433686905</v>
      </c>
      <c r="X103" s="600">
        <f t="shared" si="5"/>
        <v>598878.93433686905</v>
      </c>
      <c r="Y103" s="600">
        <f t="shared" si="5"/>
        <v>598878.93433686905</v>
      </c>
      <c r="Z103" s="600">
        <f t="shared" si="5"/>
        <v>598878.93433686905</v>
      </c>
      <c r="AA103" s="600">
        <f t="shared" si="5"/>
        <v>598878.93433686905</v>
      </c>
      <c r="AB103" s="600">
        <f t="shared" si="5"/>
        <v>598878.93433686905</v>
      </c>
      <c r="AC103" s="600">
        <f t="shared" si="5"/>
        <v>2075652.8108923095</v>
      </c>
      <c r="AD103" s="600">
        <f t="shared" si="5"/>
        <v>0</v>
      </c>
      <c r="AE103" s="600">
        <f t="shared" si="5"/>
        <v>0</v>
      </c>
      <c r="AF103" s="600">
        <f t="shared" si="5"/>
        <v>0</v>
      </c>
      <c r="AG103" s="600">
        <f t="shared" si="5"/>
        <v>0</v>
      </c>
      <c r="AH103" s="600">
        <f t="shared" si="5"/>
        <v>0</v>
      </c>
      <c r="AI103" s="600">
        <f t="shared" si="5"/>
        <v>0</v>
      </c>
      <c r="AJ103" s="600">
        <f t="shared" si="5"/>
        <v>0</v>
      </c>
      <c r="AK103" s="600">
        <f t="shared" si="5"/>
        <v>0</v>
      </c>
      <c r="AL103" s="600">
        <f t="shared" si="5"/>
        <v>0</v>
      </c>
      <c r="AM103" s="601">
        <f t="shared" si="5"/>
        <v>0</v>
      </c>
    </row>
    <row r="104" spans="2:39">
      <c r="B104" s="478"/>
      <c r="C104" s="485"/>
      <c r="D104" s="476"/>
      <c r="E104" s="476"/>
      <c r="F104" s="476"/>
      <c r="G104" s="476"/>
      <c r="H104" s="476"/>
      <c r="I104" s="476"/>
      <c r="J104" s="476"/>
      <c r="K104" s="476"/>
      <c r="L104" s="476"/>
      <c r="M104" s="476"/>
      <c r="N104" s="476"/>
      <c r="O104" s="476"/>
      <c r="P104" s="476"/>
      <c r="Q104" s="476"/>
      <c r="R104" s="476"/>
      <c r="S104" s="476"/>
      <c r="T104" s="476"/>
      <c r="U104" s="476"/>
      <c r="V104" s="476"/>
      <c r="W104" s="476"/>
      <c r="X104" s="476"/>
      <c r="Y104" s="476"/>
      <c r="Z104" s="476"/>
      <c r="AA104" s="476"/>
      <c r="AB104" s="476"/>
      <c r="AC104" s="476"/>
      <c r="AD104" s="476"/>
      <c r="AE104" s="476"/>
      <c r="AF104" s="476"/>
      <c r="AG104" s="476"/>
      <c r="AH104" s="476"/>
      <c r="AI104" s="476"/>
      <c r="AJ104" s="476"/>
      <c r="AK104" s="476"/>
      <c r="AL104" s="476"/>
      <c r="AM104" s="476"/>
    </row>
    <row r="105" spans="2:39" ht="12.95">
      <c r="B105" s="495"/>
      <c r="D105" s="496" t="s">
        <v>432</v>
      </c>
      <c r="E105" s="496" t="s">
        <v>433</v>
      </c>
      <c r="R105" s="474"/>
    </row>
    <row r="106" spans="2:39">
      <c r="R106" s="474"/>
    </row>
    <row r="107" spans="2:39" s="496" customFormat="1" ht="12.95">
      <c r="B107" s="565" t="s">
        <v>434</v>
      </c>
      <c r="C107" s="592" t="s">
        <v>417</v>
      </c>
      <c r="D107" s="599"/>
      <c r="E107" s="600">
        <f t="shared" ref="E107:AM107" si="6">IF(E76&lt;=$D37,$D108*$D38,0)</f>
        <v>0</v>
      </c>
      <c r="F107" s="600">
        <f t="shared" si="6"/>
        <v>0</v>
      </c>
      <c r="G107" s="600">
        <f t="shared" si="6"/>
        <v>0</v>
      </c>
      <c r="H107" s="600">
        <f t="shared" si="6"/>
        <v>0</v>
      </c>
      <c r="I107" s="600">
        <f t="shared" si="6"/>
        <v>0</v>
      </c>
      <c r="J107" s="600">
        <f t="shared" si="6"/>
        <v>0</v>
      </c>
      <c r="K107" s="600">
        <f t="shared" si="6"/>
        <v>0</v>
      </c>
      <c r="L107" s="600">
        <f t="shared" si="6"/>
        <v>0</v>
      </c>
      <c r="M107" s="600">
        <f t="shared" si="6"/>
        <v>0</v>
      </c>
      <c r="N107" s="600">
        <f t="shared" si="6"/>
        <v>0</v>
      </c>
      <c r="O107" s="600">
        <f t="shared" si="6"/>
        <v>0</v>
      </c>
      <c r="P107" s="600">
        <f t="shared" si="6"/>
        <v>0</v>
      </c>
      <c r="Q107" s="600">
        <f t="shared" si="6"/>
        <v>0</v>
      </c>
      <c r="R107" s="600">
        <f t="shared" si="6"/>
        <v>0</v>
      </c>
      <c r="S107" s="600">
        <f t="shared" si="6"/>
        <v>0</v>
      </c>
      <c r="T107" s="600">
        <f t="shared" si="6"/>
        <v>0</v>
      </c>
      <c r="U107" s="600">
        <f t="shared" si="6"/>
        <v>0</v>
      </c>
      <c r="V107" s="600">
        <f t="shared" si="6"/>
        <v>0</v>
      </c>
      <c r="W107" s="600">
        <f t="shared" si="6"/>
        <v>0</v>
      </c>
      <c r="X107" s="600">
        <f t="shared" si="6"/>
        <v>0</v>
      </c>
      <c r="Y107" s="600">
        <f t="shared" si="6"/>
        <v>0</v>
      </c>
      <c r="Z107" s="600">
        <f t="shared" si="6"/>
        <v>0</v>
      </c>
      <c r="AA107" s="600">
        <f t="shared" si="6"/>
        <v>0</v>
      </c>
      <c r="AB107" s="600">
        <f t="shared" si="6"/>
        <v>0</v>
      </c>
      <c r="AC107" s="600">
        <f t="shared" si="6"/>
        <v>0</v>
      </c>
      <c r="AD107" s="600">
        <f t="shared" si="6"/>
        <v>0</v>
      </c>
      <c r="AE107" s="600">
        <f t="shared" si="6"/>
        <v>0</v>
      </c>
      <c r="AF107" s="600">
        <f t="shared" si="6"/>
        <v>0</v>
      </c>
      <c r="AG107" s="600">
        <f t="shared" si="6"/>
        <v>0</v>
      </c>
      <c r="AH107" s="600">
        <f t="shared" si="6"/>
        <v>0</v>
      </c>
      <c r="AI107" s="600">
        <f t="shared" si="6"/>
        <v>0</v>
      </c>
      <c r="AJ107" s="600">
        <f t="shared" si="6"/>
        <v>0</v>
      </c>
      <c r="AK107" s="600">
        <f t="shared" si="6"/>
        <v>0</v>
      </c>
      <c r="AL107" s="600">
        <f t="shared" si="6"/>
        <v>0</v>
      </c>
      <c r="AM107" s="601">
        <f t="shared" si="6"/>
        <v>0</v>
      </c>
    </row>
    <row r="108" spans="2:39">
      <c r="B108" s="561" t="s">
        <v>435</v>
      </c>
      <c r="C108" s="545" t="s">
        <v>331</v>
      </c>
      <c r="D108" s="603">
        <f>'EthBiogas Electricity Fin '!D27*(1-D34)</f>
        <v>0</v>
      </c>
      <c r="R108" s="474"/>
    </row>
    <row r="109" spans="2:39">
      <c r="D109" s="487"/>
      <c r="R109" s="474"/>
    </row>
    <row r="110" spans="2:39" s="497" customFormat="1" ht="12.95">
      <c r="B110" s="561" t="s">
        <v>436</v>
      </c>
      <c r="C110" s="545" t="s">
        <v>437</v>
      </c>
      <c r="D110" s="604">
        <f>D78/((1+$D41)^D76)</f>
        <v>18443887.866653681</v>
      </c>
      <c r="E110" s="605">
        <f t="shared" ref="E110:AM110" si="7">E78/((1+$D41)^E76)</f>
        <v>15369906.555544734</v>
      </c>
      <c r="F110" s="605">
        <f t="shared" si="7"/>
        <v>12808255.462953946</v>
      </c>
      <c r="G110" s="605">
        <f t="shared" si="7"/>
        <v>10673546.219128288</v>
      </c>
      <c r="H110" s="605">
        <f t="shared" si="7"/>
        <v>8894621.8492735736</v>
      </c>
      <c r="I110" s="605">
        <f t="shared" si="7"/>
        <v>7412184.8743946441</v>
      </c>
      <c r="J110" s="605">
        <f t="shared" si="7"/>
        <v>6176820.728662204</v>
      </c>
      <c r="K110" s="605">
        <f t="shared" si="7"/>
        <v>5147350.607218503</v>
      </c>
      <c r="L110" s="605">
        <f t="shared" si="7"/>
        <v>4289458.839348753</v>
      </c>
      <c r="M110" s="605">
        <f t="shared" si="7"/>
        <v>3574549.0327906273</v>
      </c>
      <c r="N110" s="605">
        <f t="shared" si="7"/>
        <v>2978790.8606588561</v>
      </c>
      <c r="O110" s="605">
        <f t="shared" si="7"/>
        <v>2482325.7172157136</v>
      </c>
      <c r="P110" s="605">
        <f t="shared" si="7"/>
        <v>2068604.7643464282</v>
      </c>
      <c r="Q110" s="605">
        <f t="shared" si="7"/>
        <v>1723837.3036220234</v>
      </c>
      <c r="R110" s="717">
        <f t="shared" si="7"/>
        <v>1436531.0863516864</v>
      </c>
      <c r="S110" s="605">
        <f t="shared" si="7"/>
        <v>1197109.2386264051</v>
      </c>
      <c r="T110" s="605">
        <f t="shared" si="7"/>
        <v>997591.03218867106</v>
      </c>
      <c r="U110" s="605">
        <f t="shared" si="7"/>
        <v>831325.86015722598</v>
      </c>
      <c r="V110" s="605">
        <f t="shared" si="7"/>
        <v>692771.55013102165</v>
      </c>
      <c r="W110" s="605">
        <f t="shared" si="7"/>
        <v>577309.62510918465</v>
      </c>
      <c r="X110" s="605">
        <f t="shared" si="7"/>
        <v>481091.35425765387</v>
      </c>
      <c r="Y110" s="605">
        <f t="shared" si="7"/>
        <v>400909.46188137826</v>
      </c>
      <c r="Z110" s="605">
        <f t="shared" si="7"/>
        <v>334091.21823448193</v>
      </c>
      <c r="AA110" s="605">
        <f t="shared" si="7"/>
        <v>278409.34852873493</v>
      </c>
      <c r="AB110" s="605">
        <f t="shared" si="7"/>
        <v>232007.79044061244</v>
      </c>
      <c r="AC110" s="605">
        <f t="shared" si="7"/>
        <v>193339.82536717702</v>
      </c>
      <c r="AD110" s="605">
        <f t="shared" si="7"/>
        <v>0</v>
      </c>
      <c r="AE110" s="605">
        <f t="shared" si="7"/>
        <v>0</v>
      </c>
      <c r="AF110" s="605">
        <f t="shared" si="7"/>
        <v>0</v>
      </c>
      <c r="AG110" s="605">
        <f t="shared" si="7"/>
        <v>0</v>
      </c>
      <c r="AH110" s="605">
        <f t="shared" si="7"/>
        <v>0</v>
      </c>
      <c r="AI110" s="605">
        <f t="shared" si="7"/>
        <v>0</v>
      </c>
      <c r="AJ110" s="605">
        <f t="shared" si="7"/>
        <v>0</v>
      </c>
      <c r="AK110" s="605">
        <f t="shared" si="7"/>
        <v>0</v>
      </c>
      <c r="AL110" s="605">
        <f t="shared" si="7"/>
        <v>0</v>
      </c>
      <c r="AM110" s="606">
        <f t="shared" si="7"/>
        <v>0</v>
      </c>
    </row>
    <row r="111" spans="2:39" s="497" customFormat="1" ht="12.95">
      <c r="B111" s="577" t="s">
        <v>438</v>
      </c>
      <c r="C111" s="607" t="s">
        <v>439</v>
      </c>
      <c r="D111" s="579">
        <f t="shared" ref="D111:AM111" si="8">D103/(1+$D41)^D76</f>
        <v>10988093.579224531</v>
      </c>
      <c r="E111" s="580">
        <f t="shared" si="8"/>
        <v>499065.77861405758</v>
      </c>
      <c r="F111" s="580">
        <f t="shared" si="8"/>
        <v>415888.14884504798</v>
      </c>
      <c r="G111" s="580">
        <f t="shared" si="8"/>
        <v>346573.45737087331</v>
      </c>
      <c r="H111" s="580">
        <f t="shared" si="8"/>
        <v>288811.21447572776</v>
      </c>
      <c r="I111" s="580">
        <f t="shared" si="8"/>
        <v>240676.01206310646</v>
      </c>
      <c r="J111" s="580">
        <f t="shared" si="8"/>
        <v>200563.34338592205</v>
      </c>
      <c r="K111" s="580">
        <f t="shared" si="8"/>
        <v>167136.11948826839</v>
      </c>
      <c r="L111" s="580">
        <f t="shared" si="8"/>
        <v>139280.099573557</v>
      </c>
      <c r="M111" s="580">
        <f t="shared" si="8"/>
        <v>116066.74964463082</v>
      </c>
      <c r="N111" s="580">
        <f t="shared" si="8"/>
        <v>96722.291370525694</v>
      </c>
      <c r="O111" s="580">
        <f t="shared" si="8"/>
        <v>80601.909475438079</v>
      </c>
      <c r="P111" s="580">
        <f t="shared" si="8"/>
        <v>67168.257896198396</v>
      </c>
      <c r="Q111" s="580">
        <f t="shared" si="8"/>
        <v>55973.548246831997</v>
      </c>
      <c r="R111" s="716">
        <f t="shared" si="8"/>
        <v>46644.623539026674</v>
      </c>
      <c r="S111" s="580">
        <f t="shared" si="8"/>
        <v>38870.519615855555</v>
      </c>
      <c r="T111" s="580">
        <f t="shared" si="8"/>
        <v>32392.099679879637</v>
      </c>
      <c r="U111" s="580">
        <f t="shared" si="8"/>
        <v>26993.416399899696</v>
      </c>
      <c r="V111" s="580">
        <f t="shared" si="8"/>
        <v>22494.51366658308</v>
      </c>
      <c r="W111" s="580">
        <f t="shared" si="8"/>
        <v>18745.4280554859</v>
      </c>
      <c r="X111" s="580">
        <f t="shared" si="8"/>
        <v>15621.190046238249</v>
      </c>
      <c r="Y111" s="580">
        <f t="shared" si="8"/>
        <v>13017.658371865209</v>
      </c>
      <c r="Z111" s="580">
        <f t="shared" si="8"/>
        <v>10848.048643221009</v>
      </c>
      <c r="AA111" s="580">
        <f t="shared" si="8"/>
        <v>9040.0405360175064</v>
      </c>
      <c r="AB111" s="580">
        <f t="shared" si="8"/>
        <v>7533.3671133479229</v>
      </c>
      <c r="AC111" s="580">
        <f t="shared" si="8"/>
        <v>21758.229874427187</v>
      </c>
      <c r="AD111" s="580">
        <f t="shared" si="8"/>
        <v>0</v>
      </c>
      <c r="AE111" s="580">
        <f t="shared" si="8"/>
        <v>0</v>
      </c>
      <c r="AF111" s="580">
        <f t="shared" si="8"/>
        <v>0</v>
      </c>
      <c r="AG111" s="580">
        <f t="shared" si="8"/>
        <v>0</v>
      </c>
      <c r="AH111" s="580">
        <f t="shared" si="8"/>
        <v>0</v>
      </c>
      <c r="AI111" s="580">
        <f t="shared" si="8"/>
        <v>0</v>
      </c>
      <c r="AJ111" s="580">
        <f t="shared" si="8"/>
        <v>0</v>
      </c>
      <c r="AK111" s="580">
        <f t="shared" si="8"/>
        <v>0</v>
      </c>
      <c r="AL111" s="580">
        <f t="shared" si="8"/>
        <v>0</v>
      </c>
      <c r="AM111" s="581">
        <f t="shared" si="8"/>
        <v>0</v>
      </c>
    </row>
    <row r="112" spans="2:39" s="497" customFormat="1" ht="12.95">
      <c r="B112" s="608" t="s">
        <v>440</v>
      </c>
      <c r="C112" s="609" t="s">
        <v>441</v>
      </c>
      <c r="D112" s="610">
        <f t="shared" ref="D112:AM112" si="9">(D103-D130)/(1+$D41)^D76</f>
        <v>11354020.31449894</v>
      </c>
      <c r="E112" s="611">
        <f t="shared" si="9"/>
        <v>804004.72467606515</v>
      </c>
      <c r="F112" s="611">
        <f t="shared" si="9"/>
        <v>670003.93723005429</v>
      </c>
      <c r="G112" s="611">
        <f t="shared" si="9"/>
        <v>558336.61435837857</v>
      </c>
      <c r="H112" s="611">
        <f t="shared" si="9"/>
        <v>465280.5119653155</v>
      </c>
      <c r="I112" s="611">
        <f t="shared" si="9"/>
        <v>387733.75997109624</v>
      </c>
      <c r="J112" s="611">
        <f t="shared" si="9"/>
        <v>323111.46664258017</v>
      </c>
      <c r="K112" s="611">
        <f t="shared" si="9"/>
        <v>269259.55553548352</v>
      </c>
      <c r="L112" s="611">
        <f t="shared" si="9"/>
        <v>224382.96294623625</v>
      </c>
      <c r="M112" s="611">
        <f t="shared" si="9"/>
        <v>186985.80245519688</v>
      </c>
      <c r="N112" s="611">
        <f t="shared" si="9"/>
        <v>155821.50204599739</v>
      </c>
      <c r="O112" s="611">
        <f t="shared" si="9"/>
        <v>129851.25170499783</v>
      </c>
      <c r="P112" s="611">
        <f t="shared" si="9"/>
        <v>108209.37642083154</v>
      </c>
      <c r="Q112" s="611">
        <f t="shared" si="9"/>
        <v>90174.480350692946</v>
      </c>
      <c r="R112" s="611">
        <f t="shared" si="9"/>
        <v>75145.400292244129</v>
      </c>
      <c r="S112" s="611">
        <f t="shared" si="9"/>
        <v>62621.166910203436</v>
      </c>
      <c r="T112" s="611">
        <f t="shared" si="9"/>
        <v>52184.305758502873</v>
      </c>
      <c r="U112" s="611">
        <f t="shared" si="9"/>
        <v>43486.921465419058</v>
      </c>
      <c r="V112" s="611">
        <f t="shared" si="9"/>
        <v>36239.101221182551</v>
      </c>
      <c r="W112" s="611">
        <f t="shared" si="9"/>
        <v>30199.251017652125</v>
      </c>
      <c r="X112" s="611">
        <f t="shared" si="9"/>
        <v>25166.042514710105</v>
      </c>
      <c r="Y112" s="611">
        <f t="shared" si="9"/>
        <v>20971.702095591754</v>
      </c>
      <c r="Z112" s="611">
        <f t="shared" si="9"/>
        <v>17476.418412993131</v>
      </c>
      <c r="AA112" s="611">
        <f t="shared" si="9"/>
        <v>14563.682010827608</v>
      </c>
      <c r="AB112" s="611">
        <f t="shared" si="9"/>
        <v>12136.401675689674</v>
      </c>
      <c r="AC112" s="611">
        <f t="shared" si="9"/>
        <v>21854.126427809308</v>
      </c>
      <c r="AD112" s="611">
        <f t="shared" si="9"/>
        <v>0</v>
      </c>
      <c r="AE112" s="611">
        <f t="shared" si="9"/>
        <v>0</v>
      </c>
      <c r="AF112" s="611">
        <f t="shared" si="9"/>
        <v>0</v>
      </c>
      <c r="AG112" s="611">
        <f t="shared" si="9"/>
        <v>0</v>
      </c>
      <c r="AH112" s="611">
        <f t="shared" si="9"/>
        <v>0</v>
      </c>
      <c r="AI112" s="611">
        <f t="shared" si="9"/>
        <v>0</v>
      </c>
      <c r="AJ112" s="611">
        <f t="shared" si="9"/>
        <v>0</v>
      </c>
      <c r="AK112" s="611">
        <f t="shared" si="9"/>
        <v>0</v>
      </c>
      <c r="AL112" s="611">
        <f t="shared" si="9"/>
        <v>0</v>
      </c>
      <c r="AM112" s="612">
        <f t="shared" si="9"/>
        <v>0</v>
      </c>
    </row>
    <row r="113" spans="1:39" s="497" customFormat="1" ht="12.95">
      <c r="B113" s="577" t="s">
        <v>442</v>
      </c>
      <c r="C113" s="607" t="s">
        <v>439</v>
      </c>
      <c r="D113" s="579">
        <f t="shared" ref="D113:AM113" si="10">(D149)/(1+$D41)^D76</f>
        <v>1475511.0293322946</v>
      </c>
      <c r="E113" s="580">
        <f t="shared" si="10"/>
        <v>1229592.5244435789</v>
      </c>
      <c r="F113" s="580">
        <f t="shared" si="10"/>
        <v>1024660.4370363157</v>
      </c>
      <c r="G113" s="580">
        <f t="shared" si="10"/>
        <v>853883.6975302631</v>
      </c>
      <c r="H113" s="580">
        <f t="shared" si="10"/>
        <v>711569.74794188596</v>
      </c>
      <c r="I113" s="580">
        <f t="shared" si="10"/>
        <v>592974.78995157161</v>
      </c>
      <c r="J113" s="580">
        <f t="shared" si="10"/>
        <v>494145.65829297638</v>
      </c>
      <c r="K113" s="580">
        <f t="shared" si="10"/>
        <v>411788.04857748031</v>
      </c>
      <c r="L113" s="580">
        <f t="shared" si="10"/>
        <v>343156.70714790025</v>
      </c>
      <c r="M113" s="580">
        <f t="shared" si="10"/>
        <v>285963.92262325023</v>
      </c>
      <c r="N113" s="580">
        <f t="shared" si="10"/>
        <v>238303.26885270851</v>
      </c>
      <c r="O113" s="580">
        <f t="shared" si="10"/>
        <v>198586.05737725709</v>
      </c>
      <c r="P113" s="580">
        <f t="shared" si="10"/>
        <v>165488.38114771427</v>
      </c>
      <c r="Q113" s="580">
        <f t="shared" si="10"/>
        <v>137906.98428976189</v>
      </c>
      <c r="R113" s="716">
        <f t="shared" si="10"/>
        <v>114922.48690813492</v>
      </c>
      <c r="S113" s="580">
        <f t="shared" si="10"/>
        <v>95768.739090112416</v>
      </c>
      <c r="T113" s="580">
        <f t="shared" si="10"/>
        <v>79807.28257509369</v>
      </c>
      <c r="U113" s="580">
        <f t="shared" si="10"/>
        <v>66506.068812578087</v>
      </c>
      <c r="V113" s="580">
        <f t="shared" si="10"/>
        <v>55421.724010481732</v>
      </c>
      <c r="W113" s="580">
        <f t="shared" si="10"/>
        <v>46184.770008734777</v>
      </c>
      <c r="X113" s="580">
        <f t="shared" si="10"/>
        <v>38487.308340612311</v>
      </c>
      <c r="Y113" s="580">
        <f t="shared" si="10"/>
        <v>32072.756950510262</v>
      </c>
      <c r="Z113" s="580">
        <f t="shared" si="10"/>
        <v>26727.297458758556</v>
      </c>
      <c r="AA113" s="580">
        <f t="shared" si="10"/>
        <v>22272.747882298798</v>
      </c>
      <c r="AB113" s="580">
        <f t="shared" si="10"/>
        <v>18560.623235248997</v>
      </c>
      <c r="AC113" s="580">
        <f t="shared" si="10"/>
        <v>15467.186029374163</v>
      </c>
      <c r="AD113" s="580">
        <f t="shared" si="10"/>
        <v>0</v>
      </c>
      <c r="AE113" s="580">
        <f t="shared" si="10"/>
        <v>0</v>
      </c>
      <c r="AF113" s="580">
        <f t="shared" si="10"/>
        <v>0</v>
      </c>
      <c r="AG113" s="580">
        <f t="shared" si="10"/>
        <v>0</v>
      </c>
      <c r="AH113" s="580">
        <f t="shared" si="10"/>
        <v>0</v>
      </c>
      <c r="AI113" s="580">
        <f t="shared" si="10"/>
        <v>0</v>
      </c>
      <c r="AJ113" s="580">
        <f t="shared" si="10"/>
        <v>0</v>
      </c>
      <c r="AK113" s="580">
        <f t="shared" si="10"/>
        <v>0</v>
      </c>
      <c r="AL113" s="580">
        <f t="shared" si="10"/>
        <v>0</v>
      </c>
      <c r="AM113" s="581">
        <f t="shared" si="10"/>
        <v>0</v>
      </c>
    </row>
    <row r="114" spans="1:39" s="497" customFormat="1" ht="12.95">
      <c r="B114" s="577" t="s">
        <v>443</v>
      </c>
      <c r="C114" s="607" t="s">
        <v>439</v>
      </c>
      <c r="D114" s="579">
        <f t="shared" ref="D114:AM114" si="11">(D124)/(1+$D41)^D76</f>
        <v>-872765.60762536526</v>
      </c>
      <c r="E114" s="580">
        <f t="shared" si="11"/>
        <v>-727304.67302113771</v>
      </c>
      <c r="F114" s="580">
        <f t="shared" si="11"/>
        <v>-606087.22751761484</v>
      </c>
      <c r="G114" s="580">
        <f t="shared" si="11"/>
        <v>-505072.68959801231</v>
      </c>
      <c r="H114" s="580">
        <f t="shared" si="11"/>
        <v>-420893.90799834358</v>
      </c>
      <c r="I114" s="580">
        <f t="shared" si="11"/>
        <v>-350744.923331953</v>
      </c>
      <c r="J114" s="580">
        <f t="shared" si="11"/>
        <v>-292287.43610996084</v>
      </c>
      <c r="K114" s="580">
        <f t="shared" si="11"/>
        <v>-243572.86342496739</v>
      </c>
      <c r="L114" s="580">
        <f t="shared" si="11"/>
        <v>-202977.38618747282</v>
      </c>
      <c r="M114" s="580">
        <f t="shared" si="11"/>
        <v>-169147.82182289401</v>
      </c>
      <c r="N114" s="580">
        <f t="shared" si="11"/>
        <v>-140956.51818574502</v>
      </c>
      <c r="O114" s="580">
        <f t="shared" si="11"/>
        <v>-117463.76515478751</v>
      </c>
      <c r="P114" s="580">
        <f t="shared" si="11"/>
        <v>-97886.470962322943</v>
      </c>
      <c r="Q114" s="580">
        <f t="shared" si="11"/>
        <v>-81572.059135269112</v>
      </c>
      <c r="R114" s="716">
        <f t="shared" si="11"/>
        <v>-67976.715946057593</v>
      </c>
      <c r="S114" s="580">
        <f t="shared" si="11"/>
        <v>-56647.263288381328</v>
      </c>
      <c r="T114" s="580">
        <f t="shared" si="11"/>
        <v>-47206.052740317784</v>
      </c>
      <c r="U114" s="580">
        <f t="shared" si="11"/>
        <v>-39338.377283598151</v>
      </c>
      <c r="V114" s="580">
        <f t="shared" si="11"/>
        <v>-32781.981069665126</v>
      </c>
      <c r="W114" s="580">
        <f t="shared" si="11"/>
        <v>-27318.31755805427</v>
      </c>
      <c r="X114" s="580">
        <f t="shared" si="11"/>
        <v>-22765.264631711892</v>
      </c>
      <c r="Y114" s="580">
        <f t="shared" si="11"/>
        <v>-18971.053859759912</v>
      </c>
      <c r="Z114" s="580">
        <f t="shared" si="11"/>
        <v>-15809.211549799928</v>
      </c>
      <c r="AA114" s="580">
        <f t="shared" si="11"/>
        <v>-13174.342958166606</v>
      </c>
      <c r="AB114" s="580">
        <f t="shared" si="11"/>
        <v>-10978.619131805506</v>
      </c>
      <c r="AC114" s="580">
        <f t="shared" si="11"/>
        <v>-9148.8492765045867</v>
      </c>
      <c r="AD114" s="580">
        <f t="shared" si="11"/>
        <v>0</v>
      </c>
      <c r="AE114" s="580">
        <f t="shared" si="11"/>
        <v>0</v>
      </c>
      <c r="AF114" s="580">
        <f t="shared" si="11"/>
        <v>0</v>
      </c>
      <c r="AG114" s="580">
        <f t="shared" si="11"/>
        <v>0</v>
      </c>
      <c r="AH114" s="580">
        <f t="shared" si="11"/>
        <v>0</v>
      </c>
      <c r="AI114" s="580">
        <f t="shared" si="11"/>
        <v>0</v>
      </c>
      <c r="AJ114" s="580">
        <f t="shared" si="11"/>
        <v>0</v>
      </c>
      <c r="AK114" s="580">
        <f t="shared" si="11"/>
        <v>0</v>
      </c>
      <c r="AL114" s="580">
        <f t="shared" si="11"/>
        <v>0</v>
      </c>
      <c r="AM114" s="581">
        <f t="shared" si="11"/>
        <v>0</v>
      </c>
    </row>
    <row r="115" spans="1:39" s="497" customFormat="1" ht="12.95">
      <c r="B115" s="577" t="s">
        <v>444</v>
      </c>
      <c r="C115" s="607" t="s">
        <v>439</v>
      </c>
      <c r="D115" s="579">
        <f t="shared" ref="D115:AM115" si="12">(D130)/(1+$D41)^D76</f>
        <v>-365926.73527440906</v>
      </c>
      <c r="E115" s="580">
        <f t="shared" si="12"/>
        <v>-304938.94606200757</v>
      </c>
      <c r="F115" s="580">
        <f t="shared" si="12"/>
        <v>-254115.78838500631</v>
      </c>
      <c r="G115" s="580">
        <f t="shared" si="12"/>
        <v>-211763.15698750524</v>
      </c>
      <c r="H115" s="580">
        <f t="shared" si="12"/>
        <v>-176469.29748958771</v>
      </c>
      <c r="I115" s="580">
        <f t="shared" si="12"/>
        <v>-147057.74790798975</v>
      </c>
      <c r="J115" s="580">
        <f t="shared" si="12"/>
        <v>-122548.12325665813</v>
      </c>
      <c r="K115" s="580">
        <f t="shared" si="12"/>
        <v>-102123.43604721512</v>
      </c>
      <c r="L115" s="580">
        <f t="shared" si="12"/>
        <v>-85102.863372679261</v>
      </c>
      <c r="M115" s="580">
        <f t="shared" si="12"/>
        <v>-70919.052810566049</v>
      </c>
      <c r="N115" s="580">
        <f t="shared" si="12"/>
        <v>-59099.21067547171</v>
      </c>
      <c r="O115" s="580">
        <f t="shared" si="12"/>
        <v>-49249.342229559763</v>
      </c>
      <c r="P115" s="580">
        <f t="shared" si="12"/>
        <v>-41041.118524633137</v>
      </c>
      <c r="Q115" s="580">
        <f t="shared" si="12"/>
        <v>-34200.932103860949</v>
      </c>
      <c r="R115" s="716">
        <f t="shared" si="12"/>
        <v>-28500.776753217458</v>
      </c>
      <c r="S115" s="580">
        <f t="shared" si="12"/>
        <v>-23750.64729434788</v>
      </c>
      <c r="T115" s="580">
        <f t="shared" si="12"/>
        <v>-19792.206078623236</v>
      </c>
      <c r="U115" s="580">
        <f t="shared" si="12"/>
        <v>-16493.505065519363</v>
      </c>
      <c r="V115" s="580">
        <f t="shared" si="12"/>
        <v>-13744.58755459947</v>
      </c>
      <c r="W115" s="580">
        <f t="shared" si="12"/>
        <v>-11453.822962166225</v>
      </c>
      <c r="X115" s="580">
        <f t="shared" si="12"/>
        <v>-9544.8524684718541</v>
      </c>
      <c r="Y115" s="580">
        <f t="shared" si="12"/>
        <v>-7954.0437237265451</v>
      </c>
      <c r="Z115" s="580">
        <f t="shared" si="12"/>
        <v>-6628.3697697721218</v>
      </c>
      <c r="AA115" s="580">
        <f t="shared" si="12"/>
        <v>-5523.6414748101015</v>
      </c>
      <c r="AB115" s="580">
        <f t="shared" si="12"/>
        <v>-4603.0345623417516</v>
      </c>
      <c r="AC115" s="580">
        <f t="shared" si="12"/>
        <v>-95.896553382119791</v>
      </c>
      <c r="AD115" s="580">
        <f t="shared" si="12"/>
        <v>0</v>
      </c>
      <c r="AE115" s="580">
        <f t="shared" si="12"/>
        <v>0</v>
      </c>
      <c r="AF115" s="580">
        <f t="shared" si="12"/>
        <v>0</v>
      </c>
      <c r="AG115" s="580">
        <f t="shared" si="12"/>
        <v>0</v>
      </c>
      <c r="AH115" s="580">
        <f t="shared" si="12"/>
        <v>0</v>
      </c>
      <c r="AI115" s="580">
        <f t="shared" si="12"/>
        <v>0</v>
      </c>
      <c r="AJ115" s="580">
        <f t="shared" si="12"/>
        <v>0</v>
      </c>
      <c r="AK115" s="580">
        <f t="shared" si="12"/>
        <v>0</v>
      </c>
      <c r="AL115" s="580">
        <f t="shared" si="12"/>
        <v>0</v>
      </c>
      <c r="AM115" s="581">
        <f t="shared" si="12"/>
        <v>0</v>
      </c>
    </row>
    <row r="116" spans="1:39" s="497" customFormat="1" ht="12.95">
      <c r="B116" s="498"/>
      <c r="C116" s="499"/>
      <c r="D116" s="500"/>
      <c r="E116" s="500"/>
      <c r="F116" s="500"/>
      <c r="G116" s="500"/>
      <c r="H116" s="500"/>
      <c r="I116" s="500"/>
      <c r="J116" s="500"/>
      <c r="K116" s="500"/>
      <c r="L116" s="500"/>
      <c r="M116" s="500"/>
      <c r="N116" s="500"/>
      <c r="O116" s="500"/>
      <c r="P116" s="500"/>
      <c r="Q116" s="500"/>
      <c r="R116" s="500"/>
      <c r="S116" s="500"/>
      <c r="T116" s="500"/>
      <c r="U116" s="500"/>
      <c r="V116" s="500"/>
      <c r="W116" s="500"/>
      <c r="X116" s="500"/>
      <c r="Y116" s="500"/>
      <c r="Z116" s="500"/>
      <c r="AA116" s="500"/>
      <c r="AB116" s="500"/>
      <c r="AC116" s="500"/>
      <c r="AD116" s="500"/>
      <c r="AE116" s="500"/>
      <c r="AF116" s="500"/>
      <c r="AG116" s="500"/>
      <c r="AH116" s="500"/>
      <c r="AI116" s="500"/>
      <c r="AJ116" s="500"/>
      <c r="AK116" s="500"/>
      <c r="AL116" s="500"/>
      <c r="AM116" s="500"/>
    </row>
    <row r="117" spans="1:39">
      <c r="R117" s="474"/>
    </row>
    <row r="118" spans="1:39" ht="12.95">
      <c r="B118" s="565" t="s">
        <v>445</v>
      </c>
      <c r="C118" s="592" t="s">
        <v>364</v>
      </c>
      <c r="R118" s="474"/>
    </row>
    <row r="119" spans="1:39">
      <c r="B119" s="561" t="str">
        <f>'SolarPV Financial Analysis'!B117</f>
        <v>Annual emissions Avoided (tCO2eq)</v>
      </c>
      <c r="C119" s="594" t="s">
        <v>446</v>
      </c>
      <c r="D119" s="724">
        <f>D78*(0-$D$23)/$C$30</f>
        <v>-11804.088234658357</v>
      </c>
      <c r="E119" s="613">
        <f>'EthBiogas Electricity Fin '!$D$119</f>
        <v>-11804.088234658357</v>
      </c>
      <c r="F119" s="613">
        <f>'EthBiogas Electricity Fin '!$D$119</f>
        <v>-11804.088234658357</v>
      </c>
      <c r="G119" s="613">
        <f>'EthBiogas Electricity Fin '!$D$119</f>
        <v>-11804.088234658357</v>
      </c>
      <c r="H119" s="613">
        <f>'EthBiogas Electricity Fin '!$D$119</f>
        <v>-11804.088234658357</v>
      </c>
      <c r="I119" s="613">
        <f>'EthBiogas Electricity Fin '!$D$119</f>
        <v>-11804.088234658357</v>
      </c>
      <c r="J119" s="613">
        <f>'EthBiogas Electricity Fin '!$D$119</f>
        <v>-11804.088234658357</v>
      </c>
      <c r="K119" s="613">
        <f>'EthBiogas Electricity Fin '!$D$119</f>
        <v>-11804.088234658357</v>
      </c>
      <c r="L119" s="613">
        <f>'EthBiogas Electricity Fin '!$D$119</f>
        <v>-11804.088234658357</v>
      </c>
      <c r="M119" s="613">
        <f>'EthBiogas Electricity Fin '!$D$119</f>
        <v>-11804.088234658357</v>
      </c>
      <c r="N119" s="613">
        <f>'EthBiogas Electricity Fin '!$D$119</f>
        <v>-11804.088234658357</v>
      </c>
      <c r="O119" s="613">
        <f>'EthBiogas Electricity Fin '!$D$119</f>
        <v>-11804.088234658357</v>
      </c>
      <c r="P119" s="613">
        <f>'EthBiogas Electricity Fin '!$D$119</f>
        <v>-11804.088234658357</v>
      </c>
      <c r="Q119" s="613">
        <f>'EthBiogas Electricity Fin '!$D$119</f>
        <v>-11804.088234658357</v>
      </c>
      <c r="R119" s="718">
        <f>'EthBiogas Electricity Fin '!$D$119</f>
        <v>-11804.088234658357</v>
      </c>
      <c r="S119" s="613">
        <f>'EthBiogas Electricity Fin '!$D$119</f>
        <v>-11804.088234658357</v>
      </c>
      <c r="T119" s="613">
        <f>'EthBiogas Electricity Fin '!$D$119</f>
        <v>-11804.088234658357</v>
      </c>
      <c r="U119" s="613">
        <f>'EthBiogas Electricity Fin '!$D$119</f>
        <v>-11804.088234658357</v>
      </c>
      <c r="V119" s="613">
        <f>'EthBiogas Electricity Fin '!$D$119</f>
        <v>-11804.088234658357</v>
      </c>
      <c r="W119" s="613">
        <f>'EthBiogas Electricity Fin '!$D$119</f>
        <v>-11804.088234658357</v>
      </c>
      <c r="X119" s="613">
        <f>'EthBiogas Electricity Fin '!$D$119</f>
        <v>-11804.088234658357</v>
      </c>
      <c r="Y119" s="613">
        <f>'EthBiogas Electricity Fin '!$D$119</f>
        <v>-11804.088234658357</v>
      </c>
      <c r="Z119" s="613">
        <f>'EthBiogas Electricity Fin '!$D$119</f>
        <v>-11804.088234658357</v>
      </c>
      <c r="AA119" s="613">
        <f>'EthBiogas Electricity Fin '!$D$119</f>
        <v>-11804.088234658357</v>
      </c>
      <c r="AB119" s="613">
        <f>'EthBiogas Electricity Fin '!$D$119</f>
        <v>-11804.088234658357</v>
      </c>
      <c r="AC119" s="613">
        <f t="shared" ref="AC119:AM119" si="13">AC78*(0-$D$21)/$C$30</f>
        <v>-295.10220586645886</v>
      </c>
      <c r="AD119" s="613">
        <f t="shared" si="13"/>
        <v>0</v>
      </c>
      <c r="AE119" s="613">
        <f t="shared" si="13"/>
        <v>0</v>
      </c>
      <c r="AF119" s="613">
        <f t="shared" si="13"/>
        <v>0</v>
      </c>
      <c r="AG119" s="613">
        <f t="shared" si="13"/>
        <v>0</v>
      </c>
      <c r="AH119" s="613">
        <f t="shared" si="13"/>
        <v>0</v>
      </c>
      <c r="AI119" s="613">
        <f t="shared" si="13"/>
        <v>0</v>
      </c>
      <c r="AJ119" s="613">
        <f t="shared" si="13"/>
        <v>0</v>
      </c>
      <c r="AK119" s="613">
        <f t="shared" si="13"/>
        <v>0</v>
      </c>
      <c r="AL119" s="613">
        <f t="shared" si="13"/>
        <v>0</v>
      </c>
      <c r="AM119" s="614">
        <f t="shared" si="13"/>
        <v>0</v>
      </c>
    </row>
    <row r="120" spans="1:39">
      <c r="B120" s="561" t="str">
        <f>'SolarPV Financial Analysis'!B118</f>
        <v xml:space="preserve">Cumulative Avoided Emissions </v>
      </c>
      <c r="C120" s="545" t="s">
        <v>373</v>
      </c>
      <c r="D120" s="615">
        <f>SUM(D119:AB119)</f>
        <v>-295102.20586645888</v>
      </c>
      <c r="R120" s="474"/>
    </row>
    <row r="121" spans="1:39">
      <c r="D121" s="501"/>
    </row>
    <row r="122" spans="1:39">
      <c r="D122" s="501"/>
    </row>
    <row r="123" spans="1:39" ht="12.95">
      <c r="B123" s="616" t="s">
        <v>447</v>
      </c>
      <c r="C123" s="592" t="s">
        <v>364</v>
      </c>
      <c r="D123" s="501"/>
    </row>
    <row r="124" spans="1:39">
      <c r="B124" s="577" t="s">
        <v>448</v>
      </c>
      <c r="C124" s="578" t="s">
        <v>417</v>
      </c>
      <c r="D124" s="617">
        <f t="shared" ref="D124:AM124" si="14">D78*($D$16-$D$60)</f>
        <v>-872765.60762536526</v>
      </c>
      <c r="E124" s="618">
        <f t="shared" si="14"/>
        <v>-872765.60762536526</v>
      </c>
      <c r="F124" s="618">
        <f t="shared" si="14"/>
        <v>-872765.60762536526</v>
      </c>
      <c r="G124" s="618">
        <f t="shared" si="14"/>
        <v>-872765.60762536526</v>
      </c>
      <c r="H124" s="618">
        <f t="shared" si="14"/>
        <v>-872765.60762536526</v>
      </c>
      <c r="I124" s="618">
        <f t="shared" si="14"/>
        <v>-872765.60762536526</v>
      </c>
      <c r="J124" s="618">
        <f t="shared" si="14"/>
        <v>-872765.60762536526</v>
      </c>
      <c r="K124" s="618">
        <f t="shared" si="14"/>
        <v>-872765.60762536526</v>
      </c>
      <c r="L124" s="618">
        <f t="shared" si="14"/>
        <v>-872765.60762536526</v>
      </c>
      <c r="M124" s="618">
        <f t="shared" si="14"/>
        <v>-872765.60762536526</v>
      </c>
      <c r="N124" s="618">
        <f t="shared" si="14"/>
        <v>-872765.60762536526</v>
      </c>
      <c r="O124" s="618">
        <f t="shared" si="14"/>
        <v>-872765.60762536526</v>
      </c>
      <c r="P124" s="618">
        <f t="shared" si="14"/>
        <v>-872765.60762536526</v>
      </c>
      <c r="Q124" s="618">
        <f t="shared" si="14"/>
        <v>-872765.60762536526</v>
      </c>
      <c r="R124" s="722">
        <f t="shared" si="14"/>
        <v>-872765.60762536526</v>
      </c>
      <c r="S124" s="618">
        <f t="shared" si="14"/>
        <v>-872765.60762536526</v>
      </c>
      <c r="T124" s="618">
        <f t="shared" si="14"/>
        <v>-872765.60762536526</v>
      </c>
      <c r="U124" s="618">
        <f t="shared" si="14"/>
        <v>-872765.60762536526</v>
      </c>
      <c r="V124" s="618">
        <f t="shared" si="14"/>
        <v>-872765.60762536526</v>
      </c>
      <c r="W124" s="618">
        <f t="shared" si="14"/>
        <v>-872765.60762536526</v>
      </c>
      <c r="X124" s="618">
        <f t="shared" si="14"/>
        <v>-872765.60762536526</v>
      </c>
      <c r="Y124" s="618">
        <f t="shared" si="14"/>
        <v>-872765.60762536526</v>
      </c>
      <c r="Z124" s="618">
        <f t="shared" si="14"/>
        <v>-872765.60762536526</v>
      </c>
      <c r="AA124" s="618">
        <f t="shared" si="14"/>
        <v>-872765.60762536526</v>
      </c>
      <c r="AB124" s="618">
        <f t="shared" si="14"/>
        <v>-872765.60762536526</v>
      </c>
      <c r="AC124" s="618">
        <f t="shared" si="14"/>
        <v>-872765.60762536526</v>
      </c>
      <c r="AD124" s="618">
        <f t="shared" si="14"/>
        <v>0</v>
      </c>
      <c r="AE124" s="618">
        <f t="shared" si="14"/>
        <v>0</v>
      </c>
      <c r="AF124" s="618">
        <f t="shared" si="14"/>
        <v>0</v>
      </c>
      <c r="AG124" s="618">
        <f t="shared" si="14"/>
        <v>0</v>
      </c>
      <c r="AH124" s="618">
        <f t="shared" si="14"/>
        <v>0</v>
      </c>
      <c r="AI124" s="618">
        <f t="shared" si="14"/>
        <v>0</v>
      </c>
      <c r="AJ124" s="618">
        <f t="shared" si="14"/>
        <v>0</v>
      </c>
      <c r="AK124" s="618">
        <f t="shared" si="14"/>
        <v>0</v>
      </c>
      <c r="AL124" s="618">
        <f t="shared" si="14"/>
        <v>0</v>
      </c>
      <c r="AM124" s="619">
        <f t="shared" si="14"/>
        <v>0</v>
      </c>
    </row>
    <row r="125" spans="1:39" s="487" customFormat="1" ht="12.95">
      <c r="A125" s="474"/>
      <c r="B125" s="620" t="s">
        <v>449</v>
      </c>
      <c r="C125" s="592" t="s">
        <v>331</v>
      </c>
      <c r="D125" s="621">
        <f>SUM(D124:AM124)</f>
        <v>-22691905.798259497</v>
      </c>
      <c r="E125" s="352"/>
      <c r="F125" s="352"/>
      <c r="G125" s="352"/>
      <c r="H125" s="352"/>
      <c r="I125" s="352"/>
      <c r="J125" s="352"/>
      <c r="K125" s="352"/>
      <c r="L125" s="352"/>
      <c r="M125" s="352"/>
      <c r="N125" s="352"/>
      <c r="O125" s="352"/>
      <c r="P125" s="352"/>
      <c r="Q125" s="352"/>
      <c r="R125" s="723"/>
      <c r="S125" s="352"/>
      <c r="T125" s="352"/>
      <c r="U125" s="352"/>
      <c r="V125" s="352"/>
      <c r="W125" s="352"/>
      <c r="X125" s="352"/>
      <c r="Y125" s="352"/>
      <c r="Z125" s="352"/>
      <c r="AA125" s="352"/>
      <c r="AB125" s="352"/>
      <c r="AC125" s="352"/>
      <c r="AD125" s="352"/>
      <c r="AE125" s="352"/>
      <c r="AF125" s="352"/>
      <c r="AG125" s="352"/>
      <c r="AH125" s="352"/>
      <c r="AI125" s="352"/>
      <c r="AJ125" s="352"/>
      <c r="AK125" s="352"/>
      <c r="AL125" s="352"/>
      <c r="AM125" s="352"/>
    </row>
    <row r="126" spans="1:39" s="487" customFormat="1">
      <c r="A126" s="474"/>
      <c r="B126" s="501"/>
      <c r="C126" s="501"/>
      <c r="D126" s="501"/>
      <c r="E126" s="352"/>
      <c r="F126" s="352"/>
      <c r="G126" s="352"/>
      <c r="H126" s="352"/>
      <c r="I126" s="352"/>
      <c r="J126" s="352"/>
      <c r="K126" s="352"/>
      <c r="L126" s="352"/>
      <c r="M126" s="352"/>
      <c r="N126" s="352"/>
      <c r="O126" s="352"/>
      <c r="P126" s="352"/>
      <c r="Q126" s="352"/>
      <c r="R126" s="723"/>
      <c r="S126" s="352"/>
      <c r="T126" s="352"/>
      <c r="U126" s="352"/>
      <c r="V126" s="352"/>
      <c r="W126" s="352"/>
      <c r="X126" s="352"/>
      <c r="Y126" s="352"/>
      <c r="Z126" s="352"/>
      <c r="AA126" s="352"/>
      <c r="AB126" s="352"/>
      <c r="AC126" s="352"/>
      <c r="AD126" s="352"/>
      <c r="AE126" s="352"/>
      <c r="AF126" s="352"/>
      <c r="AG126" s="352"/>
      <c r="AH126" s="352"/>
      <c r="AI126" s="352"/>
      <c r="AJ126" s="352"/>
      <c r="AK126" s="352"/>
      <c r="AL126" s="352"/>
      <c r="AM126" s="352"/>
    </row>
    <row r="127" spans="1:39" ht="12.95">
      <c r="B127" s="616" t="s">
        <v>450</v>
      </c>
      <c r="C127" s="501"/>
      <c r="D127" s="501"/>
      <c r="R127" s="474"/>
    </row>
    <row r="128" spans="1:39" s="487" customFormat="1" ht="12.95">
      <c r="A128" s="474"/>
      <c r="B128" s="622" t="s">
        <v>451</v>
      </c>
      <c r="C128" s="592" t="s">
        <v>364</v>
      </c>
      <c r="D128" s="501"/>
      <c r="E128" s="352"/>
      <c r="F128" s="352"/>
      <c r="G128" s="352"/>
      <c r="H128" s="352"/>
      <c r="I128" s="352"/>
      <c r="J128" s="352"/>
      <c r="K128" s="352"/>
      <c r="L128" s="352"/>
      <c r="M128" s="352"/>
      <c r="N128" s="352"/>
      <c r="O128" s="352"/>
      <c r="P128" s="352"/>
      <c r="Q128" s="352"/>
      <c r="R128" s="723"/>
      <c r="S128" s="352"/>
      <c r="T128" s="352"/>
      <c r="U128" s="352"/>
      <c r="V128" s="352"/>
      <c r="W128" s="352"/>
      <c r="X128" s="352"/>
      <c r="Y128" s="352"/>
      <c r="Z128" s="352"/>
      <c r="AA128" s="352"/>
      <c r="AB128" s="352"/>
      <c r="AC128" s="352"/>
      <c r="AD128" s="352"/>
      <c r="AE128" s="352"/>
      <c r="AF128" s="352"/>
      <c r="AG128" s="352"/>
      <c r="AH128" s="352"/>
      <c r="AI128" s="352"/>
      <c r="AJ128" s="352"/>
      <c r="AK128" s="352"/>
      <c r="AL128" s="352"/>
      <c r="AM128" s="352"/>
    </row>
    <row r="129" spans="2:39">
      <c r="B129" s="623" t="s">
        <v>452</v>
      </c>
      <c r="C129" s="624" t="s">
        <v>453</v>
      </c>
      <c r="D129" s="625">
        <v>31</v>
      </c>
      <c r="R129" s="474"/>
    </row>
    <row r="130" spans="2:39">
      <c r="B130" s="568" t="s">
        <v>79</v>
      </c>
      <c r="C130" s="574" t="s">
        <v>417</v>
      </c>
      <c r="D130" s="617">
        <f t="shared" ref="D130:AM130" si="15">$D$129*D119</f>
        <v>-365926.73527440906</v>
      </c>
      <c r="E130" s="618">
        <f t="shared" si="15"/>
        <v>-365926.73527440906</v>
      </c>
      <c r="F130" s="618">
        <f t="shared" si="15"/>
        <v>-365926.73527440906</v>
      </c>
      <c r="G130" s="618">
        <f t="shared" si="15"/>
        <v>-365926.73527440906</v>
      </c>
      <c r="H130" s="618">
        <f t="shared" si="15"/>
        <v>-365926.73527440906</v>
      </c>
      <c r="I130" s="618">
        <f t="shared" si="15"/>
        <v>-365926.73527440906</v>
      </c>
      <c r="J130" s="618">
        <f t="shared" si="15"/>
        <v>-365926.73527440906</v>
      </c>
      <c r="K130" s="618">
        <f t="shared" si="15"/>
        <v>-365926.73527440906</v>
      </c>
      <c r="L130" s="618">
        <f t="shared" si="15"/>
        <v>-365926.73527440906</v>
      </c>
      <c r="M130" s="618">
        <f t="shared" si="15"/>
        <v>-365926.73527440906</v>
      </c>
      <c r="N130" s="618">
        <f t="shared" si="15"/>
        <v>-365926.73527440906</v>
      </c>
      <c r="O130" s="618">
        <f t="shared" si="15"/>
        <v>-365926.73527440906</v>
      </c>
      <c r="P130" s="618">
        <f t="shared" si="15"/>
        <v>-365926.73527440906</v>
      </c>
      <c r="Q130" s="618">
        <f t="shared" si="15"/>
        <v>-365926.73527440906</v>
      </c>
      <c r="R130" s="722">
        <f t="shared" si="15"/>
        <v>-365926.73527440906</v>
      </c>
      <c r="S130" s="618">
        <f t="shared" si="15"/>
        <v>-365926.73527440906</v>
      </c>
      <c r="T130" s="618">
        <f t="shared" si="15"/>
        <v>-365926.73527440906</v>
      </c>
      <c r="U130" s="618">
        <f t="shared" si="15"/>
        <v>-365926.73527440906</v>
      </c>
      <c r="V130" s="618">
        <f t="shared" si="15"/>
        <v>-365926.73527440906</v>
      </c>
      <c r="W130" s="618">
        <f t="shared" si="15"/>
        <v>-365926.73527440906</v>
      </c>
      <c r="X130" s="618">
        <f t="shared" si="15"/>
        <v>-365926.73527440906</v>
      </c>
      <c r="Y130" s="618">
        <f t="shared" si="15"/>
        <v>-365926.73527440906</v>
      </c>
      <c r="Z130" s="618">
        <f t="shared" si="15"/>
        <v>-365926.73527440906</v>
      </c>
      <c r="AA130" s="618">
        <f t="shared" si="15"/>
        <v>-365926.73527440906</v>
      </c>
      <c r="AB130" s="618">
        <f t="shared" si="15"/>
        <v>-365926.73527440906</v>
      </c>
      <c r="AC130" s="618">
        <f t="shared" si="15"/>
        <v>-9148.1683818602251</v>
      </c>
      <c r="AD130" s="618">
        <f t="shared" si="15"/>
        <v>0</v>
      </c>
      <c r="AE130" s="618">
        <f t="shared" si="15"/>
        <v>0</v>
      </c>
      <c r="AF130" s="618">
        <f t="shared" si="15"/>
        <v>0</v>
      </c>
      <c r="AG130" s="618">
        <f t="shared" si="15"/>
        <v>0</v>
      </c>
      <c r="AH130" s="618">
        <f t="shared" si="15"/>
        <v>0</v>
      </c>
      <c r="AI130" s="618">
        <f t="shared" si="15"/>
        <v>0</v>
      </c>
      <c r="AJ130" s="618">
        <f t="shared" si="15"/>
        <v>0</v>
      </c>
      <c r="AK130" s="618">
        <f t="shared" si="15"/>
        <v>0</v>
      </c>
      <c r="AL130" s="618">
        <f t="shared" si="15"/>
        <v>0</v>
      </c>
      <c r="AM130" s="619">
        <f t="shared" si="15"/>
        <v>0</v>
      </c>
    </row>
    <row r="131" spans="2:39" ht="12.95">
      <c r="B131" s="620" t="s">
        <v>454</v>
      </c>
      <c r="C131" s="592" t="s">
        <v>331</v>
      </c>
      <c r="D131" s="590">
        <f>SUM(D130:AM130)</f>
        <v>-9157316.5502420869</v>
      </c>
      <c r="R131" s="474"/>
    </row>
    <row r="132" spans="2:39">
      <c r="B132" s="568" t="s">
        <v>455</v>
      </c>
      <c r="C132" s="574" t="s">
        <v>417</v>
      </c>
      <c r="D132" s="617">
        <f t="shared" ref="D132:AM132" si="16">(0-$D$21)*D78*$D$129/$C$30</f>
        <v>-9148.1683818602251</v>
      </c>
      <c r="E132" s="618">
        <f t="shared" si="16"/>
        <v>-9148.1683818602251</v>
      </c>
      <c r="F132" s="618">
        <f t="shared" si="16"/>
        <v>-9148.1683818602251</v>
      </c>
      <c r="G132" s="618">
        <f t="shared" si="16"/>
        <v>-9148.1683818602251</v>
      </c>
      <c r="H132" s="618">
        <f t="shared" si="16"/>
        <v>-9148.1683818602251</v>
      </c>
      <c r="I132" s="618">
        <f t="shared" si="16"/>
        <v>-9148.1683818602251</v>
      </c>
      <c r="J132" s="618">
        <f t="shared" si="16"/>
        <v>-9148.1683818602251</v>
      </c>
      <c r="K132" s="618">
        <f t="shared" si="16"/>
        <v>-9148.1683818602251</v>
      </c>
      <c r="L132" s="618">
        <f t="shared" si="16"/>
        <v>-9148.1683818602251</v>
      </c>
      <c r="M132" s="618">
        <f t="shared" si="16"/>
        <v>-9148.1683818602251</v>
      </c>
      <c r="N132" s="618">
        <f t="shared" si="16"/>
        <v>-9148.1683818602251</v>
      </c>
      <c r="O132" s="618">
        <f t="shared" si="16"/>
        <v>-9148.1683818602251</v>
      </c>
      <c r="P132" s="618">
        <f t="shared" si="16"/>
        <v>-9148.1683818602251</v>
      </c>
      <c r="Q132" s="618">
        <f t="shared" si="16"/>
        <v>-9148.1683818602251</v>
      </c>
      <c r="R132" s="722">
        <f t="shared" si="16"/>
        <v>-9148.1683818602251</v>
      </c>
      <c r="S132" s="618">
        <f t="shared" si="16"/>
        <v>-9148.1683818602251</v>
      </c>
      <c r="T132" s="618">
        <f t="shared" si="16"/>
        <v>-9148.1683818602251</v>
      </c>
      <c r="U132" s="618">
        <f t="shared" si="16"/>
        <v>-9148.1683818602251</v>
      </c>
      <c r="V132" s="618">
        <f t="shared" si="16"/>
        <v>-9148.1683818602251</v>
      </c>
      <c r="W132" s="618">
        <f t="shared" si="16"/>
        <v>-9148.1683818602251</v>
      </c>
      <c r="X132" s="618">
        <f t="shared" si="16"/>
        <v>-9148.1683818602251</v>
      </c>
      <c r="Y132" s="618">
        <f t="shared" si="16"/>
        <v>-9148.1683818602251</v>
      </c>
      <c r="Z132" s="618">
        <f t="shared" si="16"/>
        <v>-9148.1683818602251</v>
      </c>
      <c r="AA132" s="618">
        <f t="shared" si="16"/>
        <v>-9148.1683818602251</v>
      </c>
      <c r="AB132" s="618">
        <f t="shared" si="16"/>
        <v>-9148.1683818602251</v>
      </c>
      <c r="AC132" s="618">
        <f t="shared" si="16"/>
        <v>-9148.1683818602251</v>
      </c>
      <c r="AD132" s="618">
        <f t="shared" si="16"/>
        <v>0</v>
      </c>
      <c r="AE132" s="618">
        <f t="shared" si="16"/>
        <v>0</v>
      </c>
      <c r="AF132" s="618">
        <f t="shared" si="16"/>
        <v>0</v>
      </c>
      <c r="AG132" s="618">
        <f t="shared" si="16"/>
        <v>0</v>
      </c>
      <c r="AH132" s="618">
        <f t="shared" si="16"/>
        <v>0</v>
      </c>
      <c r="AI132" s="618">
        <f t="shared" si="16"/>
        <v>0</v>
      </c>
      <c r="AJ132" s="618">
        <f t="shared" si="16"/>
        <v>0</v>
      </c>
      <c r="AK132" s="618">
        <f t="shared" si="16"/>
        <v>0</v>
      </c>
      <c r="AL132" s="618">
        <f t="shared" si="16"/>
        <v>0</v>
      </c>
      <c r="AM132" s="619">
        <f t="shared" si="16"/>
        <v>0</v>
      </c>
    </row>
    <row r="133" spans="2:39" ht="12.95">
      <c r="B133" s="620" t="s">
        <v>456</v>
      </c>
      <c r="C133" s="592" t="s">
        <v>331</v>
      </c>
      <c r="D133" s="590">
        <f>SUM(D132:AM132)</f>
        <v>-237852.37792836572</v>
      </c>
      <c r="R133" s="474"/>
    </row>
    <row r="134" spans="2:39">
      <c r="R134" s="474"/>
    </row>
    <row r="135" spans="2:39" ht="12.95">
      <c r="B135" s="626" t="s">
        <v>457</v>
      </c>
      <c r="C135" s="566" t="s">
        <v>364</v>
      </c>
      <c r="R135" s="474"/>
    </row>
    <row r="136" spans="2:39">
      <c r="B136" s="568" t="str">
        <f>B124</f>
        <v>Avoided electricity cost (grid)</v>
      </c>
      <c r="C136" s="627" t="s">
        <v>417</v>
      </c>
      <c r="D136" s="571">
        <f t="shared" ref="D136:AM136" si="17">D124</f>
        <v>-872765.60762536526</v>
      </c>
      <c r="E136" s="571">
        <f t="shared" si="17"/>
        <v>-872765.60762536526</v>
      </c>
      <c r="F136" s="571">
        <f t="shared" si="17"/>
        <v>-872765.60762536526</v>
      </c>
      <c r="G136" s="571">
        <f t="shared" si="17"/>
        <v>-872765.60762536526</v>
      </c>
      <c r="H136" s="571">
        <f t="shared" si="17"/>
        <v>-872765.60762536526</v>
      </c>
      <c r="I136" s="571">
        <f t="shared" si="17"/>
        <v>-872765.60762536526</v>
      </c>
      <c r="J136" s="571">
        <f t="shared" si="17"/>
        <v>-872765.60762536526</v>
      </c>
      <c r="K136" s="571">
        <f t="shared" si="17"/>
        <v>-872765.60762536526</v>
      </c>
      <c r="L136" s="571">
        <f t="shared" si="17"/>
        <v>-872765.60762536526</v>
      </c>
      <c r="M136" s="571">
        <f t="shared" si="17"/>
        <v>-872765.60762536526</v>
      </c>
      <c r="N136" s="571">
        <f t="shared" si="17"/>
        <v>-872765.60762536526</v>
      </c>
      <c r="O136" s="571">
        <f t="shared" si="17"/>
        <v>-872765.60762536526</v>
      </c>
      <c r="P136" s="571">
        <f t="shared" si="17"/>
        <v>-872765.60762536526</v>
      </c>
      <c r="Q136" s="571">
        <f t="shared" si="17"/>
        <v>-872765.60762536526</v>
      </c>
      <c r="R136" s="715">
        <f t="shared" si="17"/>
        <v>-872765.60762536526</v>
      </c>
      <c r="S136" s="571">
        <f t="shared" si="17"/>
        <v>-872765.60762536526</v>
      </c>
      <c r="T136" s="571">
        <f t="shared" si="17"/>
        <v>-872765.60762536526</v>
      </c>
      <c r="U136" s="571">
        <f t="shared" si="17"/>
        <v>-872765.60762536526</v>
      </c>
      <c r="V136" s="571">
        <f t="shared" si="17"/>
        <v>-872765.60762536526</v>
      </c>
      <c r="W136" s="571">
        <f t="shared" si="17"/>
        <v>-872765.60762536526</v>
      </c>
      <c r="X136" s="571">
        <f t="shared" si="17"/>
        <v>-872765.60762536526</v>
      </c>
      <c r="Y136" s="571">
        <f t="shared" si="17"/>
        <v>-872765.60762536526</v>
      </c>
      <c r="Z136" s="571">
        <f t="shared" si="17"/>
        <v>-872765.60762536526</v>
      </c>
      <c r="AA136" s="571">
        <f t="shared" si="17"/>
        <v>-872765.60762536526</v>
      </c>
      <c r="AB136" s="571">
        <f t="shared" si="17"/>
        <v>-872765.60762536526</v>
      </c>
      <c r="AC136" s="571">
        <f t="shared" si="17"/>
        <v>-872765.60762536526</v>
      </c>
      <c r="AD136" s="571">
        <f t="shared" si="17"/>
        <v>0</v>
      </c>
      <c r="AE136" s="571">
        <f t="shared" si="17"/>
        <v>0</v>
      </c>
      <c r="AF136" s="571">
        <f t="shared" si="17"/>
        <v>0</v>
      </c>
      <c r="AG136" s="571">
        <f t="shared" si="17"/>
        <v>0</v>
      </c>
      <c r="AH136" s="571">
        <f t="shared" si="17"/>
        <v>0</v>
      </c>
      <c r="AI136" s="571">
        <f t="shared" si="17"/>
        <v>0</v>
      </c>
      <c r="AJ136" s="571">
        <f t="shared" si="17"/>
        <v>0</v>
      </c>
      <c r="AK136" s="571">
        <f t="shared" si="17"/>
        <v>0</v>
      </c>
      <c r="AL136" s="571">
        <f t="shared" si="17"/>
        <v>0</v>
      </c>
      <c r="AM136" s="572">
        <f t="shared" si="17"/>
        <v>0</v>
      </c>
    </row>
    <row r="137" spans="2:39">
      <c r="B137" s="577" t="str">
        <f>B130</f>
        <v>Avoided annual social cost of carbon</v>
      </c>
      <c r="C137" s="607" t="s">
        <v>417</v>
      </c>
      <c r="D137" s="541">
        <f t="shared" ref="D137:AM137" si="18">D130</f>
        <v>-365926.73527440906</v>
      </c>
      <c r="E137" s="541">
        <f t="shared" si="18"/>
        <v>-365926.73527440906</v>
      </c>
      <c r="F137" s="541">
        <f t="shared" si="18"/>
        <v>-365926.73527440906</v>
      </c>
      <c r="G137" s="541">
        <f t="shared" si="18"/>
        <v>-365926.73527440906</v>
      </c>
      <c r="H137" s="541">
        <f t="shared" si="18"/>
        <v>-365926.73527440906</v>
      </c>
      <c r="I137" s="541">
        <f t="shared" si="18"/>
        <v>-365926.73527440906</v>
      </c>
      <c r="J137" s="541">
        <f t="shared" si="18"/>
        <v>-365926.73527440906</v>
      </c>
      <c r="K137" s="541">
        <f t="shared" si="18"/>
        <v>-365926.73527440906</v>
      </c>
      <c r="L137" s="541">
        <f t="shared" si="18"/>
        <v>-365926.73527440906</v>
      </c>
      <c r="M137" s="541">
        <f t="shared" si="18"/>
        <v>-365926.73527440906</v>
      </c>
      <c r="N137" s="541">
        <f t="shared" si="18"/>
        <v>-365926.73527440906</v>
      </c>
      <c r="O137" s="541">
        <f t="shared" si="18"/>
        <v>-365926.73527440906</v>
      </c>
      <c r="P137" s="541">
        <f t="shared" si="18"/>
        <v>-365926.73527440906</v>
      </c>
      <c r="Q137" s="541">
        <f t="shared" si="18"/>
        <v>-365926.73527440906</v>
      </c>
      <c r="R137" s="721">
        <f t="shared" si="18"/>
        <v>-365926.73527440906</v>
      </c>
      <c r="S137" s="541">
        <f t="shared" si="18"/>
        <v>-365926.73527440906</v>
      </c>
      <c r="T137" s="541">
        <f t="shared" si="18"/>
        <v>-365926.73527440906</v>
      </c>
      <c r="U137" s="541">
        <f t="shared" si="18"/>
        <v>-365926.73527440906</v>
      </c>
      <c r="V137" s="541">
        <f t="shared" si="18"/>
        <v>-365926.73527440906</v>
      </c>
      <c r="W137" s="541">
        <f t="shared" si="18"/>
        <v>-365926.73527440906</v>
      </c>
      <c r="X137" s="541">
        <f t="shared" si="18"/>
        <v>-365926.73527440906</v>
      </c>
      <c r="Y137" s="541">
        <f t="shared" si="18"/>
        <v>-365926.73527440906</v>
      </c>
      <c r="Z137" s="541">
        <f t="shared" si="18"/>
        <v>-365926.73527440906</v>
      </c>
      <c r="AA137" s="541">
        <f t="shared" si="18"/>
        <v>-365926.73527440906</v>
      </c>
      <c r="AB137" s="541">
        <f t="shared" si="18"/>
        <v>-365926.73527440906</v>
      </c>
      <c r="AC137" s="541">
        <f t="shared" si="18"/>
        <v>-9148.1683818602251</v>
      </c>
      <c r="AD137" s="541">
        <f t="shared" si="18"/>
        <v>0</v>
      </c>
      <c r="AE137" s="541">
        <f t="shared" si="18"/>
        <v>0</v>
      </c>
      <c r="AF137" s="541">
        <f t="shared" si="18"/>
        <v>0</v>
      </c>
      <c r="AG137" s="541">
        <f t="shared" si="18"/>
        <v>0</v>
      </c>
      <c r="AH137" s="541">
        <f t="shared" si="18"/>
        <v>0</v>
      </c>
      <c r="AI137" s="541">
        <f t="shared" si="18"/>
        <v>0</v>
      </c>
      <c r="AJ137" s="541">
        <f t="shared" si="18"/>
        <v>0</v>
      </c>
      <c r="AK137" s="541">
        <f t="shared" si="18"/>
        <v>0</v>
      </c>
      <c r="AL137" s="541">
        <f t="shared" si="18"/>
        <v>0</v>
      </c>
      <c r="AM137" s="576">
        <f t="shared" si="18"/>
        <v>0</v>
      </c>
    </row>
    <row r="138" spans="2:39" ht="12.95">
      <c r="B138" s="628" t="s">
        <v>458</v>
      </c>
      <c r="C138" s="602" t="s">
        <v>417</v>
      </c>
      <c r="D138" s="600">
        <f>D136+D137</f>
        <v>-1238692.3428997742</v>
      </c>
      <c r="E138" s="600">
        <f t="shared" ref="E138:AM138" si="19">E136+E137</f>
        <v>-1238692.3428997742</v>
      </c>
      <c r="F138" s="600">
        <f t="shared" si="19"/>
        <v>-1238692.3428997742</v>
      </c>
      <c r="G138" s="600">
        <f t="shared" si="19"/>
        <v>-1238692.3428997742</v>
      </c>
      <c r="H138" s="600">
        <f t="shared" si="19"/>
        <v>-1238692.3428997742</v>
      </c>
      <c r="I138" s="600">
        <f t="shared" si="19"/>
        <v>-1238692.3428997742</v>
      </c>
      <c r="J138" s="600">
        <f t="shared" si="19"/>
        <v>-1238692.3428997742</v>
      </c>
      <c r="K138" s="600">
        <f t="shared" si="19"/>
        <v>-1238692.3428997742</v>
      </c>
      <c r="L138" s="600">
        <f t="shared" si="19"/>
        <v>-1238692.3428997742</v>
      </c>
      <c r="M138" s="600">
        <f t="shared" si="19"/>
        <v>-1238692.3428997742</v>
      </c>
      <c r="N138" s="600">
        <f t="shared" si="19"/>
        <v>-1238692.3428997742</v>
      </c>
      <c r="O138" s="600">
        <f t="shared" si="19"/>
        <v>-1238692.3428997742</v>
      </c>
      <c r="P138" s="600">
        <f t="shared" si="19"/>
        <v>-1238692.3428997742</v>
      </c>
      <c r="Q138" s="600">
        <f t="shared" si="19"/>
        <v>-1238692.3428997742</v>
      </c>
      <c r="R138" s="600">
        <f t="shared" si="19"/>
        <v>-1238692.3428997742</v>
      </c>
      <c r="S138" s="600">
        <f t="shared" si="19"/>
        <v>-1238692.3428997742</v>
      </c>
      <c r="T138" s="600">
        <f t="shared" si="19"/>
        <v>-1238692.3428997742</v>
      </c>
      <c r="U138" s="600">
        <f t="shared" si="19"/>
        <v>-1238692.3428997742</v>
      </c>
      <c r="V138" s="600">
        <f t="shared" si="19"/>
        <v>-1238692.3428997742</v>
      </c>
      <c r="W138" s="600">
        <f t="shared" si="19"/>
        <v>-1238692.3428997742</v>
      </c>
      <c r="X138" s="600">
        <f t="shared" si="19"/>
        <v>-1238692.3428997742</v>
      </c>
      <c r="Y138" s="600">
        <f t="shared" si="19"/>
        <v>-1238692.3428997742</v>
      </c>
      <c r="Z138" s="600">
        <f t="shared" si="19"/>
        <v>-1238692.3428997742</v>
      </c>
      <c r="AA138" s="600">
        <f t="shared" si="19"/>
        <v>-1238692.3428997742</v>
      </c>
      <c r="AB138" s="600">
        <f t="shared" si="19"/>
        <v>-1238692.3428997742</v>
      </c>
      <c r="AC138" s="600">
        <f t="shared" si="19"/>
        <v>-881913.7760072255</v>
      </c>
      <c r="AD138" s="600">
        <f t="shared" si="19"/>
        <v>0</v>
      </c>
      <c r="AE138" s="600">
        <f t="shared" si="19"/>
        <v>0</v>
      </c>
      <c r="AF138" s="600">
        <f t="shared" si="19"/>
        <v>0</v>
      </c>
      <c r="AG138" s="600">
        <f t="shared" si="19"/>
        <v>0</v>
      </c>
      <c r="AH138" s="600">
        <f t="shared" si="19"/>
        <v>0</v>
      </c>
      <c r="AI138" s="600">
        <f t="shared" si="19"/>
        <v>0</v>
      </c>
      <c r="AJ138" s="600">
        <f t="shared" si="19"/>
        <v>0</v>
      </c>
      <c r="AK138" s="600">
        <f t="shared" si="19"/>
        <v>0</v>
      </c>
      <c r="AL138" s="600">
        <f t="shared" si="19"/>
        <v>0</v>
      </c>
      <c r="AM138" s="601">
        <f t="shared" si="19"/>
        <v>0</v>
      </c>
    </row>
    <row r="139" spans="2:39">
      <c r="B139" s="629" t="s">
        <v>424</v>
      </c>
      <c r="C139" s="627" t="s">
        <v>417</v>
      </c>
      <c r="D139" s="571">
        <f t="shared" ref="D139:M139" si="20">D96</f>
        <v>10822098.588424647</v>
      </c>
      <c r="E139" s="571">
        <f t="shared" si="20"/>
        <v>0</v>
      </c>
      <c r="F139" s="571">
        <f t="shared" si="20"/>
        <v>0</v>
      </c>
      <c r="G139" s="571">
        <f t="shared" si="20"/>
        <v>0</v>
      </c>
      <c r="H139" s="571">
        <f t="shared" si="20"/>
        <v>0</v>
      </c>
      <c r="I139" s="571">
        <f t="shared" si="20"/>
        <v>0</v>
      </c>
      <c r="J139" s="571">
        <f t="shared" si="20"/>
        <v>0</v>
      </c>
      <c r="K139" s="571">
        <f t="shared" si="20"/>
        <v>0</v>
      </c>
      <c r="L139" s="571">
        <f t="shared" si="20"/>
        <v>0</v>
      </c>
      <c r="M139" s="572">
        <f t="shared" si="20"/>
        <v>0</v>
      </c>
      <c r="N139" s="352"/>
      <c r="R139" s="474"/>
    </row>
    <row r="140" spans="2:39">
      <c r="B140" s="630" t="s">
        <v>459</v>
      </c>
      <c r="C140" s="627" t="s">
        <v>417</v>
      </c>
      <c r="D140" s="571">
        <f t="shared" ref="D140:AM140" si="21">D83+D84</f>
        <v>165994.99079988315</v>
      </c>
      <c r="E140" s="571">
        <f t="shared" si="21"/>
        <v>165994.99079988315</v>
      </c>
      <c r="F140" s="571">
        <f t="shared" si="21"/>
        <v>165994.99079988315</v>
      </c>
      <c r="G140" s="571">
        <f t="shared" si="21"/>
        <v>165994.99079988315</v>
      </c>
      <c r="H140" s="571">
        <f t="shared" si="21"/>
        <v>165994.99079988315</v>
      </c>
      <c r="I140" s="571">
        <f t="shared" si="21"/>
        <v>165994.99079988315</v>
      </c>
      <c r="J140" s="571">
        <f t="shared" si="21"/>
        <v>165994.99079988315</v>
      </c>
      <c r="K140" s="571">
        <f t="shared" si="21"/>
        <v>165994.99079988315</v>
      </c>
      <c r="L140" s="571">
        <f t="shared" si="21"/>
        <v>165994.99079988315</v>
      </c>
      <c r="M140" s="571">
        <f t="shared" si="21"/>
        <v>165994.99079988315</v>
      </c>
      <c r="N140" s="571">
        <f t="shared" si="21"/>
        <v>165994.99079988315</v>
      </c>
      <c r="O140" s="571">
        <f t="shared" si="21"/>
        <v>165994.99079988315</v>
      </c>
      <c r="P140" s="571">
        <f t="shared" si="21"/>
        <v>165994.99079988315</v>
      </c>
      <c r="Q140" s="571">
        <f t="shared" si="21"/>
        <v>165994.99079988315</v>
      </c>
      <c r="R140" s="715">
        <f t="shared" si="21"/>
        <v>165994.99079988315</v>
      </c>
      <c r="S140" s="571">
        <f t="shared" si="21"/>
        <v>165994.99079988315</v>
      </c>
      <c r="T140" s="571">
        <f t="shared" si="21"/>
        <v>165994.99079988315</v>
      </c>
      <c r="U140" s="571">
        <f t="shared" si="21"/>
        <v>165994.99079988315</v>
      </c>
      <c r="V140" s="571">
        <f t="shared" si="21"/>
        <v>165994.99079988315</v>
      </c>
      <c r="W140" s="571">
        <f t="shared" si="21"/>
        <v>165994.99079988315</v>
      </c>
      <c r="X140" s="571">
        <f t="shared" si="21"/>
        <v>165994.99079988315</v>
      </c>
      <c r="Y140" s="571">
        <f t="shared" si="21"/>
        <v>165994.99079988315</v>
      </c>
      <c r="Z140" s="571">
        <f t="shared" si="21"/>
        <v>165994.99079988315</v>
      </c>
      <c r="AA140" s="571">
        <f t="shared" si="21"/>
        <v>165994.99079988315</v>
      </c>
      <c r="AB140" s="571">
        <f t="shared" si="21"/>
        <v>165994.99079988315</v>
      </c>
      <c r="AC140" s="571">
        <f t="shared" si="21"/>
        <v>1642768.8673553236</v>
      </c>
      <c r="AD140" s="571">
        <f t="shared" si="21"/>
        <v>0</v>
      </c>
      <c r="AE140" s="571">
        <f t="shared" si="21"/>
        <v>0</v>
      </c>
      <c r="AF140" s="571">
        <f t="shared" si="21"/>
        <v>0</v>
      </c>
      <c r="AG140" s="571">
        <f t="shared" si="21"/>
        <v>0</v>
      </c>
      <c r="AH140" s="571">
        <f t="shared" si="21"/>
        <v>0</v>
      </c>
      <c r="AI140" s="571">
        <f t="shared" si="21"/>
        <v>0</v>
      </c>
      <c r="AJ140" s="571">
        <f t="shared" si="21"/>
        <v>0</v>
      </c>
      <c r="AK140" s="571">
        <f t="shared" si="21"/>
        <v>0</v>
      </c>
      <c r="AL140" s="571">
        <f t="shared" si="21"/>
        <v>0</v>
      </c>
      <c r="AM140" s="572">
        <f t="shared" si="21"/>
        <v>0</v>
      </c>
    </row>
    <row r="141" spans="2:39">
      <c r="B141" s="631" t="s">
        <v>460</v>
      </c>
      <c r="C141" s="632" t="s">
        <v>417</v>
      </c>
      <c r="D141" s="541">
        <f t="shared" ref="D141:AM141" si="22">D85</f>
        <v>0</v>
      </c>
      <c r="E141" s="541">
        <f t="shared" si="22"/>
        <v>0</v>
      </c>
      <c r="F141" s="541">
        <f t="shared" si="22"/>
        <v>0</v>
      </c>
      <c r="G141" s="541">
        <f t="shared" si="22"/>
        <v>0</v>
      </c>
      <c r="H141" s="541">
        <f t="shared" si="22"/>
        <v>0</v>
      </c>
      <c r="I141" s="541">
        <f t="shared" si="22"/>
        <v>0</v>
      </c>
      <c r="J141" s="541">
        <f t="shared" si="22"/>
        <v>0</v>
      </c>
      <c r="K141" s="541">
        <f t="shared" si="22"/>
        <v>0</v>
      </c>
      <c r="L141" s="541">
        <f t="shared" si="22"/>
        <v>0</v>
      </c>
      <c r="M141" s="541">
        <f t="shared" si="22"/>
        <v>0</v>
      </c>
      <c r="N141" s="541">
        <f t="shared" si="22"/>
        <v>0</v>
      </c>
      <c r="O141" s="541">
        <f t="shared" si="22"/>
        <v>0</v>
      </c>
      <c r="P141" s="541">
        <f t="shared" si="22"/>
        <v>0</v>
      </c>
      <c r="Q141" s="541">
        <f t="shared" si="22"/>
        <v>0</v>
      </c>
      <c r="R141" s="721">
        <f t="shared" si="22"/>
        <v>0</v>
      </c>
      <c r="S141" s="541">
        <f t="shared" si="22"/>
        <v>0</v>
      </c>
      <c r="T141" s="541">
        <f t="shared" si="22"/>
        <v>0</v>
      </c>
      <c r="U141" s="541">
        <f t="shared" si="22"/>
        <v>0</v>
      </c>
      <c r="V141" s="541">
        <f t="shared" si="22"/>
        <v>0</v>
      </c>
      <c r="W141" s="541">
        <f t="shared" si="22"/>
        <v>0</v>
      </c>
      <c r="X141" s="541">
        <f t="shared" si="22"/>
        <v>0</v>
      </c>
      <c r="Y141" s="541">
        <f t="shared" si="22"/>
        <v>0</v>
      </c>
      <c r="Z141" s="541">
        <f t="shared" si="22"/>
        <v>0</v>
      </c>
      <c r="AA141" s="541">
        <f t="shared" si="22"/>
        <v>0</v>
      </c>
      <c r="AB141" s="541">
        <f t="shared" si="22"/>
        <v>0</v>
      </c>
      <c r="AC141" s="541">
        <f t="shared" si="22"/>
        <v>0</v>
      </c>
      <c r="AD141" s="541">
        <f t="shared" si="22"/>
        <v>0</v>
      </c>
      <c r="AE141" s="541">
        <f t="shared" si="22"/>
        <v>0</v>
      </c>
      <c r="AF141" s="541">
        <f t="shared" si="22"/>
        <v>0</v>
      </c>
      <c r="AG141" s="541">
        <f t="shared" si="22"/>
        <v>0</v>
      </c>
      <c r="AH141" s="541">
        <f t="shared" si="22"/>
        <v>0</v>
      </c>
      <c r="AI141" s="541">
        <f t="shared" si="22"/>
        <v>0</v>
      </c>
      <c r="AJ141" s="541">
        <f t="shared" si="22"/>
        <v>0</v>
      </c>
      <c r="AK141" s="541">
        <f t="shared" si="22"/>
        <v>0</v>
      </c>
      <c r="AL141" s="541">
        <f t="shared" si="22"/>
        <v>0</v>
      </c>
      <c r="AM141" s="576">
        <f t="shared" si="22"/>
        <v>0</v>
      </c>
    </row>
    <row r="142" spans="2:39">
      <c r="B142" s="631" t="s">
        <v>428</v>
      </c>
      <c r="C142" s="632" t="s">
        <v>417</v>
      </c>
      <c r="D142" s="541">
        <f t="shared" ref="D142:AM143" si="23">D99</f>
        <v>0</v>
      </c>
      <c r="E142" s="541">
        <f t="shared" si="23"/>
        <v>0</v>
      </c>
      <c r="F142" s="541">
        <f t="shared" si="23"/>
        <v>0</v>
      </c>
      <c r="G142" s="541">
        <f t="shared" si="23"/>
        <v>0</v>
      </c>
      <c r="H142" s="541">
        <f t="shared" si="23"/>
        <v>0</v>
      </c>
      <c r="I142" s="541">
        <f t="shared" si="23"/>
        <v>0</v>
      </c>
      <c r="J142" s="541">
        <f t="shared" si="23"/>
        <v>0</v>
      </c>
      <c r="K142" s="541">
        <f t="shared" si="23"/>
        <v>0</v>
      </c>
      <c r="L142" s="541">
        <f t="shared" si="23"/>
        <v>0</v>
      </c>
      <c r="M142" s="541">
        <f t="shared" si="23"/>
        <v>0</v>
      </c>
      <c r="N142" s="541">
        <f t="shared" si="23"/>
        <v>0</v>
      </c>
      <c r="O142" s="541">
        <f t="shared" si="23"/>
        <v>0</v>
      </c>
      <c r="P142" s="541">
        <f t="shared" si="23"/>
        <v>0</v>
      </c>
      <c r="Q142" s="541">
        <f t="shared" si="23"/>
        <v>0</v>
      </c>
      <c r="R142" s="721">
        <f t="shared" si="23"/>
        <v>0</v>
      </c>
      <c r="S142" s="541">
        <f t="shared" si="23"/>
        <v>0</v>
      </c>
      <c r="T142" s="541">
        <f t="shared" si="23"/>
        <v>0</v>
      </c>
      <c r="U142" s="541">
        <f t="shared" si="23"/>
        <v>0</v>
      </c>
      <c r="V142" s="541">
        <f t="shared" si="23"/>
        <v>0</v>
      </c>
      <c r="W142" s="541">
        <f t="shared" si="23"/>
        <v>0</v>
      </c>
      <c r="X142" s="541">
        <f t="shared" si="23"/>
        <v>0</v>
      </c>
      <c r="Y142" s="541">
        <f t="shared" si="23"/>
        <v>0</v>
      </c>
      <c r="Z142" s="541">
        <f t="shared" si="23"/>
        <v>0</v>
      </c>
      <c r="AA142" s="541">
        <f t="shared" si="23"/>
        <v>0</v>
      </c>
      <c r="AB142" s="541">
        <f t="shared" si="23"/>
        <v>0</v>
      </c>
      <c r="AC142" s="541">
        <f t="shared" si="23"/>
        <v>0</v>
      </c>
      <c r="AD142" s="541">
        <f t="shared" si="23"/>
        <v>0</v>
      </c>
      <c r="AE142" s="541">
        <f t="shared" si="23"/>
        <v>0</v>
      </c>
      <c r="AF142" s="541">
        <f t="shared" si="23"/>
        <v>0</v>
      </c>
      <c r="AG142" s="541">
        <f t="shared" si="23"/>
        <v>0</v>
      </c>
      <c r="AH142" s="541">
        <f t="shared" si="23"/>
        <v>0</v>
      </c>
      <c r="AI142" s="541">
        <f t="shared" si="23"/>
        <v>0</v>
      </c>
      <c r="AJ142" s="541">
        <f t="shared" si="23"/>
        <v>0</v>
      </c>
      <c r="AK142" s="541">
        <f t="shared" si="23"/>
        <v>0</v>
      </c>
      <c r="AL142" s="541">
        <f t="shared" si="23"/>
        <v>0</v>
      </c>
      <c r="AM142" s="576">
        <f t="shared" si="23"/>
        <v>0</v>
      </c>
    </row>
    <row r="143" spans="2:39">
      <c r="B143" s="633" t="s">
        <v>429</v>
      </c>
      <c r="C143" s="607" t="s">
        <v>417</v>
      </c>
      <c r="D143" s="580">
        <f t="shared" si="23"/>
        <v>0</v>
      </c>
      <c r="E143" s="580">
        <f t="shared" si="23"/>
        <v>432883.9435369859</v>
      </c>
      <c r="F143" s="580">
        <f t="shared" si="23"/>
        <v>432883.9435369859</v>
      </c>
      <c r="G143" s="580">
        <f t="shared" si="23"/>
        <v>432883.9435369859</v>
      </c>
      <c r="H143" s="580">
        <f t="shared" si="23"/>
        <v>432883.9435369859</v>
      </c>
      <c r="I143" s="580">
        <f t="shared" si="23"/>
        <v>432883.9435369859</v>
      </c>
      <c r="J143" s="580">
        <f t="shared" si="23"/>
        <v>432883.9435369859</v>
      </c>
      <c r="K143" s="580">
        <f t="shared" si="23"/>
        <v>432883.9435369859</v>
      </c>
      <c r="L143" s="580">
        <f t="shared" si="23"/>
        <v>432883.9435369859</v>
      </c>
      <c r="M143" s="580">
        <f t="shared" si="23"/>
        <v>432883.9435369859</v>
      </c>
      <c r="N143" s="580">
        <f t="shared" si="23"/>
        <v>432883.9435369859</v>
      </c>
      <c r="O143" s="580">
        <f t="shared" si="23"/>
        <v>432883.9435369859</v>
      </c>
      <c r="P143" s="580">
        <f t="shared" si="23"/>
        <v>432883.9435369859</v>
      </c>
      <c r="Q143" s="580">
        <f t="shared" si="23"/>
        <v>432883.9435369859</v>
      </c>
      <c r="R143" s="716">
        <f t="shared" si="23"/>
        <v>432883.9435369859</v>
      </c>
      <c r="S143" s="580">
        <f t="shared" si="23"/>
        <v>432883.9435369859</v>
      </c>
      <c r="T143" s="580">
        <f t="shared" si="23"/>
        <v>432883.9435369859</v>
      </c>
      <c r="U143" s="580">
        <f t="shared" si="23"/>
        <v>432883.9435369859</v>
      </c>
      <c r="V143" s="580">
        <f t="shared" si="23"/>
        <v>432883.9435369859</v>
      </c>
      <c r="W143" s="580">
        <f t="shared" si="23"/>
        <v>432883.9435369859</v>
      </c>
      <c r="X143" s="580">
        <f t="shared" si="23"/>
        <v>432883.9435369859</v>
      </c>
      <c r="Y143" s="580">
        <f t="shared" si="23"/>
        <v>432883.9435369859</v>
      </c>
      <c r="Z143" s="580">
        <f t="shared" si="23"/>
        <v>432883.9435369859</v>
      </c>
      <c r="AA143" s="580">
        <f t="shared" si="23"/>
        <v>432883.9435369859</v>
      </c>
      <c r="AB143" s="580">
        <f t="shared" si="23"/>
        <v>432883.9435369859</v>
      </c>
      <c r="AC143" s="580">
        <f t="shared" si="23"/>
        <v>432883.9435369859</v>
      </c>
      <c r="AD143" s="580">
        <f t="shared" si="23"/>
        <v>0</v>
      </c>
      <c r="AE143" s="580">
        <f t="shared" si="23"/>
        <v>0</v>
      </c>
      <c r="AF143" s="580">
        <f t="shared" si="23"/>
        <v>0</v>
      </c>
      <c r="AG143" s="580">
        <f t="shared" si="23"/>
        <v>0</v>
      </c>
      <c r="AH143" s="580">
        <f t="shared" si="23"/>
        <v>0</v>
      </c>
      <c r="AI143" s="580">
        <f t="shared" si="23"/>
        <v>0</v>
      </c>
      <c r="AJ143" s="580">
        <f t="shared" si="23"/>
        <v>0</v>
      </c>
      <c r="AK143" s="580">
        <f t="shared" si="23"/>
        <v>0</v>
      </c>
      <c r="AL143" s="580">
        <f t="shared" si="23"/>
        <v>0</v>
      </c>
      <c r="AM143" s="581">
        <f t="shared" si="23"/>
        <v>0</v>
      </c>
    </row>
    <row r="144" spans="2:39" ht="12.95">
      <c r="B144" s="634" t="s">
        <v>461</v>
      </c>
      <c r="C144" s="635" t="s">
        <v>417</v>
      </c>
      <c r="D144" s="585">
        <f>SUM(D139:D143)</f>
        <v>10988093.579224531</v>
      </c>
      <c r="E144" s="585">
        <f t="shared" ref="E144:AM144" si="24">SUM(E139:E143)</f>
        <v>598878.93433686905</v>
      </c>
      <c r="F144" s="585">
        <f t="shared" si="24"/>
        <v>598878.93433686905</v>
      </c>
      <c r="G144" s="585">
        <f t="shared" si="24"/>
        <v>598878.93433686905</v>
      </c>
      <c r="H144" s="585">
        <f t="shared" si="24"/>
        <v>598878.93433686905</v>
      </c>
      <c r="I144" s="585">
        <f t="shared" si="24"/>
        <v>598878.93433686905</v>
      </c>
      <c r="J144" s="585">
        <f t="shared" si="24"/>
        <v>598878.93433686905</v>
      </c>
      <c r="K144" s="585">
        <f t="shared" si="24"/>
        <v>598878.93433686905</v>
      </c>
      <c r="L144" s="585">
        <f t="shared" si="24"/>
        <v>598878.93433686905</v>
      </c>
      <c r="M144" s="585">
        <f t="shared" si="24"/>
        <v>598878.93433686905</v>
      </c>
      <c r="N144" s="585">
        <f t="shared" si="24"/>
        <v>598878.93433686905</v>
      </c>
      <c r="O144" s="585">
        <f t="shared" si="24"/>
        <v>598878.93433686905</v>
      </c>
      <c r="P144" s="585">
        <f t="shared" si="24"/>
        <v>598878.93433686905</v>
      </c>
      <c r="Q144" s="585">
        <f t="shared" si="24"/>
        <v>598878.93433686905</v>
      </c>
      <c r="R144" s="585">
        <f t="shared" si="24"/>
        <v>598878.93433686905</v>
      </c>
      <c r="S144" s="585">
        <f t="shared" si="24"/>
        <v>598878.93433686905</v>
      </c>
      <c r="T144" s="585">
        <f t="shared" si="24"/>
        <v>598878.93433686905</v>
      </c>
      <c r="U144" s="585">
        <f t="shared" si="24"/>
        <v>598878.93433686905</v>
      </c>
      <c r="V144" s="585">
        <f t="shared" si="24"/>
        <v>598878.93433686905</v>
      </c>
      <c r="W144" s="585">
        <f t="shared" si="24"/>
        <v>598878.93433686905</v>
      </c>
      <c r="X144" s="585">
        <f t="shared" si="24"/>
        <v>598878.93433686905</v>
      </c>
      <c r="Y144" s="585">
        <f t="shared" si="24"/>
        <v>598878.93433686905</v>
      </c>
      <c r="Z144" s="585">
        <f t="shared" si="24"/>
        <v>598878.93433686905</v>
      </c>
      <c r="AA144" s="585">
        <f t="shared" si="24"/>
        <v>598878.93433686905</v>
      </c>
      <c r="AB144" s="585">
        <f t="shared" si="24"/>
        <v>598878.93433686905</v>
      </c>
      <c r="AC144" s="585">
        <f t="shared" si="24"/>
        <v>2075652.8108923095</v>
      </c>
      <c r="AD144" s="585">
        <f t="shared" si="24"/>
        <v>0</v>
      </c>
      <c r="AE144" s="585">
        <f t="shared" si="24"/>
        <v>0</v>
      </c>
      <c r="AF144" s="585">
        <f t="shared" si="24"/>
        <v>0</v>
      </c>
      <c r="AG144" s="585">
        <f t="shared" si="24"/>
        <v>0</v>
      </c>
      <c r="AH144" s="585">
        <f t="shared" si="24"/>
        <v>0</v>
      </c>
      <c r="AI144" s="585">
        <f t="shared" si="24"/>
        <v>0</v>
      </c>
      <c r="AJ144" s="585">
        <f t="shared" si="24"/>
        <v>0</v>
      </c>
      <c r="AK144" s="585">
        <f t="shared" si="24"/>
        <v>0</v>
      </c>
      <c r="AL144" s="585">
        <f t="shared" si="24"/>
        <v>0</v>
      </c>
      <c r="AM144" s="585">
        <f t="shared" si="24"/>
        <v>0</v>
      </c>
    </row>
    <row r="145" spans="1:39" ht="12.95">
      <c r="B145" s="636" t="s">
        <v>462</v>
      </c>
      <c r="C145" s="635" t="s">
        <v>417</v>
      </c>
      <c r="D145" s="599">
        <f>D138-D144</f>
        <v>-12226785.922124304</v>
      </c>
      <c r="E145" s="600">
        <f t="shared" ref="E145:AM145" si="25">E138-E140-E141</f>
        <v>-1404687.3336996573</v>
      </c>
      <c r="F145" s="600">
        <f t="shared" si="25"/>
        <v>-1404687.3336996573</v>
      </c>
      <c r="G145" s="600">
        <f t="shared" si="25"/>
        <v>-1404687.3336996573</v>
      </c>
      <c r="H145" s="600">
        <f t="shared" si="25"/>
        <v>-1404687.3336996573</v>
      </c>
      <c r="I145" s="600">
        <f t="shared" si="25"/>
        <v>-1404687.3336996573</v>
      </c>
      <c r="J145" s="600">
        <f t="shared" si="25"/>
        <v>-1404687.3336996573</v>
      </c>
      <c r="K145" s="600">
        <f t="shared" si="25"/>
        <v>-1404687.3336996573</v>
      </c>
      <c r="L145" s="600">
        <f t="shared" si="25"/>
        <v>-1404687.3336996573</v>
      </c>
      <c r="M145" s="600">
        <f t="shared" si="25"/>
        <v>-1404687.3336996573</v>
      </c>
      <c r="N145" s="600">
        <f t="shared" si="25"/>
        <v>-1404687.3336996573</v>
      </c>
      <c r="O145" s="600">
        <f t="shared" si="25"/>
        <v>-1404687.3336996573</v>
      </c>
      <c r="P145" s="600">
        <f t="shared" si="25"/>
        <v>-1404687.3336996573</v>
      </c>
      <c r="Q145" s="600">
        <f t="shared" si="25"/>
        <v>-1404687.3336996573</v>
      </c>
      <c r="R145" s="600">
        <f t="shared" si="25"/>
        <v>-1404687.3336996573</v>
      </c>
      <c r="S145" s="600">
        <f t="shared" si="25"/>
        <v>-1404687.3336996573</v>
      </c>
      <c r="T145" s="600">
        <f t="shared" si="25"/>
        <v>-1404687.3336996573</v>
      </c>
      <c r="U145" s="600">
        <f t="shared" si="25"/>
        <v>-1404687.3336996573</v>
      </c>
      <c r="V145" s="600">
        <f t="shared" si="25"/>
        <v>-1404687.3336996573</v>
      </c>
      <c r="W145" s="600">
        <f t="shared" si="25"/>
        <v>-1404687.3336996573</v>
      </c>
      <c r="X145" s="600">
        <f t="shared" si="25"/>
        <v>-1404687.3336996573</v>
      </c>
      <c r="Y145" s="600">
        <f t="shared" si="25"/>
        <v>-1404687.3336996573</v>
      </c>
      <c r="Z145" s="600">
        <f t="shared" si="25"/>
        <v>-1404687.3336996573</v>
      </c>
      <c r="AA145" s="600">
        <f t="shared" si="25"/>
        <v>-1404687.3336996573</v>
      </c>
      <c r="AB145" s="600">
        <f t="shared" si="25"/>
        <v>-1404687.3336996573</v>
      </c>
      <c r="AC145" s="600">
        <f t="shared" si="25"/>
        <v>-2524682.6433625491</v>
      </c>
      <c r="AD145" s="600">
        <f t="shared" si="25"/>
        <v>0</v>
      </c>
      <c r="AE145" s="600">
        <f t="shared" si="25"/>
        <v>0</v>
      </c>
      <c r="AF145" s="600">
        <f t="shared" si="25"/>
        <v>0</v>
      </c>
      <c r="AG145" s="600">
        <f t="shared" si="25"/>
        <v>0</v>
      </c>
      <c r="AH145" s="600">
        <f t="shared" si="25"/>
        <v>0</v>
      </c>
      <c r="AI145" s="600">
        <f t="shared" si="25"/>
        <v>0</v>
      </c>
      <c r="AJ145" s="600">
        <f t="shared" si="25"/>
        <v>0</v>
      </c>
      <c r="AK145" s="600">
        <f t="shared" si="25"/>
        <v>0</v>
      </c>
      <c r="AL145" s="600">
        <f t="shared" si="25"/>
        <v>0</v>
      </c>
      <c r="AM145" s="601">
        <f t="shared" si="25"/>
        <v>0</v>
      </c>
    </row>
    <row r="146" spans="1:39">
      <c r="R146" s="474"/>
    </row>
    <row r="147" spans="1:39">
      <c r="R147" s="474"/>
    </row>
    <row r="148" spans="1:39" ht="12.95">
      <c r="B148" s="626" t="s">
        <v>463</v>
      </c>
      <c r="C148" s="566" t="s">
        <v>364</v>
      </c>
      <c r="R148" s="474"/>
    </row>
    <row r="149" spans="1:39">
      <c r="B149" s="561" t="s">
        <v>464</v>
      </c>
      <c r="C149" s="545" t="s">
        <v>417</v>
      </c>
      <c r="D149" s="617">
        <f t="shared" ref="D149:AM149" si="26">D78*$D$16</f>
        <v>1475511.0293322946</v>
      </c>
      <c r="E149" s="618">
        <f t="shared" si="26"/>
        <v>1475511.0293322946</v>
      </c>
      <c r="F149" s="618">
        <f t="shared" si="26"/>
        <v>1475511.0293322946</v>
      </c>
      <c r="G149" s="618">
        <f t="shared" si="26"/>
        <v>1475511.0293322946</v>
      </c>
      <c r="H149" s="618">
        <f t="shared" si="26"/>
        <v>1475511.0293322946</v>
      </c>
      <c r="I149" s="618">
        <f t="shared" si="26"/>
        <v>1475511.0293322946</v>
      </c>
      <c r="J149" s="618">
        <f t="shared" si="26"/>
        <v>1475511.0293322946</v>
      </c>
      <c r="K149" s="618">
        <f t="shared" si="26"/>
        <v>1475511.0293322946</v>
      </c>
      <c r="L149" s="618">
        <f t="shared" si="26"/>
        <v>1475511.0293322946</v>
      </c>
      <c r="M149" s="618">
        <f t="shared" si="26"/>
        <v>1475511.0293322946</v>
      </c>
      <c r="N149" s="618">
        <f t="shared" si="26"/>
        <v>1475511.0293322946</v>
      </c>
      <c r="O149" s="618">
        <f t="shared" si="26"/>
        <v>1475511.0293322946</v>
      </c>
      <c r="P149" s="618">
        <f t="shared" si="26"/>
        <v>1475511.0293322946</v>
      </c>
      <c r="Q149" s="618">
        <f t="shared" si="26"/>
        <v>1475511.0293322946</v>
      </c>
      <c r="R149" s="722">
        <f t="shared" si="26"/>
        <v>1475511.0293322946</v>
      </c>
      <c r="S149" s="618">
        <f t="shared" si="26"/>
        <v>1475511.0293322946</v>
      </c>
      <c r="T149" s="618">
        <f t="shared" si="26"/>
        <v>1475511.0293322946</v>
      </c>
      <c r="U149" s="618">
        <f t="shared" si="26"/>
        <v>1475511.0293322946</v>
      </c>
      <c r="V149" s="618">
        <f t="shared" si="26"/>
        <v>1475511.0293322946</v>
      </c>
      <c r="W149" s="618">
        <f t="shared" si="26"/>
        <v>1475511.0293322946</v>
      </c>
      <c r="X149" s="618">
        <f t="shared" si="26"/>
        <v>1475511.0293322946</v>
      </c>
      <c r="Y149" s="618">
        <f t="shared" si="26"/>
        <v>1475511.0293322946</v>
      </c>
      <c r="Z149" s="618">
        <f t="shared" si="26"/>
        <v>1475511.0293322946</v>
      </c>
      <c r="AA149" s="618">
        <f t="shared" si="26"/>
        <v>1475511.0293322946</v>
      </c>
      <c r="AB149" s="618">
        <f t="shared" si="26"/>
        <v>1475511.0293322946</v>
      </c>
      <c r="AC149" s="618">
        <f t="shared" si="26"/>
        <v>1475511.0293322946</v>
      </c>
      <c r="AD149" s="618">
        <f t="shared" si="26"/>
        <v>0</v>
      </c>
      <c r="AE149" s="618">
        <f t="shared" si="26"/>
        <v>0</v>
      </c>
      <c r="AF149" s="618">
        <f t="shared" si="26"/>
        <v>0</v>
      </c>
      <c r="AG149" s="618">
        <f t="shared" si="26"/>
        <v>0</v>
      </c>
      <c r="AH149" s="618">
        <f t="shared" si="26"/>
        <v>0</v>
      </c>
      <c r="AI149" s="618">
        <f t="shared" si="26"/>
        <v>0</v>
      </c>
      <c r="AJ149" s="618">
        <f t="shared" si="26"/>
        <v>0</v>
      </c>
      <c r="AK149" s="618">
        <f t="shared" si="26"/>
        <v>0</v>
      </c>
      <c r="AL149" s="618">
        <f t="shared" si="26"/>
        <v>0</v>
      </c>
      <c r="AM149" s="619">
        <f t="shared" si="26"/>
        <v>0</v>
      </c>
    </row>
    <row r="150" spans="1:39">
      <c r="B150" s="561" t="s">
        <v>465</v>
      </c>
      <c r="C150" s="545" t="s">
        <v>417</v>
      </c>
      <c r="D150" s="617">
        <f>SUM(D139:D143)</f>
        <v>10988093.579224531</v>
      </c>
      <c r="E150" s="618">
        <f t="shared" ref="E150:AM150" si="27">SUM(E139:E143)</f>
        <v>598878.93433686905</v>
      </c>
      <c r="F150" s="618">
        <f t="shared" si="27"/>
        <v>598878.93433686905</v>
      </c>
      <c r="G150" s="618">
        <f t="shared" si="27"/>
        <v>598878.93433686905</v>
      </c>
      <c r="H150" s="618">
        <f t="shared" si="27"/>
        <v>598878.93433686905</v>
      </c>
      <c r="I150" s="618">
        <f t="shared" si="27"/>
        <v>598878.93433686905</v>
      </c>
      <c r="J150" s="618">
        <f t="shared" si="27"/>
        <v>598878.93433686905</v>
      </c>
      <c r="K150" s="618">
        <f t="shared" si="27"/>
        <v>598878.93433686905</v>
      </c>
      <c r="L150" s="618">
        <f t="shared" si="27"/>
        <v>598878.93433686905</v>
      </c>
      <c r="M150" s="618">
        <f t="shared" si="27"/>
        <v>598878.93433686905</v>
      </c>
      <c r="N150" s="618">
        <f t="shared" si="27"/>
        <v>598878.93433686905</v>
      </c>
      <c r="O150" s="618">
        <f t="shared" si="27"/>
        <v>598878.93433686905</v>
      </c>
      <c r="P150" s="618">
        <f t="shared" si="27"/>
        <v>598878.93433686905</v>
      </c>
      <c r="Q150" s="618">
        <f t="shared" si="27"/>
        <v>598878.93433686905</v>
      </c>
      <c r="R150" s="722">
        <f t="shared" si="27"/>
        <v>598878.93433686905</v>
      </c>
      <c r="S150" s="618">
        <f t="shared" si="27"/>
        <v>598878.93433686905</v>
      </c>
      <c r="T150" s="618">
        <f t="shared" si="27"/>
        <v>598878.93433686905</v>
      </c>
      <c r="U150" s="618">
        <f t="shared" si="27"/>
        <v>598878.93433686905</v>
      </c>
      <c r="V150" s="618">
        <f t="shared" si="27"/>
        <v>598878.93433686905</v>
      </c>
      <c r="W150" s="618">
        <f t="shared" si="27"/>
        <v>598878.93433686905</v>
      </c>
      <c r="X150" s="618">
        <f t="shared" si="27"/>
        <v>598878.93433686905</v>
      </c>
      <c r="Y150" s="618">
        <f t="shared" si="27"/>
        <v>598878.93433686905</v>
      </c>
      <c r="Z150" s="618">
        <f t="shared" si="27"/>
        <v>598878.93433686905</v>
      </c>
      <c r="AA150" s="618">
        <f t="shared" si="27"/>
        <v>598878.93433686905</v>
      </c>
      <c r="AB150" s="618">
        <f t="shared" si="27"/>
        <v>598878.93433686905</v>
      </c>
      <c r="AC150" s="618">
        <f t="shared" si="27"/>
        <v>2075652.8108923095</v>
      </c>
      <c r="AD150" s="618">
        <f t="shared" si="27"/>
        <v>0</v>
      </c>
      <c r="AE150" s="618">
        <f t="shared" si="27"/>
        <v>0</v>
      </c>
      <c r="AF150" s="618">
        <f t="shared" si="27"/>
        <v>0</v>
      </c>
      <c r="AG150" s="618">
        <f t="shared" si="27"/>
        <v>0</v>
      </c>
      <c r="AH150" s="618">
        <f t="shared" si="27"/>
        <v>0</v>
      </c>
      <c r="AI150" s="618">
        <f t="shared" si="27"/>
        <v>0</v>
      </c>
      <c r="AJ150" s="618">
        <f t="shared" si="27"/>
        <v>0</v>
      </c>
      <c r="AK150" s="618">
        <f t="shared" si="27"/>
        <v>0</v>
      </c>
      <c r="AL150" s="618">
        <f t="shared" si="27"/>
        <v>0</v>
      </c>
      <c r="AM150" s="619">
        <f t="shared" si="27"/>
        <v>0</v>
      </c>
    </row>
    <row r="151" spans="1:39" ht="12.95">
      <c r="B151" s="636" t="s">
        <v>466</v>
      </c>
      <c r="C151" s="635" t="s">
        <v>417</v>
      </c>
      <c r="D151" s="584">
        <f>D149-D150</f>
        <v>-9512582.5498922355</v>
      </c>
      <c r="E151" s="585">
        <f t="shared" ref="E151:AM151" si="28">E149-E150</f>
        <v>876632.09499542555</v>
      </c>
      <c r="F151" s="585">
        <f t="shared" si="28"/>
        <v>876632.09499542555</v>
      </c>
      <c r="G151" s="585">
        <f t="shared" si="28"/>
        <v>876632.09499542555</v>
      </c>
      <c r="H151" s="585">
        <f t="shared" si="28"/>
        <v>876632.09499542555</v>
      </c>
      <c r="I151" s="585">
        <f t="shared" si="28"/>
        <v>876632.09499542555</v>
      </c>
      <c r="J151" s="585">
        <f t="shared" si="28"/>
        <v>876632.09499542555</v>
      </c>
      <c r="K151" s="585">
        <f t="shared" si="28"/>
        <v>876632.09499542555</v>
      </c>
      <c r="L151" s="585">
        <f t="shared" si="28"/>
        <v>876632.09499542555</v>
      </c>
      <c r="M151" s="585">
        <f t="shared" si="28"/>
        <v>876632.09499542555</v>
      </c>
      <c r="N151" s="585">
        <f t="shared" si="28"/>
        <v>876632.09499542555</v>
      </c>
      <c r="O151" s="585">
        <f t="shared" si="28"/>
        <v>876632.09499542555</v>
      </c>
      <c r="P151" s="585">
        <f t="shared" si="28"/>
        <v>876632.09499542555</v>
      </c>
      <c r="Q151" s="585">
        <f t="shared" si="28"/>
        <v>876632.09499542555</v>
      </c>
      <c r="R151" s="585">
        <f t="shared" si="28"/>
        <v>876632.09499542555</v>
      </c>
      <c r="S151" s="585">
        <f t="shared" si="28"/>
        <v>876632.09499542555</v>
      </c>
      <c r="T151" s="585">
        <f t="shared" si="28"/>
        <v>876632.09499542555</v>
      </c>
      <c r="U151" s="585">
        <f t="shared" si="28"/>
        <v>876632.09499542555</v>
      </c>
      <c r="V151" s="585">
        <f t="shared" si="28"/>
        <v>876632.09499542555</v>
      </c>
      <c r="W151" s="585">
        <f t="shared" si="28"/>
        <v>876632.09499542555</v>
      </c>
      <c r="X151" s="585">
        <f t="shared" si="28"/>
        <v>876632.09499542555</v>
      </c>
      <c r="Y151" s="585">
        <f t="shared" si="28"/>
        <v>876632.09499542555</v>
      </c>
      <c r="Z151" s="585">
        <f t="shared" si="28"/>
        <v>876632.09499542555</v>
      </c>
      <c r="AA151" s="585">
        <f t="shared" si="28"/>
        <v>876632.09499542555</v>
      </c>
      <c r="AB151" s="585">
        <f t="shared" si="28"/>
        <v>876632.09499542555</v>
      </c>
      <c r="AC151" s="585">
        <f t="shared" si="28"/>
        <v>-600141.78156001493</v>
      </c>
      <c r="AD151" s="585">
        <f t="shared" si="28"/>
        <v>0</v>
      </c>
      <c r="AE151" s="585">
        <f t="shared" si="28"/>
        <v>0</v>
      </c>
      <c r="AF151" s="585">
        <f t="shared" si="28"/>
        <v>0</v>
      </c>
      <c r="AG151" s="585">
        <f t="shared" si="28"/>
        <v>0</v>
      </c>
      <c r="AH151" s="585">
        <f t="shared" si="28"/>
        <v>0</v>
      </c>
      <c r="AI151" s="585">
        <f t="shared" si="28"/>
        <v>0</v>
      </c>
      <c r="AJ151" s="585">
        <f t="shared" si="28"/>
        <v>0</v>
      </c>
      <c r="AK151" s="585">
        <f t="shared" si="28"/>
        <v>0</v>
      </c>
      <c r="AL151" s="585">
        <f t="shared" si="28"/>
        <v>0</v>
      </c>
      <c r="AM151" s="586">
        <f t="shared" si="28"/>
        <v>0</v>
      </c>
    </row>
    <row r="152" spans="1:39" s="497" customFormat="1" ht="12.95">
      <c r="B152" s="637" t="s">
        <v>467</v>
      </c>
      <c r="C152" s="609" t="s">
        <v>417</v>
      </c>
      <c r="D152" s="638">
        <f>D151+D130</f>
        <v>-9878509.2851666454</v>
      </c>
      <c r="E152" s="639">
        <f t="shared" ref="E152:AM152" si="29">E151+E130</f>
        <v>510705.35972101649</v>
      </c>
      <c r="F152" s="639">
        <f t="shared" si="29"/>
        <v>510705.35972101649</v>
      </c>
      <c r="G152" s="639">
        <f t="shared" si="29"/>
        <v>510705.35972101649</v>
      </c>
      <c r="H152" s="639">
        <f t="shared" si="29"/>
        <v>510705.35972101649</v>
      </c>
      <c r="I152" s="639">
        <f t="shared" si="29"/>
        <v>510705.35972101649</v>
      </c>
      <c r="J152" s="639">
        <f t="shared" si="29"/>
        <v>510705.35972101649</v>
      </c>
      <c r="K152" s="639">
        <f t="shared" si="29"/>
        <v>510705.35972101649</v>
      </c>
      <c r="L152" s="639">
        <f t="shared" si="29"/>
        <v>510705.35972101649</v>
      </c>
      <c r="M152" s="639">
        <f t="shared" si="29"/>
        <v>510705.35972101649</v>
      </c>
      <c r="N152" s="639">
        <f t="shared" si="29"/>
        <v>510705.35972101649</v>
      </c>
      <c r="O152" s="639">
        <f t="shared" si="29"/>
        <v>510705.35972101649</v>
      </c>
      <c r="P152" s="639">
        <f t="shared" si="29"/>
        <v>510705.35972101649</v>
      </c>
      <c r="Q152" s="639">
        <f t="shared" si="29"/>
        <v>510705.35972101649</v>
      </c>
      <c r="R152" s="639">
        <f t="shared" si="29"/>
        <v>510705.35972101649</v>
      </c>
      <c r="S152" s="639">
        <f t="shared" si="29"/>
        <v>510705.35972101649</v>
      </c>
      <c r="T152" s="639">
        <f t="shared" si="29"/>
        <v>510705.35972101649</v>
      </c>
      <c r="U152" s="639">
        <f t="shared" si="29"/>
        <v>510705.35972101649</v>
      </c>
      <c r="V152" s="639">
        <f t="shared" si="29"/>
        <v>510705.35972101649</v>
      </c>
      <c r="W152" s="639">
        <f t="shared" si="29"/>
        <v>510705.35972101649</v>
      </c>
      <c r="X152" s="639">
        <f t="shared" si="29"/>
        <v>510705.35972101649</v>
      </c>
      <c r="Y152" s="639">
        <f t="shared" si="29"/>
        <v>510705.35972101649</v>
      </c>
      <c r="Z152" s="639">
        <f t="shared" si="29"/>
        <v>510705.35972101649</v>
      </c>
      <c r="AA152" s="639">
        <f t="shared" si="29"/>
        <v>510705.35972101649</v>
      </c>
      <c r="AB152" s="639">
        <f t="shared" si="29"/>
        <v>510705.35972101649</v>
      </c>
      <c r="AC152" s="639">
        <f t="shared" si="29"/>
        <v>-609289.94994187518</v>
      </c>
      <c r="AD152" s="639">
        <f t="shared" si="29"/>
        <v>0</v>
      </c>
      <c r="AE152" s="639">
        <f t="shared" si="29"/>
        <v>0</v>
      </c>
      <c r="AF152" s="639">
        <f t="shared" si="29"/>
        <v>0</v>
      </c>
      <c r="AG152" s="639">
        <f t="shared" si="29"/>
        <v>0</v>
      </c>
      <c r="AH152" s="639">
        <f t="shared" si="29"/>
        <v>0</v>
      </c>
      <c r="AI152" s="639">
        <f t="shared" si="29"/>
        <v>0</v>
      </c>
      <c r="AJ152" s="639">
        <f t="shared" si="29"/>
        <v>0</v>
      </c>
      <c r="AK152" s="639">
        <f t="shared" si="29"/>
        <v>0</v>
      </c>
      <c r="AL152" s="639">
        <f t="shared" si="29"/>
        <v>0</v>
      </c>
      <c r="AM152" s="640">
        <f t="shared" si="29"/>
        <v>0</v>
      </c>
    </row>
    <row r="153" spans="1:39" s="502" customFormat="1" ht="12.95">
      <c r="A153" s="497"/>
      <c r="B153" s="561" t="s">
        <v>468</v>
      </c>
      <c r="C153" s="545" t="s">
        <v>331</v>
      </c>
      <c r="D153" s="603">
        <f>SUM(D149:AB149)</f>
        <v>36887775.733307369</v>
      </c>
      <c r="F153" s="373"/>
      <c r="G153" s="373"/>
      <c r="H153" s="373"/>
      <c r="I153" s="373"/>
      <c r="J153" s="373"/>
      <c r="K153" s="373"/>
      <c r="L153" s="373"/>
      <c r="M153" s="373"/>
      <c r="N153" s="373"/>
      <c r="O153" s="373"/>
      <c r="P153" s="373"/>
      <c r="Q153" s="373"/>
      <c r="R153" s="503"/>
      <c r="S153" s="373"/>
      <c r="T153" s="373"/>
      <c r="U153" s="373"/>
      <c r="V153" s="373"/>
      <c r="W153" s="373"/>
      <c r="X153" s="373"/>
      <c r="Y153" s="373"/>
      <c r="Z153" s="373"/>
      <c r="AA153" s="373"/>
      <c r="AB153" s="373"/>
      <c r="AC153" s="373"/>
      <c r="AD153" s="373"/>
      <c r="AE153" s="373"/>
      <c r="AF153" s="373"/>
      <c r="AG153" s="373"/>
      <c r="AH153" s="373"/>
      <c r="AI153" s="373"/>
      <c r="AJ153" s="373"/>
      <c r="AK153" s="373"/>
      <c r="AL153" s="373"/>
      <c r="AM153" s="373"/>
    </row>
    <row r="154" spans="1:39" s="502" customFormat="1" ht="12.95">
      <c r="A154" s="497"/>
      <c r="B154" s="561" t="s">
        <v>469</v>
      </c>
      <c r="C154" s="545" t="s">
        <v>331</v>
      </c>
      <c r="D154" s="603">
        <f>SUM(D151:AB151)</f>
        <v>11526587.729997983</v>
      </c>
      <c r="E154" s="373"/>
      <c r="F154" s="373"/>
      <c r="G154" s="373"/>
      <c r="H154" s="373"/>
      <c r="I154" s="373"/>
      <c r="J154" s="373"/>
      <c r="K154" s="373"/>
      <c r="L154" s="373"/>
      <c r="M154" s="373"/>
      <c r="N154" s="373"/>
      <c r="O154" s="373"/>
      <c r="P154" s="373"/>
      <c r="Q154" s="373"/>
      <c r="R154" s="503"/>
      <c r="S154" s="373"/>
      <c r="T154" s="373"/>
      <c r="U154" s="373"/>
      <c r="V154" s="373"/>
      <c r="W154" s="373"/>
      <c r="X154" s="373"/>
      <c r="Y154" s="373"/>
      <c r="Z154" s="373"/>
      <c r="AA154" s="373"/>
      <c r="AB154" s="373"/>
      <c r="AC154" s="373"/>
      <c r="AD154" s="373"/>
      <c r="AE154" s="373"/>
      <c r="AF154" s="373"/>
      <c r="AG154" s="373"/>
      <c r="AH154" s="373"/>
      <c r="AI154" s="373"/>
      <c r="AJ154" s="373"/>
      <c r="AK154" s="373"/>
      <c r="AL154" s="373"/>
      <c r="AM154" s="373"/>
    </row>
    <row r="155" spans="1:39" s="502" customFormat="1" ht="12.95">
      <c r="A155" s="497"/>
      <c r="B155" s="561" t="s">
        <v>470</v>
      </c>
      <c r="C155" s="545" t="s">
        <v>331</v>
      </c>
      <c r="D155" s="603">
        <f>SUM(D152:AB152)</f>
        <v>2378419.3481377475</v>
      </c>
      <c r="E155" s="373"/>
      <c r="F155" s="373"/>
      <c r="G155" s="373"/>
      <c r="H155" s="373"/>
      <c r="I155" s="373"/>
      <c r="J155" s="373"/>
      <c r="K155" s="373"/>
      <c r="L155" s="373"/>
      <c r="M155" s="373"/>
      <c r="N155" s="373"/>
      <c r="O155" s="373"/>
      <c r="P155" s="373"/>
      <c r="Q155" s="373"/>
      <c r="R155" s="503"/>
      <c r="S155" s="373"/>
      <c r="T155" s="373"/>
      <c r="U155" s="373"/>
      <c r="V155" s="373"/>
      <c r="W155" s="373"/>
      <c r="X155" s="373"/>
      <c r="Y155" s="373"/>
      <c r="Z155" s="373"/>
      <c r="AA155" s="373"/>
      <c r="AB155" s="373"/>
      <c r="AC155" s="373"/>
      <c r="AD155" s="373"/>
      <c r="AE155" s="373"/>
      <c r="AF155" s="373"/>
      <c r="AG155" s="373"/>
      <c r="AH155" s="373"/>
      <c r="AI155" s="373"/>
      <c r="AJ155" s="373"/>
      <c r="AK155" s="373"/>
      <c r="AL155" s="373"/>
      <c r="AM155" s="373"/>
    </row>
    <row r="157" spans="1:39">
      <c r="B157" s="564" t="s">
        <v>99</v>
      </c>
      <c r="C157" s="641">
        <f>IRR(D151:AB151)</f>
        <v>7.6414984994286561E-2</v>
      </c>
    </row>
    <row r="158" spans="1:39">
      <c r="B158" s="564" t="s">
        <v>100</v>
      </c>
      <c r="C158" s="641">
        <f>IRR(D152:AB152)</f>
        <v>1.8030084297979698E-2</v>
      </c>
    </row>
    <row r="159" spans="1:39">
      <c r="B159" s="878" t="s">
        <v>101</v>
      </c>
      <c r="C159" s="712" t="s">
        <v>102</v>
      </c>
      <c r="D159" s="625">
        <f>NPV(CostofCapImpDiscountRate,$D$151:$AB$151)</f>
        <v>9604114.6265318282</v>
      </c>
    </row>
    <row r="160" spans="1:39">
      <c r="B160" s="878"/>
      <c r="C160" s="713" t="s">
        <v>103</v>
      </c>
      <c r="D160" s="546">
        <f>NPV(SocialDiscountRate,$D$151:$AB$151)</f>
        <v>-2400537.0332142762</v>
      </c>
    </row>
    <row r="161" spans="2:4">
      <c r="B161" s="879"/>
      <c r="C161" s="714" t="s">
        <v>104</v>
      </c>
      <c r="D161" s="642">
        <f>NPV(PrvESCODiscountRate,$D$151:$AB$151)</f>
        <v>-4320465.296270512</v>
      </c>
    </row>
    <row r="162" spans="2:4">
      <c r="B162" s="877" t="s">
        <v>471</v>
      </c>
      <c r="C162" s="712" t="str">
        <f>C159</f>
        <v>Cost of Capital Imp Rate</v>
      </c>
      <c r="D162" s="625">
        <f>NPV(CostofCapImpDiscountRate,$D$152:$AB$152)</f>
        <v>1290714.6073839993</v>
      </c>
    </row>
    <row r="163" spans="2:4">
      <c r="B163" s="878"/>
      <c r="C163" s="713" t="str">
        <f>C160</f>
        <v xml:space="preserve">Social Discount </v>
      </c>
      <c r="D163" s="546">
        <f>NPV(SocialDiscountRate,$D$152:$AB$152)</f>
        <v>-5270551.3227950856</v>
      </c>
    </row>
    <row r="164" spans="2:4">
      <c r="B164" s="879"/>
      <c r="C164" s="714" t="str">
        <f>C161</f>
        <v>ESCO Discount Rate</v>
      </c>
      <c r="D164" s="642">
        <f>NPV(PrvESCODiscountRate,$D$152:$AB$152)</f>
        <v>-6130919.6619661329</v>
      </c>
    </row>
    <row r="167" spans="2:4">
      <c r="B167" s="475" t="s">
        <v>285</v>
      </c>
    </row>
    <row r="168" spans="2:4" ht="99.95">
      <c r="B168" s="707" t="s">
        <v>472</v>
      </c>
    </row>
    <row r="169" spans="2:4" ht="137.44999999999999">
      <c r="B169" s="707" t="s">
        <v>473</v>
      </c>
    </row>
    <row r="170" spans="2:4">
      <c r="B170" s="474" t="s">
        <v>474</v>
      </c>
    </row>
    <row r="172" spans="2:4">
      <c r="B172" t="s">
        <v>475</v>
      </c>
    </row>
  </sheetData>
  <mergeCells count="6">
    <mergeCell ref="B162:B164"/>
    <mergeCell ref="B33:D33"/>
    <mergeCell ref="B43:D43"/>
    <mergeCell ref="B51:D51"/>
    <mergeCell ref="B59:D59"/>
    <mergeCell ref="B159:B161"/>
  </mergeCells>
  <pageMargins left="0.75" right="0.75" top="1" bottom="1" header="0.5" footer="0.5"/>
  <pageSetup orientation="portrait" horizontalDpi="1200" verticalDpi="12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77DDC-310F-41B6-94B0-9918D04B50CE}">
  <sheetPr codeName="Sheet18">
    <tabColor rgb="FF00B050"/>
  </sheetPr>
  <dimension ref="A1:AD155"/>
  <sheetViews>
    <sheetView zoomScale="84" workbookViewId="0">
      <selection activeCell="E56" sqref="E56"/>
    </sheetView>
  </sheetViews>
  <sheetFormatPr defaultColWidth="9.28515625" defaultRowHeight="14.45"/>
  <cols>
    <col min="1" max="1" width="55.5703125" style="4" customWidth="1"/>
    <col min="2" max="2" width="22.140625" style="4" customWidth="1"/>
    <col min="3" max="3" width="15.42578125" style="4" customWidth="1"/>
    <col min="4" max="4" width="23.7109375" style="4" customWidth="1"/>
    <col min="5" max="5" width="19.5703125" style="4" customWidth="1"/>
    <col min="6" max="6" width="21.5703125" style="4" customWidth="1"/>
    <col min="7" max="7" width="18.42578125" style="4" customWidth="1"/>
    <col min="8" max="8" width="18.140625" style="4" customWidth="1"/>
    <col min="9" max="9" width="17.28515625" style="4" customWidth="1"/>
    <col min="10" max="10" width="19.85546875" style="4" customWidth="1"/>
    <col min="11" max="11" width="21.42578125" style="4" customWidth="1"/>
    <col min="12" max="12" width="21" style="4" customWidth="1"/>
    <col min="13" max="13" width="20.5703125" style="4" customWidth="1"/>
    <col min="14" max="14" width="17.5703125" style="4" customWidth="1"/>
    <col min="15" max="15" width="19.5703125" style="4" customWidth="1"/>
    <col min="16" max="16" width="22.28515625" style="4" customWidth="1"/>
    <col min="17" max="17" width="18.85546875" style="4" customWidth="1"/>
    <col min="18" max="18" width="17.140625" style="4" customWidth="1"/>
    <col min="19" max="19" width="19.28515625" style="4" customWidth="1"/>
    <col min="20" max="20" width="21" style="4" customWidth="1"/>
    <col min="21" max="21" width="16.85546875" style="4" customWidth="1"/>
    <col min="22" max="22" width="19.42578125" style="4" customWidth="1"/>
    <col min="23" max="23" width="19.140625" style="4" customWidth="1"/>
    <col min="24" max="24" width="17.140625" style="4" customWidth="1"/>
    <col min="25" max="25" width="19.5703125" style="4" customWidth="1"/>
    <col min="26" max="27" width="21.28515625" style="4" customWidth="1"/>
    <col min="28" max="28" width="18.85546875" style="4" customWidth="1"/>
    <col min="29" max="16384" width="9.28515625" style="4"/>
  </cols>
  <sheetData>
    <row r="1" spans="1:14">
      <c r="A1" s="5"/>
    </row>
    <row r="2" spans="1:14" ht="26.1">
      <c r="A2" s="9" t="s">
        <v>140</v>
      </c>
    </row>
    <row r="3" spans="1:14" s="34" customFormat="1" ht="77.099999999999994" customHeight="1">
      <c r="A3" s="876" t="s">
        <v>131</v>
      </c>
      <c r="B3" s="36" t="s">
        <v>141</v>
      </c>
      <c r="C3" s="37" t="s">
        <v>142</v>
      </c>
      <c r="D3" s="37" t="s">
        <v>143</v>
      </c>
      <c r="E3" s="37" t="s">
        <v>86</v>
      </c>
      <c r="F3" s="37" t="s">
        <v>144</v>
      </c>
      <c r="G3" s="36" t="s">
        <v>145</v>
      </c>
      <c r="H3" s="48" t="s">
        <v>146</v>
      </c>
      <c r="I3" s="36" t="s">
        <v>147</v>
      </c>
      <c r="J3" s="36" t="s">
        <v>148</v>
      </c>
      <c r="K3" s="35"/>
      <c r="L3" s="35"/>
      <c r="M3" s="35"/>
      <c r="N3" s="35"/>
    </row>
    <row r="4" spans="1:14">
      <c r="A4" s="876"/>
      <c r="B4" s="39" t="s">
        <v>149</v>
      </c>
      <c r="C4" s="39" t="s">
        <v>150</v>
      </c>
      <c r="D4" s="39" t="s">
        <v>151</v>
      </c>
      <c r="E4" s="40" t="s">
        <v>152</v>
      </c>
      <c r="F4" s="40" t="s">
        <v>153</v>
      </c>
      <c r="G4" s="40" t="s">
        <v>154</v>
      </c>
      <c r="H4" s="41" t="s">
        <v>155</v>
      </c>
      <c r="I4" s="41" t="s">
        <v>155</v>
      </c>
      <c r="J4" s="41" t="s">
        <v>155</v>
      </c>
      <c r="K4" s="6"/>
      <c r="L4" s="6"/>
      <c r="M4" s="6"/>
      <c r="N4" s="6"/>
    </row>
    <row r="5" spans="1:14">
      <c r="A5" s="36" t="s">
        <v>135</v>
      </c>
      <c r="B5" s="38">
        <f>'Assump&amp;Est_Ethiopia'!D16</f>
        <v>9057341.9731949996</v>
      </c>
      <c r="C5" s="38">
        <f t="shared" ref="C5:C11" si="0">+B5*0.94</f>
        <v>8513901.4548032992</v>
      </c>
      <c r="D5" s="38">
        <v>0.65</v>
      </c>
      <c r="E5" s="38">
        <f>C5*D5</f>
        <v>5534035.9456221443</v>
      </c>
      <c r="F5" s="38">
        <f>E5*0.67</f>
        <v>3707804.083566837</v>
      </c>
      <c r="G5" s="38">
        <f>F5/1000</f>
        <v>3707.8040835668371</v>
      </c>
      <c r="H5" s="42">
        <f>+G5*25</f>
        <v>92695.102089170934</v>
      </c>
      <c r="I5" s="42">
        <f>+G5*(44/16)</f>
        <v>10196.461229808801</v>
      </c>
      <c r="J5" s="42">
        <f>H5-I5</f>
        <v>82498.640859362131</v>
      </c>
      <c r="K5" s="6"/>
      <c r="L5" s="6"/>
      <c r="M5" s="6"/>
      <c r="N5" s="6"/>
    </row>
    <row r="6" spans="1:14">
      <c r="A6" s="36" t="s">
        <v>156</v>
      </c>
      <c r="B6" s="38">
        <f>'Assump&amp;Est_Ethiopia'!D17</f>
        <v>9963097.7210999988</v>
      </c>
      <c r="C6" s="38">
        <f t="shared" si="0"/>
        <v>9365311.8578339983</v>
      </c>
      <c r="D6" s="38">
        <v>0.65</v>
      </c>
      <c r="E6" s="38">
        <f>C6*D6</f>
        <v>6087452.707592099</v>
      </c>
      <c r="F6" s="38">
        <f t="shared" ref="F6:F11" si="1">E6*0.67</f>
        <v>4078593.3140867064</v>
      </c>
      <c r="G6" s="38">
        <f t="shared" ref="G6:G11" si="2">F6/1000</f>
        <v>4078.5933140867064</v>
      </c>
      <c r="H6" s="42">
        <f t="shared" ref="H6:H11" si="3">+G6*25</f>
        <v>101964.83285216766</v>
      </c>
      <c r="I6" s="42">
        <f t="shared" ref="I6:I11" si="4">+G6*(44/16)</f>
        <v>11216.131613738442</v>
      </c>
      <c r="J6" s="42">
        <f t="shared" ref="J6:J11" si="5">H6-I6</f>
        <v>90748.701238429217</v>
      </c>
      <c r="K6" s="6"/>
      <c r="L6" s="6"/>
      <c r="M6" s="6"/>
      <c r="N6" s="6"/>
    </row>
    <row r="7" spans="1:14">
      <c r="A7" s="36" t="s">
        <v>157</v>
      </c>
      <c r="B7" s="38">
        <f>'Assump&amp;Est_Ethiopia'!D18</f>
        <v>0</v>
      </c>
      <c r="C7" s="38">
        <f t="shared" si="0"/>
        <v>0</v>
      </c>
      <c r="D7" s="38">
        <v>0.65</v>
      </c>
      <c r="E7" s="38">
        <f>C7*D7</f>
        <v>0</v>
      </c>
      <c r="F7" s="38">
        <f t="shared" si="1"/>
        <v>0</v>
      </c>
      <c r="G7" s="38">
        <f t="shared" si="2"/>
        <v>0</v>
      </c>
      <c r="H7" s="42">
        <f t="shared" si="3"/>
        <v>0</v>
      </c>
      <c r="I7" s="42">
        <f t="shared" si="4"/>
        <v>0</v>
      </c>
      <c r="J7" s="42">
        <f t="shared" si="5"/>
        <v>0</v>
      </c>
      <c r="K7" s="6"/>
      <c r="L7" s="6"/>
      <c r="M7" s="6"/>
      <c r="N7" s="6"/>
    </row>
    <row r="8" spans="1:14">
      <c r="A8" s="36" t="s">
        <v>158</v>
      </c>
      <c r="B8" s="38">
        <f>'Assump&amp;Est_Ethiopia'!D19</f>
        <v>154922.23921500001</v>
      </c>
      <c r="C8" s="38">
        <f t="shared" si="0"/>
        <v>145626.9048621</v>
      </c>
      <c r="D8" s="38">
        <v>0.65</v>
      </c>
      <c r="E8" s="38">
        <f t="shared" ref="E8:E11" si="6">C8*D8</f>
        <v>94657.488160364999</v>
      </c>
      <c r="F8" s="38">
        <f t="shared" si="1"/>
        <v>63420.517067444554</v>
      </c>
      <c r="G8" s="38">
        <f t="shared" si="2"/>
        <v>63.420517067444557</v>
      </c>
      <c r="H8" s="42">
        <f t="shared" si="3"/>
        <v>1585.5129266861138</v>
      </c>
      <c r="I8" s="42">
        <f t="shared" si="4"/>
        <v>174.40642193547254</v>
      </c>
      <c r="J8" s="42">
        <f t="shared" si="5"/>
        <v>1411.1065047506413</v>
      </c>
      <c r="K8" s="6"/>
      <c r="L8" s="6"/>
      <c r="M8" s="6"/>
      <c r="N8" s="6"/>
    </row>
    <row r="9" spans="1:14">
      <c r="A9" s="36" t="s">
        <v>126</v>
      </c>
      <c r="B9" s="38">
        <f>'Assump&amp;Est_Ethiopia'!D20</f>
        <v>0</v>
      </c>
      <c r="C9" s="38">
        <f t="shared" si="0"/>
        <v>0</v>
      </c>
      <c r="D9" s="38">
        <v>0.71</v>
      </c>
      <c r="E9" s="38">
        <f t="shared" si="6"/>
        <v>0</v>
      </c>
      <c r="F9" s="38">
        <f t="shared" si="1"/>
        <v>0</v>
      </c>
      <c r="G9" s="38">
        <f t="shared" si="2"/>
        <v>0</v>
      </c>
      <c r="H9" s="42">
        <f t="shared" si="3"/>
        <v>0</v>
      </c>
      <c r="I9" s="42">
        <f>+G9*(44/16)</f>
        <v>0</v>
      </c>
      <c r="J9" s="42">
        <f t="shared" si="5"/>
        <v>0</v>
      </c>
      <c r="K9" s="6"/>
      <c r="L9" s="6"/>
      <c r="M9" s="6"/>
      <c r="N9" s="6"/>
    </row>
    <row r="10" spans="1:14">
      <c r="A10" s="36" t="s">
        <v>159</v>
      </c>
      <c r="B10" s="38">
        <f>+'Assump&amp;Est_Ethiopia'!D21+'Assump&amp;Est_Togo'!D21+'Assump&amp;Est_Senegal'!D21+'Assump&amp;Est_Guinea'!D21</f>
        <v>0</v>
      </c>
      <c r="C10" s="38">
        <f t="shared" si="0"/>
        <v>0</v>
      </c>
      <c r="D10" s="38">
        <f>+(0.7+0.63)/2</f>
        <v>0.66500000000000004</v>
      </c>
      <c r="E10" s="38">
        <f t="shared" si="6"/>
        <v>0</v>
      </c>
      <c r="F10" s="38">
        <f t="shared" si="1"/>
        <v>0</v>
      </c>
      <c r="G10" s="38">
        <f t="shared" si="2"/>
        <v>0</v>
      </c>
      <c r="H10" s="42">
        <f>+G10*25</f>
        <v>0</v>
      </c>
      <c r="I10" s="42">
        <f t="shared" si="4"/>
        <v>0</v>
      </c>
      <c r="J10" s="42">
        <f t="shared" si="5"/>
        <v>0</v>
      </c>
      <c r="K10" s="6"/>
      <c r="L10" s="6"/>
      <c r="M10" s="6"/>
      <c r="N10" s="6"/>
    </row>
    <row r="11" spans="1:14">
      <c r="A11" s="36" t="s">
        <v>160</v>
      </c>
      <c r="B11" s="38">
        <f>'Assump&amp;Est_Ethiopia'!D22</f>
        <v>0</v>
      </c>
      <c r="C11" s="38">
        <f t="shared" si="0"/>
        <v>0</v>
      </c>
      <c r="D11" s="38">
        <v>0.65</v>
      </c>
      <c r="E11" s="38">
        <f t="shared" si="6"/>
        <v>0</v>
      </c>
      <c r="F11" s="38">
        <f t="shared" si="1"/>
        <v>0</v>
      </c>
      <c r="G11" s="38">
        <f t="shared" si="2"/>
        <v>0</v>
      </c>
      <c r="H11" s="42">
        <f t="shared" si="3"/>
        <v>0</v>
      </c>
      <c r="I11" s="42">
        <f t="shared" si="4"/>
        <v>0</v>
      </c>
      <c r="J11" s="42">
        <f t="shared" si="5"/>
        <v>0</v>
      </c>
      <c r="K11" s="6"/>
      <c r="L11" s="6"/>
      <c r="M11" s="6"/>
      <c r="N11" s="6"/>
    </row>
    <row r="12" spans="1:14">
      <c r="A12" s="36" t="s">
        <v>12</v>
      </c>
      <c r="B12" s="43">
        <f>SUM(B5:B11)</f>
        <v>19175361.933509998</v>
      </c>
      <c r="C12" s="43">
        <f>SUM(C5:C11)</f>
        <v>18024840.217499398</v>
      </c>
      <c r="D12" s="43"/>
      <c r="E12" s="45">
        <f t="shared" ref="E12:J12" si="7">SUM(E5:E11)</f>
        <v>11716146.141374607</v>
      </c>
      <c r="F12" s="43">
        <f t="shared" si="7"/>
        <v>7849817.9147209879</v>
      </c>
      <c r="G12" s="43">
        <f t="shared" si="7"/>
        <v>7849.8179147209885</v>
      </c>
      <c r="H12" s="44">
        <f t="shared" si="7"/>
        <v>196245.44786802473</v>
      </c>
      <c r="I12" s="44">
        <f t="shared" si="7"/>
        <v>21586.999265482718</v>
      </c>
      <c r="J12" s="46">
        <f t="shared" si="7"/>
        <v>174658.44860254199</v>
      </c>
      <c r="K12" s="6"/>
      <c r="L12" s="6"/>
      <c r="M12" s="6"/>
      <c r="N12" s="6"/>
    </row>
    <row r="13" spans="1:14">
      <c r="A13" s="7"/>
      <c r="B13" s="653"/>
      <c r="C13" s="653"/>
      <c r="D13" s="653"/>
      <c r="E13" s="654"/>
      <c r="F13" s="653"/>
      <c r="G13" s="653"/>
      <c r="H13" s="655"/>
      <c r="I13" s="655"/>
      <c r="J13" s="656"/>
      <c r="K13" s="6"/>
      <c r="L13" s="6"/>
      <c r="M13" s="6"/>
      <c r="N13" s="6"/>
    </row>
    <row r="14" spans="1:14">
      <c r="A14" s="9" t="s">
        <v>161</v>
      </c>
      <c r="B14" s="657" t="s">
        <v>162</v>
      </c>
      <c r="C14" s="657" t="s">
        <v>163</v>
      </c>
      <c r="D14" s="653"/>
      <c r="E14" s="654"/>
      <c r="F14" s="653"/>
      <c r="G14" s="653"/>
      <c r="H14" s="655"/>
      <c r="I14" s="655"/>
      <c r="J14" s="656"/>
      <c r="K14" s="6"/>
      <c r="L14" s="6"/>
      <c r="M14" s="6"/>
      <c r="N14" s="6"/>
    </row>
    <row r="15" spans="1:14">
      <c r="A15" s="7" t="s">
        <v>164</v>
      </c>
      <c r="B15" s="653">
        <v>0.65</v>
      </c>
      <c r="C15" s="653" t="s">
        <v>165</v>
      </c>
      <c r="D15" s="653"/>
      <c r="E15" s="654"/>
      <c r="F15" s="653"/>
      <c r="G15" s="653"/>
      <c r="H15" s="655"/>
      <c r="I15" s="655"/>
      <c r="J15" s="656"/>
      <c r="K15" s="6"/>
      <c r="L15" s="6"/>
      <c r="M15" s="6"/>
      <c r="N15" s="6"/>
    </row>
    <row r="16" spans="1:14">
      <c r="A16" s="7" t="s">
        <v>166</v>
      </c>
      <c r="B16" s="653">
        <v>34</v>
      </c>
      <c r="C16" s="653" t="s">
        <v>167</v>
      </c>
      <c r="D16" s="653"/>
      <c r="E16" s="654"/>
      <c r="F16" s="653"/>
      <c r="G16" s="653"/>
      <c r="H16" s="655"/>
      <c r="I16" s="655"/>
      <c r="J16" s="656"/>
      <c r="K16" s="6"/>
      <c r="L16" s="6"/>
      <c r="M16" s="6"/>
      <c r="N16" s="6"/>
    </row>
    <row r="17" spans="1:14">
      <c r="A17" s="7" t="s">
        <v>168</v>
      </c>
      <c r="B17" s="653">
        <v>21</v>
      </c>
      <c r="C17" s="653" t="s">
        <v>169</v>
      </c>
      <c r="D17" s="653"/>
      <c r="E17" s="654"/>
      <c r="F17" s="653"/>
      <c r="G17" s="653"/>
      <c r="H17" s="655"/>
      <c r="I17" s="655"/>
      <c r="J17" s="656"/>
      <c r="K17" s="6"/>
      <c r="L17" s="6"/>
      <c r="M17" s="6"/>
      <c r="N17" s="6"/>
    </row>
    <row r="18" spans="1:14">
      <c r="A18" s="7" t="s">
        <v>170</v>
      </c>
      <c r="B18" s="653">
        <v>6</v>
      </c>
      <c r="C18" s="659" t="s">
        <v>171</v>
      </c>
      <c r="D18" s="653"/>
      <c r="E18" s="654"/>
      <c r="F18" s="653"/>
      <c r="G18" s="653"/>
      <c r="H18" s="655"/>
      <c r="I18" s="655"/>
      <c r="J18" s="656"/>
      <c r="K18" s="6"/>
      <c r="L18" s="6"/>
      <c r="M18" s="6"/>
      <c r="N18" s="6"/>
    </row>
    <row r="19" spans="1:14">
      <c r="A19" s="7" t="s">
        <v>172</v>
      </c>
      <c r="B19" s="653">
        <v>8060</v>
      </c>
      <c r="C19" s="653" t="s">
        <v>165</v>
      </c>
      <c r="D19" s="653"/>
      <c r="E19" s="654"/>
      <c r="F19" s="653"/>
      <c r="G19" s="653"/>
      <c r="H19" s="655"/>
      <c r="I19" s="655"/>
      <c r="J19" s="656"/>
      <c r="K19" s="6"/>
      <c r="L19" s="6"/>
      <c r="M19" s="6"/>
      <c r="N19" s="6"/>
    </row>
    <row r="20" spans="1:14">
      <c r="A20" s="7" t="s">
        <v>173</v>
      </c>
      <c r="B20" s="653">
        <v>16</v>
      </c>
      <c r="C20" s="653" t="s">
        <v>174</v>
      </c>
      <c r="D20" s="653"/>
      <c r="E20" s="654"/>
      <c r="F20" s="653"/>
      <c r="G20" s="653"/>
      <c r="H20" s="655"/>
      <c r="I20" s="655"/>
      <c r="J20" s="656"/>
      <c r="K20" s="6"/>
      <c r="L20" s="6"/>
      <c r="M20" s="6"/>
      <c r="N20" s="6"/>
    </row>
    <row r="21" spans="1:14">
      <c r="A21" s="7" t="s">
        <v>175</v>
      </c>
      <c r="B21" s="653">
        <v>43</v>
      </c>
      <c r="C21" s="653" t="s">
        <v>174</v>
      </c>
      <c r="D21" s="653"/>
      <c r="E21" s="654"/>
      <c r="F21" s="653"/>
      <c r="G21" s="653"/>
      <c r="H21" s="655"/>
      <c r="I21" s="655"/>
      <c r="J21" s="656"/>
      <c r="K21" s="6"/>
      <c r="L21" s="6"/>
      <c r="M21" s="6"/>
      <c r="N21" s="6"/>
    </row>
    <row r="22" spans="1:14">
      <c r="A22" s="7" t="s">
        <v>176</v>
      </c>
      <c r="B22" s="661">
        <v>0.6</v>
      </c>
      <c r="C22" s="653" t="s">
        <v>174</v>
      </c>
      <c r="D22" s="653"/>
      <c r="E22" s="654"/>
      <c r="F22" s="653"/>
      <c r="G22" s="653"/>
      <c r="H22" s="655"/>
      <c r="I22" s="655"/>
      <c r="J22" s="656"/>
      <c r="K22" s="6"/>
      <c r="L22" s="6"/>
      <c r="M22" s="6"/>
      <c r="N22" s="6"/>
    </row>
    <row r="23" spans="1:14">
      <c r="A23" s="7" t="s">
        <v>177</v>
      </c>
      <c r="B23" s="661">
        <v>0.06</v>
      </c>
      <c r="C23" s="653" t="s">
        <v>174</v>
      </c>
      <c r="D23" s="653"/>
      <c r="E23" s="654"/>
      <c r="F23" s="653"/>
      <c r="G23" s="653"/>
      <c r="H23" s="655"/>
      <c r="I23" s="655"/>
      <c r="J23" s="656"/>
      <c r="K23" s="6"/>
      <c r="L23" s="6"/>
      <c r="M23" s="6"/>
      <c r="N23" s="6"/>
    </row>
    <row r="24" spans="1:14">
      <c r="A24" s="7" t="s">
        <v>178</v>
      </c>
      <c r="B24" s="661">
        <v>0.15</v>
      </c>
      <c r="C24" s="653" t="s">
        <v>174</v>
      </c>
      <c r="D24" s="653"/>
      <c r="E24" s="654"/>
      <c r="F24" s="653"/>
      <c r="G24" s="653"/>
      <c r="H24" s="655"/>
      <c r="I24" s="655"/>
      <c r="J24" s="656"/>
      <c r="K24" s="6"/>
      <c r="L24" s="6"/>
      <c r="M24" s="6"/>
      <c r="N24" s="6"/>
    </row>
    <row r="25" spans="1:14">
      <c r="A25" s="7" t="s">
        <v>179</v>
      </c>
      <c r="B25" s="661">
        <v>0.8</v>
      </c>
      <c r="C25" s="653" t="s">
        <v>174</v>
      </c>
      <c r="D25" s="653"/>
      <c r="E25" s="654"/>
      <c r="F25" s="653"/>
      <c r="G25" s="653"/>
      <c r="H25" s="655"/>
      <c r="I25" s="655"/>
      <c r="J25" s="656"/>
      <c r="K25" s="6"/>
      <c r="L25" s="6"/>
      <c r="M25" s="6"/>
      <c r="N25" s="6"/>
    </row>
    <row r="26" spans="1:14">
      <c r="A26" s="7" t="s">
        <v>180</v>
      </c>
      <c r="B26" s="661">
        <v>0.54963053796718997</v>
      </c>
      <c r="C26" s="653" t="s">
        <v>174</v>
      </c>
      <c r="D26" s="653"/>
      <c r="E26" s="654"/>
      <c r="F26" s="653"/>
      <c r="G26" s="653"/>
      <c r="H26" s="655"/>
      <c r="I26" s="655"/>
      <c r="J26" s="656"/>
      <c r="K26" s="6"/>
      <c r="L26" s="6"/>
      <c r="M26" s="6"/>
      <c r="N26" s="6"/>
    </row>
    <row r="27" spans="1:14">
      <c r="A27" s="5" t="s">
        <v>181</v>
      </c>
      <c r="B27" s="845">
        <v>0.3</v>
      </c>
      <c r="C27" s="846" t="s">
        <v>182</v>
      </c>
      <c r="D27" s="13"/>
      <c r="E27" s="13"/>
      <c r="F27" s="13"/>
      <c r="H27" s="6"/>
      <c r="I27" s="6"/>
      <c r="J27" s="6"/>
      <c r="K27" s="6"/>
      <c r="L27" s="6"/>
      <c r="M27" s="6"/>
      <c r="N27" s="6"/>
    </row>
    <row r="28" spans="1:14">
      <c r="A28" s="5" t="s">
        <v>183</v>
      </c>
      <c r="B28" s="847">
        <v>300</v>
      </c>
      <c r="C28" s="846" t="s">
        <v>184</v>
      </c>
      <c r="D28" s="13"/>
      <c r="E28" s="13"/>
      <c r="F28" s="13"/>
      <c r="H28" s="6"/>
      <c r="I28" s="6"/>
      <c r="J28" s="6"/>
      <c r="K28" s="6"/>
      <c r="L28" s="6"/>
      <c r="M28" s="6"/>
      <c r="N28" s="6"/>
    </row>
    <row r="29" spans="1:14">
      <c r="A29" s="5" t="s">
        <v>185</v>
      </c>
      <c r="B29" s="847">
        <v>0.22</v>
      </c>
      <c r="C29" s="846" t="s">
        <v>186</v>
      </c>
      <c r="D29" s="13"/>
      <c r="E29" s="13"/>
      <c r="F29" s="13"/>
      <c r="H29" s="6"/>
      <c r="I29" s="6"/>
      <c r="J29" s="6"/>
      <c r="K29" s="6"/>
      <c r="L29" s="6"/>
      <c r="M29" s="6"/>
      <c r="N29" s="6"/>
    </row>
    <row r="30" spans="1:14">
      <c r="A30" s="7" t="s">
        <v>187</v>
      </c>
      <c r="B30" s="662">
        <v>1.6</v>
      </c>
      <c r="C30" s="653" t="s">
        <v>188</v>
      </c>
      <c r="D30" s="653"/>
      <c r="E30" s="654"/>
      <c r="F30" s="653"/>
      <c r="G30" s="653"/>
      <c r="H30" s="655"/>
      <c r="I30" s="655"/>
      <c r="J30" s="656"/>
      <c r="K30" s="6"/>
      <c r="L30" s="6"/>
      <c r="M30" s="6"/>
      <c r="N30" s="6"/>
    </row>
    <row r="31" spans="1:14">
      <c r="A31" s="7" t="s">
        <v>189</v>
      </c>
      <c r="B31" s="662">
        <v>1</v>
      </c>
      <c r="C31" s="653" t="s">
        <v>174</v>
      </c>
      <c r="D31" s="653"/>
      <c r="E31" s="654"/>
      <c r="F31" s="653"/>
      <c r="G31" s="653"/>
      <c r="H31" s="655"/>
      <c r="I31" s="655"/>
      <c r="J31" s="656"/>
      <c r="K31" s="6"/>
      <c r="L31" s="6"/>
      <c r="M31" s="6"/>
      <c r="N31" s="6"/>
    </row>
    <row r="32" spans="1:14" ht="19.5" customHeight="1">
      <c r="A32" s="7" t="s">
        <v>190</v>
      </c>
      <c r="B32" s="663">
        <v>278</v>
      </c>
      <c r="C32" s="653" t="s">
        <v>191</v>
      </c>
      <c r="D32" s="653"/>
      <c r="E32" s="654"/>
      <c r="F32" s="653"/>
      <c r="G32" s="653"/>
      <c r="H32" s="655"/>
      <c r="I32" s="655"/>
      <c r="J32" s="656"/>
      <c r="K32" s="6"/>
      <c r="L32" s="6"/>
      <c r="M32" s="6"/>
      <c r="N32" s="6"/>
    </row>
    <row r="33" spans="1:14">
      <c r="A33" s="7" t="s">
        <v>192</v>
      </c>
      <c r="B33" s="663">
        <v>0.25</v>
      </c>
      <c r="C33" s="653" t="s">
        <v>174</v>
      </c>
      <c r="D33" s="653"/>
      <c r="E33" s="654"/>
      <c r="F33" s="653"/>
      <c r="G33" s="653"/>
      <c r="H33" s="655"/>
      <c r="I33" s="655"/>
      <c r="J33" s="656"/>
      <c r="K33" s="6"/>
      <c r="L33" s="6"/>
      <c r="M33" s="6"/>
      <c r="N33" s="6"/>
    </row>
    <row r="34" spans="1:14">
      <c r="A34" s="7" t="s">
        <v>193</v>
      </c>
      <c r="B34" s="687">
        <v>2.0000000000000001E-4</v>
      </c>
      <c r="C34" s="653" t="s">
        <v>194</v>
      </c>
      <c r="D34" s="653"/>
      <c r="E34" s="654"/>
      <c r="F34" s="653"/>
      <c r="G34" s="653"/>
      <c r="H34" s="655"/>
      <c r="I34" s="655"/>
      <c r="J34" s="656"/>
      <c r="K34" s="6"/>
      <c r="L34" s="6"/>
      <c r="M34" s="6"/>
      <c r="N34" s="6"/>
    </row>
    <row r="35" spans="1:14">
      <c r="A35" s="7" t="s">
        <v>195</v>
      </c>
      <c r="B35" s="653">
        <v>0.1</v>
      </c>
      <c r="C35" s="653"/>
      <c r="D35" s="653"/>
      <c r="E35" s="654"/>
      <c r="F35" s="653"/>
      <c r="G35" s="653"/>
      <c r="H35" s="655"/>
      <c r="I35" s="655"/>
      <c r="J35" s="656"/>
      <c r="K35" s="6"/>
      <c r="L35" s="6"/>
      <c r="M35" s="6"/>
      <c r="N35" s="6"/>
    </row>
    <row r="36" spans="1:14" ht="17.45" customHeight="1">
      <c r="A36" s="7" t="s">
        <v>196</v>
      </c>
      <c r="B36" s="653">
        <v>0.1</v>
      </c>
      <c r="C36" s="653"/>
      <c r="D36" s="653"/>
      <c r="E36" s="654"/>
      <c r="F36" s="653"/>
      <c r="G36" s="653"/>
      <c r="H36" s="655"/>
      <c r="I36" s="655"/>
      <c r="J36" s="656"/>
      <c r="K36" s="6"/>
      <c r="L36" s="6"/>
      <c r="M36" s="6"/>
      <c r="N36" s="6"/>
    </row>
    <row r="37" spans="1:14">
      <c r="A37" s="7" t="s">
        <v>197</v>
      </c>
      <c r="B37" s="653">
        <v>0.01</v>
      </c>
      <c r="C37" s="653"/>
      <c r="D37" s="653"/>
      <c r="E37" s="654"/>
      <c r="F37" s="653"/>
      <c r="G37" s="653"/>
      <c r="H37" s="655"/>
      <c r="I37" s="655"/>
      <c r="J37" s="656"/>
      <c r="K37" s="6"/>
      <c r="L37" s="6"/>
      <c r="M37" s="6"/>
      <c r="N37" s="6"/>
    </row>
    <row r="38" spans="1:14">
      <c r="A38" s="7" t="s">
        <v>198</v>
      </c>
      <c r="B38" s="653">
        <v>852.11300000000006</v>
      </c>
      <c r="C38" s="653"/>
      <c r="D38" s="653"/>
      <c r="E38" s="654"/>
      <c r="F38" s="653"/>
      <c r="H38" s="655"/>
      <c r="I38" s="655"/>
      <c r="J38" s="656"/>
      <c r="K38" s="6"/>
      <c r="L38" s="6"/>
      <c r="M38" s="6"/>
      <c r="N38" s="6"/>
    </row>
    <row r="39" spans="1:14">
      <c r="A39" s="7" t="s">
        <v>199</v>
      </c>
      <c r="B39" s="672">
        <v>1.1739999999999999E-3</v>
      </c>
      <c r="C39" s="653"/>
      <c r="D39" s="653"/>
      <c r="E39" s="654"/>
      <c r="F39" s="653"/>
      <c r="H39" s="655"/>
      <c r="I39" s="655"/>
      <c r="J39" s="656"/>
      <c r="K39" s="6"/>
      <c r="L39" s="6"/>
      <c r="M39" s="6"/>
      <c r="N39" s="6"/>
    </row>
    <row r="40" spans="1:14">
      <c r="A40" s="7" t="s">
        <v>200</v>
      </c>
      <c r="B40" s="672">
        <v>1E-3</v>
      </c>
      <c r="C40" s="653"/>
      <c r="D40" s="653"/>
      <c r="E40" s="654"/>
      <c r="F40" s="653"/>
      <c r="H40" s="655"/>
      <c r="I40" s="655"/>
      <c r="J40" s="656"/>
      <c r="K40" s="6"/>
      <c r="L40" s="6"/>
      <c r="M40" s="6"/>
      <c r="N40" s="6"/>
    </row>
    <row r="41" spans="1:14">
      <c r="A41" s="7" t="s">
        <v>201</v>
      </c>
      <c r="B41" s="671">
        <v>2.8319999999999999</v>
      </c>
      <c r="C41" s="653"/>
      <c r="D41" s="653"/>
      <c r="E41" s="654"/>
      <c r="F41" s="653"/>
      <c r="H41" s="655"/>
      <c r="I41" s="655"/>
      <c r="J41" s="656"/>
      <c r="K41" s="6"/>
      <c r="L41" s="6"/>
      <c r="M41" s="6"/>
      <c r="N41" s="6"/>
    </row>
    <row r="42" spans="1:14">
      <c r="A42" s="7" t="s">
        <v>202</v>
      </c>
      <c r="B42" s="671">
        <v>1000000</v>
      </c>
      <c r="C42" s="653"/>
      <c r="D42" s="653"/>
      <c r="E42" s="654"/>
      <c r="F42" s="653"/>
      <c r="H42" s="655"/>
      <c r="I42" s="655"/>
      <c r="J42" s="656"/>
      <c r="K42" s="6"/>
      <c r="L42" s="6"/>
      <c r="M42" s="6"/>
      <c r="N42" s="6"/>
    </row>
    <row r="43" spans="1:14">
      <c r="A43" s="7" t="s">
        <v>203</v>
      </c>
      <c r="B43" s="671">
        <v>3.6</v>
      </c>
      <c r="C43" s="653"/>
      <c r="D43" s="653"/>
      <c r="E43" s="654"/>
      <c r="F43" s="653"/>
      <c r="H43" s="655"/>
      <c r="I43" s="655"/>
      <c r="J43" s="656"/>
      <c r="K43" s="6"/>
      <c r="L43" s="6"/>
      <c r="M43" s="6"/>
      <c r="N43" s="6"/>
    </row>
    <row r="44" spans="1:14">
      <c r="A44" s="7" t="s">
        <v>204</v>
      </c>
      <c r="B44" s="671">
        <v>1000</v>
      </c>
      <c r="C44" s="653"/>
      <c r="D44" s="653"/>
      <c r="E44" s="654"/>
      <c r="F44" s="653"/>
      <c r="H44" s="655"/>
      <c r="I44" s="655"/>
      <c r="J44" s="656"/>
      <c r="K44" s="6"/>
      <c r="L44" s="6"/>
      <c r="M44" s="6"/>
      <c r="N44" s="6"/>
    </row>
    <row r="45" spans="1:14">
      <c r="A45" s="7" t="s">
        <v>205</v>
      </c>
      <c r="B45" s="671">
        <v>3.6</v>
      </c>
      <c r="C45" s="653"/>
      <c r="D45" s="653"/>
      <c r="E45" s="654"/>
      <c r="F45" s="653"/>
      <c r="H45" s="655"/>
      <c r="I45" s="655"/>
      <c r="J45" s="656"/>
      <c r="K45" s="6"/>
      <c r="L45" s="6"/>
      <c r="M45" s="6"/>
      <c r="N45" s="6"/>
    </row>
    <row r="46" spans="1:14">
      <c r="A46" s="7" t="s">
        <v>206</v>
      </c>
      <c r="B46" s="671">
        <v>1000</v>
      </c>
      <c r="C46" s="653"/>
      <c r="D46" s="653"/>
      <c r="E46" s="654"/>
      <c r="F46" s="653"/>
      <c r="H46" s="655"/>
      <c r="I46" s="655"/>
      <c r="J46" s="656"/>
      <c r="K46" s="6"/>
      <c r="L46" s="6"/>
      <c r="M46" s="6"/>
      <c r="N46" s="6"/>
    </row>
    <row r="47" spans="1:14">
      <c r="A47" s="7" t="s">
        <v>207</v>
      </c>
      <c r="B47" s="671">
        <v>1</v>
      </c>
      <c r="C47" s="653"/>
      <c r="D47" s="653"/>
      <c r="E47" s="654"/>
      <c r="F47" s="653"/>
      <c r="H47" s="655"/>
      <c r="I47" s="655"/>
      <c r="J47" s="656"/>
      <c r="K47" s="6"/>
      <c r="L47" s="6"/>
      <c r="M47" s="6"/>
      <c r="N47" s="6"/>
    </row>
    <row r="48" spans="1:14">
      <c r="A48" s="7" t="s">
        <v>208</v>
      </c>
      <c r="B48" s="671">
        <v>1000</v>
      </c>
      <c r="C48" s="653"/>
      <c r="D48" s="653"/>
      <c r="E48" s="654"/>
      <c r="F48" s="653"/>
      <c r="H48" s="655"/>
      <c r="I48" s="655"/>
      <c r="J48" s="656"/>
      <c r="K48" s="6"/>
      <c r="L48" s="6"/>
      <c r="M48" s="6"/>
      <c r="N48" s="6"/>
    </row>
    <row r="49" spans="1:14" ht="16.5">
      <c r="A49" s="690" t="s">
        <v>209</v>
      </c>
      <c r="B49" s="671"/>
      <c r="C49" s="653"/>
      <c r="D49" s="653"/>
      <c r="E49" s="654"/>
      <c r="F49" s="653"/>
      <c r="H49" s="655"/>
      <c r="I49" s="655"/>
      <c r="J49" s="656"/>
      <c r="K49" s="6"/>
      <c r="L49" s="6"/>
      <c r="M49" s="6"/>
      <c r="N49" s="6"/>
    </row>
    <row r="50" spans="1:14" ht="21">
      <c r="A50" s="691" t="s">
        <v>210</v>
      </c>
      <c r="B50" s="671"/>
      <c r="C50" s="653"/>
      <c r="D50" s="653"/>
      <c r="E50" s="654"/>
      <c r="F50" s="653"/>
      <c r="H50" s="655"/>
      <c r="I50" s="655"/>
      <c r="J50" s="656"/>
      <c r="K50" s="6"/>
      <c r="L50" s="6"/>
      <c r="M50" s="6"/>
      <c r="N50" s="6"/>
    </row>
    <row r="51" spans="1:14">
      <c r="A51" s="7"/>
      <c r="B51" s="671"/>
      <c r="C51" s="653"/>
      <c r="D51" s="653"/>
      <c r="E51" s="654"/>
      <c r="F51" s="653"/>
      <c r="H51" s="655"/>
      <c r="I51" s="655"/>
      <c r="J51" s="656"/>
      <c r="K51" s="6"/>
      <c r="L51" s="6"/>
      <c r="M51" s="6"/>
      <c r="N51" s="6"/>
    </row>
    <row r="52" spans="1:14">
      <c r="A52" s="7"/>
      <c r="B52" s="671"/>
      <c r="C52" s="653"/>
      <c r="D52" s="653"/>
      <c r="E52" s="654"/>
      <c r="F52" s="653"/>
      <c r="H52" s="655"/>
      <c r="I52" s="655"/>
      <c r="J52" s="656"/>
      <c r="K52" s="6"/>
      <c r="L52" s="6"/>
      <c r="M52" s="6"/>
      <c r="N52" s="6"/>
    </row>
    <row r="53" spans="1:14">
      <c r="A53" s="9" t="s">
        <v>211</v>
      </c>
      <c r="B53" s="671"/>
      <c r="C53" s="653"/>
      <c r="D53" s="653"/>
      <c r="E53" s="654"/>
      <c r="F53" s="653"/>
      <c r="H53" s="655"/>
      <c r="I53" s="655"/>
      <c r="J53" s="656"/>
      <c r="K53" s="6"/>
      <c r="L53" s="6"/>
      <c r="M53" s="6"/>
      <c r="N53" s="6"/>
    </row>
    <row r="54" spans="1:14">
      <c r="A54" s="7" t="s">
        <v>212</v>
      </c>
      <c r="B54" s="673">
        <v>0</v>
      </c>
      <c r="C54" s="653" t="s">
        <v>213</v>
      </c>
      <c r="D54" s="653"/>
      <c r="E54" s="654"/>
      <c r="F54" s="653"/>
      <c r="H54" s="655"/>
      <c r="I54" s="655"/>
      <c r="J54" s="656"/>
      <c r="K54" s="6"/>
      <c r="L54" s="6"/>
      <c r="M54" s="6"/>
      <c r="N54" s="6"/>
    </row>
    <row r="55" spans="1:14">
      <c r="A55" s="7" t="s">
        <v>214</v>
      </c>
      <c r="B55" s="673">
        <f>0.0075</f>
        <v>7.4999999999999997E-3</v>
      </c>
      <c r="C55" s="653"/>
      <c r="D55" s="653"/>
      <c r="E55" s="654"/>
      <c r="F55" s="653"/>
      <c r="H55" s="655"/>
      <c r="I55" s="655"/>
      <c r="J55" s="656"/>
      <c r="K55" s="6"/>
      <c r="L55" s="6"/>
      <c r="M55" s="6"/>
      <c r="N55" s="6"/>
    </row>
    <row r="56" spans="1:14">
      <c r="A56" s="7" t="s">
        <v>215</v>
      </c>
      <c r="B56" s="673">
        <v>0.12</v>
      </c>
      <c r="C56" s="653" t="s">
        <v>216</v>
      </c>
      <c r="D56" s="653"/>
      <c r="E56" s="654"/>
      <c r="F56" s="653"/>
      <c r="H56" s="655"/>
      <c r="I56" s="655"/>
      <c r="J56" s="656"/>
      <c r="K56" s="6"/>
      <c r="L56" s="6"/>
      <c r="M56" s="6"/>
      <c r="N56" s="6"/>
    </row>
    <row r="57" spans="1:14">
      <c r="A57" s="7" t="s">
        <v>217</v>
      </c>
      <c r="B57" s="674">
        <v>0.2</v>
      </c>
      <c r="C57" s="653" t="s">
        <v>218</v>
      </c>
      <c r="D57" s="653"/>
      <c r="E57" s="654"/>
      <c r="F57" s="653"/>
      <c r="H57" s="655"/>
      <c r="I57" s="655"/>
      <c r="J57" s="656"/>
      <c r="K57" s="6"/>
      <c r="L57" s="6"/>
      <c r="M57" s="6"/>
      <c r="N57" s="6"/>
    </row>
    <row r="58" spans="1:14">
      <c r="A58" s="7"/>
      <c r="H58" s="8"/>
      <c r="I58" s="8"/>
      <c r="J58" s="6"/>
      <c r="K58" s="6"/>
      <c r="L58" s="6"/>
      <c r="M58" s="6"/>
      <c r="N58" s="6"/>
    </row>
    <row r="59" spans="1:14">
      <c r="A59" s="9" t="s">
        <v>219</v>
      </c>
      <c r="F59" s="13"/>
      <c r="H59" s="6"/>
      <c r="I59" s="6"/>
      <c r="J59" s="6"/>
      <c r="K59" s="6"/>
      <c r="L59" s="6"/>
      <c r="M59" s="6"/>
      <c r="N59" s="6"/>
    </row>
    <row r="60" spans="1:14">
      <c r="A60" s="10" t="s">
        <v>220</v>
      </c>
      <c r="B60" s="11">
        <v>20</v>
      </c>
      <c r="H60" s="6"/>
      <c r="I60" s="6"/>
      <c r="J60" s="6"/>
      <c r="K60" s="6"/>
      <c r="L60" s="6"/>
      <c r="M60" s="6"/>
      <c r="N60" s="6"/>
    </row>
    <row r="61" spans="1:14">
      <c r="A61" s="5" t="s">
        <v>221</v>
      </c>
      <c r="B61" s="12">
        <f>'Assump&amp;Est_Ethiopia'!D24</f>
        <v>10102.930418076921</v>
      </c>
      <c r="D61" s="13"/>
      <c r="E61" s="13"/>
      <c r="F61" s="13"/>
      <c r="H61" s="6"/>
      <c r="I61" s="6"/>
      <c r="J61" s="6"/>
      <c r="K61" s="6"/>
      <c r="L61" s="6"/>
      <c r="M61" s="6"/>
      <c r="N61" s="6"/>
    </row>
    <row r="62" spans="1:14">
      <c r="A62" s="5" t="s">
        <v>222</v>
      </c>
      <c r="B62" s="12">
        <f>B12*CapUtilFactorofBiodigester</f>
        <v>15340289.546807999</v>
      </c>
      <c r="D62" s="13"/>
      <c r="E62" s="13"/>
      <c r="F62" s="13"/>
      <c r="H62" s="6"/>
      <c r="I62" s="6"/>
      <c r="J62" s="6"/>
      <c r="K62" s="6"/>
      <c r="L62" s="6"/>
      <c r="M62" s="6"/>
      <c r="N62" s="6"/>
    </row>
    <row r="63" spans="1:14">
      <c r="A63" s="5" t="s">
        <v>223</v>
      </c>
      <c r="B63" s="12">
        <f>B62*EfficiencyValBiogas</f>
        <v>9204173.7280847989</v>
      </c>
      <c r="D63" s="13"/>
      <c r="E63" s="13"/>
      <c r="F63" s="13"/>
      <c r="H63" s="6"/>
      <c r="I63" s="6"/>
      <c r="J63" s="6"/>
      <c r="K63" s="6"/>
      <c r="L63" s="6"/>
      <c r="M63" s="6"/>
      <c r="N63" s="6"/>
    </row>
    <row r="64" spans="1:14">
      <c r="A64" s="5" t="s">
        <v>224</v>
      </c>
      <c r="B64" s="12">
        <f>(EValKerosene/EvalBiogas)*(B63*0.3)*(1/B40)*EfficiencyValKerosene</f>
        <v>339239545.97798252</v>
      </c>
      <c r="D64" s="13"/>
      <c r="E64" s="13"/>
      <c r="F64" s="13"/>
      <c r="H64" s="6"/>
      <c r="I64" s="6"/>
      <c r="J64" s="6"/>
      <c r="K64" s="6"/>
      <c r="L64" s="6"/>
      <c r="M64" s="6"/>
      <c r="N64" s="6"/>
    </row>
    <row r="65" spans="1:28">
      <c r="A65" s="5" t="s">
        <v>225</v>
      </c>
      <c r="B65" s="12">
        <f>(EvalFuelwood/EvalBiogas)*(B63*0.7)*(1/B41)*EfficiencyValFuelwood</f>
        <v>260004.90757301688</v>
      </c>
      <c r="D65" s="13"/>
      <c r="E65" s="13"/>
      <c r="F65" s="13"/>
      <c r="H65" s="6"/>
      <c r="I65" s="6"/>
      <c r="J65" s="6"/>
      <c r="K65" s="6"/>
      <c r="L65" s="6"/>
      <c r="M65" s="6"/>
      <c r="N65" s="6"/>
    </row>
    <row r="66" spans="1:28">
      <c r="A66" s="5" t="s">
        <v>226</v>
      </c>
      <c r="B66" s="12">
        <f>B62*ValRtUrea_Utilization*(1/B39)</f>
        <v>2613337.2311427598</v>
      </c>
      <c r="D66" s="13"/>
      <c r="E66" s="13"/>
      <c r="F66" s="13"/>
      <c r="H66" s="6"/>
      <c r="I66" s="6"/>
      <c r="J66" s="6"/>
      <c r="K66" s="6"/>
      <c r="L66" s="6"/>
      <c r="M66" s="6"/>
      <c r="N66" s="6"/>
    </row>
    <row r="67" spans="1:28">
      <c r="A67" s="7" t="s">
        <v>227</v>
      </c>
      <c r="B67" s="658">
        <f>B12*EvalBiogas*Efficiency*(1/B45)</f>
        <v>33556883.383642495</v>
      </c>
      <c r="C67" s="14"/>
      <c r="D67" s="11"/>
      <c r="E67" s="658"/>
      <c r="F67" s="693"/>
      <c r="H67" s="6"/>
      <c r="I67" s="6"/>
      <c r="J67" s="6"/>
      <c r="K67" s="6"/>
      <c r="L67" s="6"/>
      <c r="M67" s="6"/>
      <c r="N67" s="6"/>
    </row>
    <row r="68" spans="1:28">
      <c r="A68" s="7" t="s">
        <v>228</v>
      </c>
      <c r="B68" s="658">
        <f>B67*GensetCapacityUtilFac</f>
        <v>18443887.866653681</v>
      </c>
      <c r="C68" s="14"/>
      <c r="D68" s="11"/>
      <c r="E68" s="658"/>
      <c r="F68" s="693"/>
      <c r="H68" s="6"/>
      <c r="I68" s="6"/>
      <c r="J68" s="6"/>
      <c r="K68" s="6"/>
      <c r="L68" s="6"/>
      <c r="M68" s="6"/>
      <c r="N68" s="6"/>
    </row>
    <row r="69" spans="1:28">
      <c r="A69" s="7" t="s">
        <v>229</v>
      </c>
      <c r="B69" s="12">
        <f>B68/(365*12)</f>
        <v>4210.9333028889678</v>
      </c>
      <c r="C69" s="14"/>
      <c r="D69" s="11"/>
      <c r="E69" s="692"/>
      <c r="F69" s="11"/>
      <c r="H69" s="6"/>
      <c r="I69" s="6"/>
      <c r="J69" s="6"/>
      <c r="K69" s="6"/>
      <c r="L69" s="6"/>
      <c r="M69" s="6"/>
      <c r="N69" s="6"/>
    </row>
    <row r="70" spans="1:28">
      <c r="A70" s="7"/>
      <c r="B70" s="12"/>
      <c r="C70" s="14"/>
      <c r="D70" s="11"/>
      <c r="E70" s="11"/>
      <c r="F70" s="11"/>
      <c r="H70" s="6"/>
      <c r="I70" s="6"/>
      <c r="J70" s="6"/>
      <c r="K70" s="6"/>
      <c r="L70" s="6"/>
      <c r="M70" s="6"/>
      <c r="N70" s="6"/>
    </row>
    <row r="71" spans="1:28">
      <c r="A71" s="7"/>
      <c r="B71" s="12"/>
      <c r="C71" s="14"/>
      <c r="D71" s="11"/>
      <c r="E71" s="11"/>
      <c r="F71" s="11"/>
      <c r="H71" s="6"/>
      <c r="I71" s="6"/>
      <c r="J71" s="6"/>
      <c r="K71" s="6"/>
      <c r="L71" s="6"/>
      <c r="M71" s="6"/>
      <c r="N71" s="6"/>
    </row>
    <row r="72" spans="1:28">
      <c r="A72" s="7"/>
      <c r="B72" s="12"/>
      <c r="C72" s="14"/>
      <c r="D72" s="11"/>
      <c r="E72" s="11"/>
      <c r="F72" s="11"/>
      <c r="H72" s="6"/>
      <c r="I72" s="6"/>
      <c r="J72" s="6"/>
      <c r="K72" s="6"/>
      <c r="L72" s="6"/>
      <c r="M72" s="6"/>
      <c r="N72" s="6"/>
    </row>
    <row r="73" spans="1:28">
      <c r="A73" s="664" t="s">
        <v>230</v>
      </c>
      <c r="B73" s="665"/>
      <c r="C73" s="665" t="s">
        <v>231</v>
      </c>
      <c r="D73" s="665" t="s">
        <v>374</v>
      </c>
      <c r="E73" s="670" t="s">
        <v>375</v>
      </c>
      <c r="F73" s="665" t="str">
        <f>'SolarPV Financial Analysis'!F75</f>
        <v>20X3</v>
      </c>
      <c r="G73" s="665" t="str">
        <f>'SolarPV Financial Analysis'!G75</f>
        <v>20X4</v>
      </c>
      <c r="H73" s="666" t="str">
        <f>'SolarPV Financial Analysis'!H75</f>
        <v>20X5</v>
      </c>
      <c r="I73" s="666" t="str">
        <f>'SolarPV Financial Analysis'!I75</f>
        <v>20X6</v>
      </c>
      <c r="J73" s="667" t="str">
        <f>'SolarPV Financial Analysis'!J75</f>
        <v>20X7</v>
      </c>
      <c r="K73" s="668" t="str">
        <f>'SolarPV Financial Analysis'!K75</f>
        <v>20X8</v>
      </c>
      <c r="L73" s="668" t="str">
        <f>'SolarPV Financial Analysis'!L75</f>
        <v>20X9</v>
      </c>
      <c r="M73" s="668" t="str">
        <f>'SolarPV Financial Analysis'!M75</f>
        <v>20X10</v>
      </c>
      <c r="N73" s="668" t="str">
        <f>'SolarPV Financial Analysis'!N75</f>
        <v>20X11</v>
      </c>
      <c r="O73" s="669" t="str">
        <f>'SolarPV Financial Analysis'!O75</f>
        <v>20X12</v>
      </c>
      <c r="P73" s="669" t="str">
        <f>'SolarPV Financial Analysis'!P75</f>
        <v>20X13</v>
      </c>
      <c r="Q73" s="669" t="str">
        <f>'SolarPV Financial Analysis'!Q75</f>
        <v>20X14</v>
      </c>
      <c r="R73" s="669" t="str">
        <f>'SolarPV Financial Analysis'!R75</f>
        <v>20X15</v>
      </c>
      <c r="S73" s="669" t="str">
        <f>'SolarPV Financial Analysis'!S75</f>
        <v>20X16</v>
      </c>
      <c r="T73" s="669" t="str">
        <f>'SolarPV Financial Analysis'!T75</f>
        <v>20X17</v>
      </c>
      <c r="U73" s="669" t="str">
        <f>'SolarPV Financial Analysis'!U75</f>
        <v>20X18</v>
      </c>
      <c r="V73" s="669" t="str">
        <f>'SolarPV Financial Analysis'!V75</f>
        <v>20X19</v>
      </c>
      <c r="W73" s="669" t="str">
        <f>'SolarPV Financial Analysis'!W75</f>
        <v>20X20</v>
      </c>
      <c r="X73" s="669" t="str">
        <f>'SolarPV Financial Analysis'!X75</f>
        <v>20X21</v>
      </c>
      <c r="Y73" s="669" t="str">
        <f>'SolarPV Financial Analysis'!Y75</f>
        <v>20X22</v>
      </c>
      <c r="Z73" s="669" t="str">
        <f>'SolarPV Financial Analysis'!Z75</f>
        <v>20X23</v>
      </c>
      <c r="AA73" s="669" t="str">
        <f>'SolarPV Financial Analysis'!AA75</f>
        <v>20X24</v>
      </c>
      <c r="AB73" s="669" t="str">
        <f>'SolarPV Financial Analysis'!AB75</f>
        <v>20X25</v>
      </c>
    </row>
    <row r="74" spans="1:28">
      <c r="A74" s="675"/>
      <c r="B74" s="676"/>
      <c r="C74" s="676" t="s">
        <v>257</v>
      </c>
      <c r="D74" s="676">
        <v>0</v>
      </c>
      <c r="E74" s="677">
        <v>1</v>
      </c>
      <c r="F74" s="676">
        <v>2</v>
      </c>
      <c r="G74" s="676">
        <v>3</v>
      </c>
      <c r="H74" s="677">
        <v>4</v>
      </c>
      <c r="I74" s="676">
        <v>5</v>
      </c>
      <c r="J74" s="676">
        <v>6</v>
      </c>
      <c r="K74" s="677">
        <v>7</v>
      </c>
      <c r="L74" s="676">
        <v>8</v>
      </c>
      <c r="M74" s="676">
        <v>9</v>
      </c>
      <c r="N74" s="677">
        <v>10</v>
      </c>
      <c r="O74" s="676">
        <v>11</v>
      </c>
      <c r="P74" s="676">
        <v>12</v>
      </c>
      <c r="Q74" s="677">
        <v>13</v>
      </c>
      <c r="R74" s="676">
        <v>14</v>
      </c>
      <c r="S74" s="676">
        <v>15</v>
      </c>
      <c r="T74" s="677">
        <v>16</v>
      </c>
      <c r="U74" s="676">
        <v>17</v>
      </c>
      <c r="V74" s="676">
        <v>18</v>
      </c>
      <c r="W74" s="677">
        <v>19</v>
      </c>
      <c r="X74" s="676">
        <v>20</v>
      </c>
      <c r="Y74" s="676">
        <v>21</v>
      </c>
      <c r="Z74" s="677">
        <v>22</v>
      </c>
      <c r="AA74" s="676">
        <v>23</v>
      </c>
      <c r="AB74" s="676">
        <v>24</v>
      </c>
    </row>
    <row r="75" spans="1:28">
      <c r="A75" s="5" t="s">
        <v>258</v>
      </c>
      <c r="B75" s="653">
        <f>TFCostBiodigester*B61</f>
        <v>3030879.1254230766</v>
      </c>
      <c r="C75" s="653"/>
      <c r="D75" s="653">
        <f>B75</f>
        <v>3030879.1254230766</v>
      </c>
      <c r="E75" s="654">
        <v>0</v>
      </c>
      <c r="F75" s="653">
        <v>0</v>
      </c>
      <c r="G75" s="653">
        <v>0</v>
      </c>
      <c r="H75" s="653">
        <v>0</v>
      </c>
      <c r="I75" s="653">
        <v>0</v>
      </c>
      <c r="J75" s="653">
        <v>0</v>
      </c>
      <c r="K75" s="653">
        <v>0</v>
      </c>
      <c r="L75" s="653">
        <v>0</v>
      </c>
      <c r="M75" s="653">
        <v>0</v>
      </c>
      <c r="N75" s="653">
        <v>0</v>
      </c>
      <c r="O75" s="653">
        <v>0</v>
      </c>
      <c r="P75" s="653">
        <v>0</v>
      </c>
      <c r="Q75" s="653">
        <v>0</v>
      </c>
      <c r="R75" s="653">
        <v>0</v>
      </c>
      <c r="S75" s="653">
        <v>0</v>
      </c>
      <c r="T75" s="653">
        <v>0</v>
      </c>
      <c r="U75" s="653">
        <v>0</v>
      </c>
      <c r="V75" s="653">
        <v>0</v>
      </c>
      <c r="W75" s="653">
        <v>0</v>
      </c>
      <c r="X75" s="653">
        <v>0</v>
      </c>
      <c r="Y75" s="653">
        <v>0</v>
      </c>
      <c r="Z75" s="653">
        <v>0</v>
      </c>
      <c r="AA75" s="653">
        <v>0</v>
      </c>
      <c r="AB75" s="653">
        <v>0</v>
      </c>
    </row>
    <row r="76" spans="1:28">
      <c r="A76" s="5" t="s">
        <v>259</v>
      </c>
      <c r="B76" s="653">
        <f>B75*0.05</f>
        <v>151543.95627115385</v>
      </c>
      <c r="C76" s="653"/>
      <c r="D76" s="653">
        <f>B76</f>
        <v>151543.95627115385</v>
      </c>
      <c r="E76" s="689">
        <v>898440.97011767747</v>
      </c>
      <c r="F76" s="653">
        <v>898440.97011767747</v>
      </c>
      <c r="G76" s="653">
        <v>898440.97011767747</v>
      </c>
      <c r="H76" s="655">
        <v>898440.97011767747</v>
      </c>
      <c r="I76" s="655">
        <v>898440.97011767747</v>
      </c>
      <c r="J76" s="656">
        <v>898440.97011767747</v>
      </c>
      <c r="K76" s="6">
        <v>898440.97011767747</v>
      </c>
      <c r="L76" s="6">
        <v>898440.97011767747</v>
      </c>
      <c r="M76" s="6">
        <v>898440.97011767747</v>
      </c>
      <c r="N76" s="6">
        <v>898440.97011767747</v>
      </c>
      <c r="O76" s="4">
        <v>898440.97011767747</v>
      </c>
      <c r="P76" s="4">
        <v>898440.97011767747</v>
      </c>
      <c r="Q76" s="4">
        <v>898440.97011767747</v>
      </c>
      <c r="R76" s="4">
        <v>898440.97011767747</v>
      </c>
      <c r="S76" s="4">
        <v>898440.97011767747</v>
      </c>
      <c r="T76" s="4">
        <v>898440.97011767747</v>
      </c>
      <c r="U76" s="4">
        <v>898440.97011767747</v>
      </c>
      <c r="V76" s="4">
        <v>898440.97011767747</v>
      </c>
      <c r="W76" s="4">
        <v>898440.97011767747</v>
      </c>
      <c r="X76" s="4">
        <v>898440.97011767747</v>
      </c>
      <c r="Y76" s="4">
        <v>898440.97011767747</v>
      </c>
      <c r="Z76" s="4">
        <v>898440.97011767747</v>
      </c>
      <c r="AA76" s="4">
        <v>898440.97011767747</v>
      </c>
      <c r="AB76" s="4">
        <v>898440.97011767747</v>
      </c>
    </row>
    <row r="77" spans="1:28">
      <c r="A77" s="7" t="s">
        <v>260</v>
      </c>
      <c r="B77" s="12">
        <f>SUM(B75:B76)</f>
        <v>3182423.0816942304</v>
      </c>
      <c r="C77" s="14"/>
      <c r="D77" s="14">
        <f>SUM(D75:D76)</f>
        <v>3182423.0816942304</v>
      </c>
      <c r="E77" s="14">
        <f t="shared" ref="E77:AB77" si="8">SUM(E75:E76)</f>
        <v>898440.97011767747</v>
      </c>
      <c r="F77" s="14">
        <f t="shared" si="8"/>
        <v>898440.97011767747</v>
      </c>
      <c r="G77" s="14">
        <f t="shared" si="8"/>
        <v>898440.97011767747</v>
      </c>
      <c r="H77" s="14">
        <f t="shared" si="8"/>
        <v>898440.97011767747</v>
      </c>
      <c r="I77" s="14">
        <f t="shared" si="8"/>
        <v>898440.97011767747</v>
      </c>
      <c r="J77" s="14">
        <f t="shared" si="8"/>
        <v>898440.97011767747</v>
      </c>
      <c r="K77" s="14">
        <f t="shared" si="8"/>
        <v>898440.97011767747</v>
      </c>
      <c r="L77" s="14">
        <f t="shared" si="8"/>
        <v>898440.97011767747</v>
      </c>
      <c r="M77" s="14">
        <f t="shared" si="8"/>
        <v>898440.97011767747</v>
      </c>
      <c r="N77" s="14">
        <f t="shared" si="8"/>
        <v>898440.97011767747</v>
      </c>
      <c r="O77" s="14">
        <f t="shared" si="8"/>
        <v>898440.97011767747</v>
      </c>
      <c r="P77" s="14">
        <f t="shared" si="8"/>
        <v>898440.97011767747</v>
      </c>
      <c r="Q77" s="14">
        <f t="shared" si="8"/>
        <v>898440.97011767747</v>
      </c>
      <c r="R77" s="14">
        <f t="shared" si="8"/>
        <v>898440.97011767747</v>
      </c>
      <c r="S77" s="14">
        <f t="shared" si="8"/>
        <v>898440.97011767747</v>
      </c>
      <c r="T77" s="14">
        <f t="shared" si="8"/>
        <v>898440.97011767747</v>
      </c>
      <c r="U77" s="14">
        <f t="shared" si="8"/>
        <v>898440.97011767747</v>
      </c>
      <c r="V77" s="14">
        <f t="shared" si="8"/>
        <v>898440.97011767747</v>
      </c>
      <c r="W77" s="14">
        <f t="shared" si="8"/>
        <v>898440.97011767747</v>
      </c>
      <c r="X77" s="14">
        <f t="shared" si="8"/>
        <v>898440.97011767747</v>
      </c>
      <c r="Y77" s="14">
        <f t="shared" si="8"/>
        <v>898440.97011767747</v>
      </c>
      <c r="Z77" s="14">
        <f t="shared" si="8"/>
        <v>898440.97011767747</v>
      </c>
      <c r="AA77" s="14">
        <f t="shared" si="8"/>
        <v>898440.97011767747</v>
      </c>
      <c r="AB77" s="14">
        <f t="shared" si="8"/>
        <v>898440.97011767747</v>
      </c>
    </row>
    <row r="78" spans="1:28">
      <c r="A78" s="7" t="s">
        <v>261</v>
      </c>
      <c r="C78" s="14"/>
      <c r="D78" s="678">
        <f>(D77)/(1+SocDiscountRate)^D74</f>
        <v>3182423.0816942304</v>
      </c>
      <c r="E78" s="678">
        <f t="shared" ref="E78:AB78" si="9">(E77)/(1+SocDiscountRate)^E74</f>
        <v>802179.43760506914</v>
      </c>
      <c r="F78" s="678">
        <f t="shared" si="9"/>
        <v>716231.64071881166</v>
      </c>
      <c r="G78" s="678">
        <f t="shared" si="9"/>
        <v>639492.53635608172</v>
      </c>
      <c r="H78" s="678">
        <f t="shared" si="9"/>
        <v>570975.4788893587</v>
      </c>
      <c r="I78" s="678">
        <f t="shared" si="9"/>
        <v>509799.53472264169</v>
      </c>
      <c r="J78" s="678">
        <f t="shared" si="9"/>
        <v>455178.15600235859</v>
      </c>
      <c r="K78" s="678">
        <f t="shared" si="9"/>
        <v>406409.06785924872</v>
      </c>
      <c r="L78" s="678">
        <f t="shared" si="9"/>
        <v>362865.23916004348</v>
      </c>
      <c r="M78" s="660">
        <f t="shared" si="9"/>
        <v>323986.82067861024</v>
      </c>
      <c r="N78" s="660">
        <f t="shared" si="9"/>
        <v>289273.94703447341</v>
      </c>
      <c r="O78" s="660">
        <f t="shared" si="9"/>
        <v>258280.30985220836</v>
      </c>
      <c r="P78" s="660">
        <f t="shared" si="9"/>
        <v>230607.41951090033</v>
      </c>
      <c r="Q78" s="660">
        <f t="shared" si="9"/>
        <v>205899.48170616099</v>
      </c>
      <c r="R78" s="660">
        <f t="shared" si="9"/>
        <v>183838.82295192944</v>
      </c>
      <c r="S78" s="660">
        <f t="shared" si="9"/>
        <v>164141.80620707988</v>
      </c>
      <c r="T78" s="660">
        <f t="shared" si="9"/>
        <v>146555.18411346414</v>
      </c>
      <c r="U78" s="660">
        <f t="shared" si="9"/>
        <v>130852.84295845011</v>
      </c>
      <c r="V78" s="660">
        <f t="shared" si="9"/>
        <v>116832.89549861616</v>
      </c>
      <c r="W78" s="660">
        <f t="shared" si="9"/>
        <v>104315.08526662157</v>
      </c>
      <c r="X78" s="660">
        <f t="shared" si="9"/>
        <v>93138.46898805497</v>
      </c>
      <c r="Y78" s="660">
        <f t="shared" si="9"/>
        <v>83159.347310763362</v>
      </c>
      <c r="Z78" s="660">
        <f t="shared" si="9"/>
        <v>74249.417241752992</v>
      </c>
      <c r="AA78" s="660">
        <f t="shared" si="9"/>
        <v>66294.122537279458</v>
      </c>
      <c r="AB78" s="660">
        <f t="shared" si="9"/>
        <v>59191.180836856656</v>
      </c>
    </row>
    <row r="79" spans="1:28">
      <c r="A79" s="7" t="s">
        <v>262</v>
      </c>
      <c r="B79" s="12"/>
      <c r="C79" s="14"/>
      <c r="D79" s="678">
        <f>(D77)/(1+EscoDiscountRate)^D74</f>
        <v>3182423.0816942304</v>
      </c>
      <c r="E79" s="678">
        <f t="shared" ref="E79:AB79" si="10">(E77)/(1+EscoDiscountRate)^E74</f>
        <v>748700.80843139789</v>
      </c>
      <c r="F79" s="678">
        <f t="shared" si="10"/>
        <v>623917.34035949828</v>
      </c>
      <c r="G79" s="678">
        <f t="shared" si="10"/>
        <v>519931.11696624855</v>
      </c>
      <c r="H79" s="678">
        <f t="shared" si="10"/>
        <v>433275.93080520711</v>
      </c>
      <c r="I79" s="678">
        <f t="shared" si="10"/>
        <v>361063.27567100595</v>
      </c>
      <c r="J79" s="678">
        <f t="shared" si="10"/>
        <v>300886.0630591716</v>
      </c>
      <c r="K79" s="678">
        <f t="shared" si="10"/>
        <v>250738.38588264302</v>
      </c>
      <c r="L79" s="678">
        <f t="shared" si="10"/>
        <v>208948.65490220254</v>
      </c>
      <c r="M79" s="678">
        <f t="shared" si="10"/>
        <v>174123.87908516877</v>
      </c>
      <c r="N79" s="678">
        <f t="shared" si="10"/>
        <v>145103.23257097398</v>
      </c>
      <c r="O79" s="678">
        <f t="shared" si="10"/>
        <v>120919.36047581166</v>
      </c>
      <c r="P79" s="678">
        <f t="shared" si="10"/>
        <v>100766.13372984306</v>
      </c>
      <c r="Q79" s="678">
        <f t="shared" si="10"/>
        <v>83971.778108202532</v>
      </c>
      <c r="R79" s="678">
        <f t="shared" si="10"/>
        <v>69976.481756835463</v>
      </c>
      <c r="S79" s="678">
        <f t="shared" si="10"/>
        <v>58313.734797362878</v>
      </c>
      <c r="T79" s="678">
        <f t="shared" si="10"/>
        <v>48594.778997802408</v>
      </c>
      <c r="U79" s="678">
        <f t="shared" si="10"/>
        <v>40495.64916483534</v>
      </c>
      <c r="V79" s="678">
        <f t="shared" si="10"/>
        <v>33746.37430402945</v>
      </c>
      <c r="W79" s="678">
        <f t="shared" si="10"/>
        <v>28121.978586691206</v>
      </c>
      <c r="X79" s="678">
        <f t="shared" si="10"/>
        <v>23434.982155576006</v>
      </c>
      <c r="Y79" s="678">
        <f t="shared" si="10"/>
        <v>19529.151796313337</v>
      </c>
      <c r="Z79" s="678">
        <f t="shared" si="10"/>
        <v>16274.29316359445</v>
      </c>
      <c r="AA79" s="678">
        <f t="shared" si="10"/>
        <v>13561.910969662042</v>
      </c>
      <c r="AB79" s="678">
        <f t="shared" si="10"/>
        <v>11301.592474718369</v>
      </c>
    </row>
    <row r="80" spans="1:28">
      <c r="A80" s="7"/>
      <c r="B80" s="12"/>
      <c r="C80" s="14"/>
      <c r="D80" s="14"/>
      <c r="E80" s="14"/>
      <c r="F80" s="14"/>
      <c r="G80" s="14"/>
      <c r="H80" s="14"/>
      <c r="I80" s="14"/>
      <c r="J80" s="14"/>
      <c r="K80" s="14"/>
      <c r="L80" s="14"/>
      <c r="M80" s="14"/>
      <c r="N80" s="14"/>
      <c r="O80" s="14"/>
      <c r="P80" s="14"/>
      <c r="Q80" s="14"/>
      <c r="R80" s="14"/>
      <c r="S80" s="14"/>
      <c r="T80" s="14"/>
      <c r="U80" s="14"/>
      <c r="V80" s="14"/>
      <c r="W80" s="14"/>
      <c r="X80" s="14"/>
      <c r="Y80" s="14"/>
      <c r="Z80" s="14"/>
      <c r="AA80" s="14"/>
      <c r="AB80" s="14"/>
    </row>
    <row r="81" spans="1:30">
      <c r="A81" s="684" t="s">
        <v>263</v>
      </c>
      <c r="B81" s="685"/>
      <c r="C81" s="686"/>
      <c r="D81" s="686" t="s">
        <v>374</v>
      </c>
      <c r="E81" s="686" t="s">
        <v>375</v>
      </c>
      <c r="F81" s="686" t="s">
        <v>376</v>
      </c>
      <c r="G81" s="686" t="s">
        <v>377</v>
      </c>
      <c r="H81" s="686" t="s">
        <v>378</v>
      </c>
      <c r="I81" s="686" t="s">
        <v>379</v>
      </c>
      <c r="J81" s="686" t="s">
        <v>380</v>
      </c>
      <c r="K81" s="686" t="s">
        <v>381</v>
      </c>
      <c r="L81" s="686" t="s">
        <v>382</v>
      </c>
      <c r="M81" s="686" t="s">
        <v>383</v>
      </c>
      <c r="N81" s="686" t="s">
        <v>384</v>
      </c>
      <c r="O81" s="686" t="s">
        <v>385</v>
      </c>
      <c r="P81" s="686" t="s">
        <v>386</v>
      </c>
      <c r="Q81" s="686" t="s">
        <v>387</v>
      </c>
      <c r="R81" s="686" t="s">
        <v>388</v>
      </c>
      <c r="S81" s="686" t="s">
        <v>389</v>
      </c>
      <c r="T81" s="686" t="s">
        <v>390</v>
      </c>
      <c r="U81" s="686" t="s">
        <v>391</v>
      </c>
      <c r="V81" s="686" t="s">
        <v>392</v>
      </c>
      <c r="W81" s="686" t="s">
        <v>393</v>
      </c>
      <c r="X81" s="686" t="s">
        <v>394</v>
      </c>
      <c r="Y81" s="686" t="s">
        <v>395</v>
      </c>
      <c r="Z81" s="686" t="s">
        <v>396</v>
      </c>
      <c r="AA81" s="686" t="s">
        <v>397</v>
      </c>
      <c r="AB81" s="686" t="s">
        <v>398</v>
      </c>
    </row>
    <row r="82" spans="1:30">
      <c r="A82" s="7" t="s">
        <v>264</v>
      </c>
      <c r="B82" s="12">
        <f>E12*AvePrice_per_cubic_meter_of_methane*ValUncertainty_and_Market_Adjustment</f>
        <v>257755.21511024135</v>
      </c>
      <c r="C82" s="14"/>
      <c r="D82" s="14">
        <f>B82</f>
        <v>257755.21511024135</v>
      </c>
      <c r="E82" s="848">
        <v>1528272.4271677004</v>
      </c>
      <c r="F82" s="848">
        <v>1528272.4271677004</v>
      </c>
      <c r="G82" s="848">
        <v>1528272.4271677004</v>
      </c>
      <c r="H82" s="848">
        <v>1528272.4271677004</v>
      </c>
      <c r="I82" s="848">
        <v>1528272.4271677004</v>
      </c>
      <c r="J82" s="848">
        <v>1528272.4271677004</v>
      </c>
      <c r="K82" s="848">
        <v>1528272.4271677004</v>
      </c>
      <c r="L82" s="848">
        <v>1528272.4271677004</v>
      </c>
      <c r="M82" s="848">
        <v>1528272.4271677004</v>
      </c>
      <c r="N82" s="848">
        <v>1528272.4271677004</v>
      </c>
      <c r="O82" s="848">
        <v>1528272.4271677004</v>
      </c>
      <c r="P82" s="848">
        <v>1528272.4271677004</v>
      </c>
      <c r="Q82" s="848">
        <v>1528272.4271677004</v>
      </c>
      <c r="R82" s="848">
        <v>1528272.4271677004</v>
      </c>
      <c r="S82" s="848">
        <v>1528272.4271677004</v>
      </c>
      <c r="T82" s="848">
        <v>1528272.4271677004</v>
      </c>
      <c r="U82" s="848">
        <v>1528272.4271677004</v>
      </c>
      <c r="V82" s="848">
        <v>1528272.4271677004</v>
      </c>
      <c r="W82" s="848">
        <v>1528272.4271677004</v>
      </c>
      <c r="X82" s="848">
        <v>1528272.4271677004</v>
      </c>
      <c r="Y82" s="848">
        <v>1528272.4271677004</v>
      </c>
      <c r="Z82" s="848">
        <v>1528272.4271677004</v>
      </c>
      <c r="AA82" s="848">
        <v>1528272.4271677004</v>
      </c>
      <c r="AB82" s="848">
        <v>1528272.4271677004</v>
      </c>
    </row>
    <row r="83" spans="1:30">
      <c r="A83" s="7" t="s">
        <v>265</v>
      </c>
      <c r="B83" s="12">
        <f>B66*AvPrice_of_Urea*ValUncertainty_and_Market_Adjustment</f>
        <v>65333.430778568996</v>
      </c>
      <c r="C83" s="14"/>
      <c r="D83" s="14">
        <f>B83</f>
        <v>65333.430778568996</v>
      </c>
      <c r="E83" s="848">
        <v>387368.66432512249</v>
      </c>
      <c r="F83" s="848">
        <v>387368.66432512249</v>
      </c>
      <c r="G83" s="848">
        <v>387368.66432512249</v>
      </c>
      <c r="H83" s="848">
        <v>387368.66432512249</v>
      </c>
      <c r="I83" s="848">
        <v>387368.66432512249</v>
      </c>
      <c r="J83" s="848">
        <v>387368.66432512249</v>
      </c>
      <c r="K83" s="848">
        <v>387368.66432512249</v>
      </c>
      <c r="L83" s="848">
        <v>387368.66432512249</v>
      </c>
      <c r="M83" s="848">
        <v>387368.66432512249</v>
      </c>
      <c r="N83" s="848">
        <v>387368.66432512249</v>
      </c>
      <c r="O83" s="848">
        <v>387368.66432512249</v>
      </c>
      <c r="P83" s="848">
        <v>387368.66432512249</v>
      </c>
      <c r="Q83" s="848">
        <v>387368.66432512249</v>
      </c>
      <c r="R83" s="848">
        <v>387368.66432512249</v>
      </c>
      <c r="S83" s="848">
        <v>387368.66432512249</v>
      </c>
      <c r="T83" s="848">
        <v>387368.66432512249</v>
      </c>
      <c r="U83" s="848">
        <v>387368.66432512249</v>
      </c>
      <c r="V83" s="848">
        <v>387368.66432512249</v>
      </c>
      <c r="W83" s="848">
        <v>387368.66432512249</v>
      </c>
      <c r="X83" s="848">
        <v>387368.66432512249</v>
      </c>
      <c r="Y83" s="848">
        <v>387368.66432512249</v>
      </c>
      <c r="Z83" s="848">
        <v>387368.66432512249</v>
      </c>
      <c r="AA83" s="848">
        <v>387368.66432512249</v>
      </c>
      <c r="AB83" s="848">
        <v>387368.66432512249</v>
      </c>
    </row>
    <row r="84" spans="1:30">
      <c r="A84" s="7" t="s">
        <v>266</v>
      </c>
      <c r="B84" s="12">
        <f>SUM(B82:B83)</f>
        <v>323088.64588881034</v>
      </c>
      <c r="C84" s="14"/>
      <c r="D84" s="14">
        <f>SUM(D82:D83)</f>
        <v>323088.64588881034</v>
      </c>
      <c r="E84" s="14">
        <f t="shared" ref="E84:AB84" si="11">SUM(E82:E83)</f>
        <v>1915641.0914928229</v>
      </c>
      <c r="F84" s="14">
        <f t="shared" si="11"/>
        <v>1915641.0914928229</v>
      </c>
      <c r="G84" s="14">
        <f t="shared" si="11"/>
        <v>1915641.0914928229</v>
      </c>
      <c r="H84" s="14">
        <f t="shared" si="11"/>
        <v>1915641.0914928229</v>
      </c>
      <c r="I84" s="14">
        <f t="shared" si="11"/>
        <v>1915641.0914928229</v>
      </c>
      <c r="J84" s="14">
        <f t="shared" si="11"/>
        <v>1915641.0914928229</v>
      </c>
      <c r="K84" s="14">
        <f t="shared" si="11"/>
        <v>1915641.0914928229</v>
      </c>
      <c r="L84" s="14">
        <f t="shared" si="11"/>
        <v>1915641.0914928229</v>
      </c>
      <c r="M84" s="14">
        <f t="shared" si="11"/>
        <v>1915641.0914928229</v>
      </c>
      <c r="N84" s="14">
        <f t="shared" si="11"/>
        <v>1915641.0914928229</v>
      </c>
      <c r="O84" s="14">
        <f t="shared" si="11"/>
        <v>1915641.0914928229</v>
      </c>
      <c r="P84" s="14">
        <f t="shared" si="11"/>
        <v>1915641.0914928229</v>
      </c>
      <c r="Q84" s="14">
        <f t="shared" si="11"/>
        <v>1915641.0914928229</v>
      </c>
      <c r="R84" s="14">
        <f t="shared" si="11"/>
        <v>1915641.0914928229</v>
      </c>
      <c r="S84" s="14">
        <f t="shared" si="11"/>
        <v>1915641.0914928229</v>
      </c>
      <c r="T84" s="14">
        <f t="shared" si="11"/>
        <v>1915641.0914928229</v>
      </c>
      <c r="U84" s="14">
        <f t="shared" si="11"/>
        <v>1915641.0914928229</v>
      </c>
      <c r="V84" s="14">
        <f t="shared" si="11"/>
        <v>1915641.0914928229</v>
      </c>
      <c r="W84" s="14">
        <f t="shared" si="11"/>
        <v>1915641.0914928229</v>
      </c>
      <c r="X84" s="14">
        <f t="shared" si="11"/>
        <v>1915641.0914928229</v>
      </c>
      <c r="Y84" s="14">
        <f t="shared" si="11"/>
        <v>1915641.0914928229</v>
      </c>
      <c r="Z84" s="14">
        <f t="shared" si="11"/>
        <v>1915641.0914928229</v>
      </c>
      <c r="AA84" s="14">
        <f t="shared" si="11"/>
        <v>1915641.0914928229</v>
      </c>
      <c r="AB84" s="14">
        <f t="shared" si="11"/>
        <v>1915641.0914928229</v>
      </c>
    </row>
    <row r="85" spans="1:30">
      <c r="A85" s="7" t="s">
        <v>267</v>
      </c>
      <c r="B85" s="12"/>
      <c r="C85" s="14"/>
      <c r="D85" s="678">
        <f>(D84)/(1+SocDiscountRate)^D74</f>
        <v>323088.64588881034</v>
      </c>
      <c r="E85" s="678">
        <f t="shared" ref="E85:AB85" si="12">(E84)/(1+SocDiscountRate)^E74</f>
        <v>1710393.8316900202</v>
      </c>
      <c r="F85" s="678">
        <f t="shared" si="12"/>
        <v>1527137.3497232322</v>
      </c>
      <c r="G85" s="678">
        <f t="shared" si="12"/>
        <v>1363515.4908243143</v>
      </c>
      <c r="H85" s="678">
        <f t="shared" si="12"/>
        <v>1217424.5453788522</v>
      </c>
      <c r="I85" s="678">
        <f t="shared" si="12"/>
        <v>1086986.2012311181</v>
      </c>
      <c r="J85" s="678">
        <f t="shared" si="12"/>
        <v>970523.39395635517</v>
      </c>
      <c r="K85" s="678">
        <f t="shared" si="12"/>
        <v>866538.74460388848</v>
      </c>
      <c r="L85" s="678">
        <f t="shared" si="12"/>
        <v>773695.30768204329</v>
      </c>
      <c r="M85" s="678">
        <f t="shared" si="12"/>
        <v>690799.38185896713</v>
      </c>
      <c r="N85" s="678">
        <f t="shared" si="12"/>
        <v>616785.16237407783</v>
      </c>
      <c r="O85" s="678">
        <f t="shared" si="12"/>
        <v>550701.03783399798</v>
      </c>
      <c r="P85" s="678">
        <f t="shared" si="12"/>
        <v>491697.35520892678</v>
      </c>
      <c r="Q85" s="678">
        <f t="shared" si="12"/>
        <v>439015.49572225596</v>
      </c>
      <c r="R85" s="678">
        <f t="shared" si="12"/>
        <v>391978.12118058564</v>
      </c>
      <c r="S85" s="678">
        <f t="shared" si="12"/>
        <v>349980.46533980867</v>
      </c>
      <c r="T85" s="678">
        <f t="shared" si="12"/>
        <v>312482.55833911482</v>
      </c>
      <c r="U85" s="678">
        <f t="shared" si="12"/>
        <v>279002.2842313525</v>
      </c>
      <c r="V85" s="678">
        <f t="shared" si="12"/>
        <v>249109.18234942184</v>
      </c>
      <c r="W85" s="678">
        <f t="shared" si="12"/>
        <v>222418.91281198376</v>
      </c>
      <c r="X85" s="678">
        <f t="shared" si="12"/>
        <v>198588.31501069979</v>
      </c>
      <c r="Y85" s="678">
        <f t="shared" si="12"/>
        <v>177310.99554526765</v>
      </c>
      <c r="Z85" s="678">
        <f t="shared" si="12"/>
        <v>158313.38887970324</v>
      </c>
      <c r="AA85" s="678">
        <f t="shared" si="12"/>
        <v>141351.24007116363</v>
      </c>
      <c r="AB85" s="678">
        <f t="shared" si="12"/>
        <v>126206.46434925322</v>
      </c>
    </row>
    <row r="86" spans="1:30">
      <c r="A86" s="7" t="s">
        <v>268</v>
      </c>
      <c r="B86" s="12"/>
      <c r="C86" s="14"/>
      <c r="D86" s="678">
        <f t="shared" ref="D86:AB86" si="13">(D84)/(1+EscoDiscountRate)^D74</f>
        <v>323088.64588881034</v>
      </c>
      <c r="E86" s="678">
        <f t="shared" si="13"/>
        <v>1596367.5762440192</v>
      </c>
      <c r="F86" s="678">
        <f t="shared" si="13"/>
        <v>1330306.3135366826</v>
      </c>
      <c r="G86" s="678">
        <f t="shared" si="13"/>
        <v>1108588.594613902</v>
      </c>
      <c r="H86" s="678">
        <f t="shared" si="13"/>
        <v>923823.82884491852</v>
      </c>
      <c r="I86" s="678">
        <f t="shared" si="13"/>
        <v>769853.19070409879</v>
      </c>
      <c r="J86" s="678">
        <f t="shared" si="13"/>
        <v>641544.32558674901</v>
      </c>
      <c r="K86" s="678">
        <f t="shared" si="13"/>
        <v>534620.27132229076</v>
      </c>
      <c r="L86" s="678">
        <f t="shared" si="13"/>
        <v>445516.89276857569</v>
      </c>
      <c r="M86" s="678">
        <f t="shared" si="13"/>
        <v>371264.07730714639</v>
      </c>
      <c r="N86" s="678">
        <f t="shared" si="13"/>
        <v>309386.73108928866</v>
      </c>
      <c r="O86" s="678">
        <f t="shared" si="13"/>
        <v>257822.27590774058</v>
      </c>
      <c r="P86" s="678">
        <f t="shared" si="13"/>
        <v>214851.89658978384</v>
      </c>
      <c r="Q86" s="678">
        <f t="shared" si="13"/>
        <v>179043.24715815319</v>
      </c>
      <c r="R86" s="678">
        <f t="shared" si="13"/>
        <v>149202.70596512765</v>
      </c>
      <c r="S86" s="678">
        <f t="shared" si="13"/>
        <v>124335.58830427304</v>
      </c>
      <c r="T86" s="678">
        <f t="shared" si="13"/>
        <v>103612.99025356089</v>
      </c>
      <c r="U86" s="678">
        <f t="shared" si="13"/>
        <v>86344.158544634076</v>
      </c>
      <c r="V86" s="678">
        <f t="shared" si="13"/>
        <v>71953.465453861732</v>
      </c>
      <c r="W86" s="678">
        <f t="shared" si="13"/>
        <v>59961.221211551441</v>
      </c>
      <c r="X86" s="678">
        <f t="shared" si="13"/>
        <v>49967.684342959532</v>
      </c>
      <c r="Y86" s="678">
        <f t="shared" si="13"/>
        <v>41639.736952466279</v>
      </c>
      <c r="Z86" s="678">
        <f t="shared" si="13"/>
        <v>34699.780793721904</v>
      </c>
      <c r="AA86" s="678">
        <f t="shared" si="13"/>
        <v>28916.483994768252</v>
      </c>
      <c r="AB86" s="678">
        <f t="shared" si="13"/>
        <v>24097.06999564021</v>
      </c>
    </row>
    <row r="87" spans="1:30">
      <c r="A87" s="7"/>
      <c r="B87" s="12"/>
      <c r="C87" s="14"/>
      <c r="D87" s="678"/>
      <c r="E87" s="678"/>
      <c r="F87" s="678"/>
      <c r="G87" s="678"/>
      <c r="H87" s="678"/>
      <c r="I87" s="678"/>
      <c r="J87" s="678"/>
      <c r="K87" s="678"/>
      <c r="L87" s="678"/>
      <c r="M87" s="678"/>
      <c r="N87" s="678"/>
      <c r="O87" s="678"/>
      <c r="P87" s="678"/>
      <c r="Q87" s="678"/>
      <c r="R87" s="678"/>
      <c r="S87" s="678"/>
      <c r="T87" s="678"/>
      <c r="U87" s="678"/>
      <c r="V87" s="678"/>
      <c r="W87" s="678"/>
      <c r="X87" s="678"/>
      <c r="Y87" s="678"/>
      <c r="Z87" s="678"/>
      <c r="AA87" s="678"/>
      <c r="AB87" s="678"/>
    </row>
    <row r="88" spans="1:30" s="700" customFormat="1">
      <c r="A88" s="698" t="s">
        <v>269</v>
      </c>
      <c r="B88" s="696"/>
      <c r="C88" s="697"/>
      <c r="D88" s="699">
        <f t="shared" ref="D88:AB88" si="14">D84-D77</f>
        <v>-2859334.4358054199</v>
      </c>
      <c r="E88" s="699">
        <f t="shared" si="14"/>
        <v>1017200.1213751454</v>
      </c>
      <c r="F88" s="699">
        <f t="shared" si="14"/>
        <v>1017200.1213751454</v>
      </c>
      <c r="G88" s="699">
        <f t="shared" si="14"/>
        <v>1017200.1213751454</v>
      </c>
      <c r="H88" s="699">
        <f t="shared" si="14"/>
        <v>1017200.1213751454</v>
      </c>
      <c r="I88" s="699">
        <f t="shared" si="14"/>
        <v>1017200.1213751454</v>
      </c>
      <c r="J88" s="699">
        <f t="shared" si="14"/>
        <v>1017200.1213751454</v>
      </c>
      <c r="K88" s="699">
        <f t="shared" si="14"/>
        <v>1017200.1213751454</v>
      </c>
      <c r="L88" s="699">
        <f t="shared" si="14"/>
        <v>1017200.1213751454</v>
      </c>
      <c r="M88" s="699">
        <f t="shared" si="14"/>
        <v>1017200.1213751454</v>
      </c>
      <c r="N88" s="699">
        <f t="shared" si="14"/>
        <v>1017200.1213751454</v>
      </c>
      <c r="O88" s="699">
        <f t="shared" si="14"/>
        <v>1017200.1213751454</v>
      </c>
      <c r="P88" s="699">
        <f t="shared" si="14"/>
        <v>1017200.1213751454</v>
      </c>
      <c r="Q88" s="699">
        <f t="shared" si="14"/>
        <v>1017200.1213751454</v>
      </c>
      <c r="R88" s="699">
        <f t="shared" si="14"/>
        <v>1017200.1213751454</v>
      </c>
      <c r="S88" s="699">
        <f t="shared" si="14"/>
        <v>1017200.1213751454</v>
      </c>
      <c r="T88" s="699">
        <f t="shared" si="14"/>
        <v>1017200.1213751454</v>
      </c>
      <c r="U88" s="699">
        <f t="shared" si="14"/>
        <v>1017200.1213751454</v>
      </c>
      <c r="V88" s="699">
        <f t="shared" si="14"/>
        <v>1017200.1213751454</v>
      </c>
      <c r="W88" s="699">
        <f t="shared" si="14"/>
        <v>1017200.1213751454</v>
      </c>
      <c r="X88" s="699">
        <f t="shared" si="14"/>
        <v>1017200.1213751454</v>
      </c>
      <c r="Y88" s="699">
        <f t="shared" si="14"/>
        <v>1017200.1213751454</v>
      </c>
      <c r="Z88" s="699">
        <f t="shared" si="14"/>
        <v>1017200.1213751454</v>
      </c>
      <c r="AA88" s="699">
        <f t="shared" si="14"/>
        <v>1017200.1213751454</v>
      </c>
      <c r="AB88" s="699">
        <f t="shared" si="14"/>
        <v>1017200.1213751454</v>
      </c>
    </row>
    <row r="89" spans="1:30">
      <c r="A89" s="7"/>
      <c r="B89" s="12"/>
      <c r="C89" s="14"/>
      <c r="D89" s="14"/>
      <c r="E89" s="14"/>
      <c r="F89" s="14"/>
      <c r="G89" s="14"/>
      <c r="H89" s="14"/>
      <c r="I89" s="14"/>
      <c r="J89" s="14"/>
      <c r="K89" s="14"/>
      <c r="L89" s="14"/>
      <c r="M89" s="14"/>
      <c r="N89" s="14"/>
      <c r="O89" s="14"/>
      <c r="P89" s="14"/>
      <c r="Q89" s="14"/>
      <c r="R89" s="14"/>
      <c r="S89" s="14"/>
      <c r="T89" s="14"/>
      <c r="U89" s="14"/>
      <c r="V89" s="14"/>
      <c r="W89" s="14"/>
      <c r="X89" s="14"/>
      <c r="Y89" s="14"/>
      <c r="Z89" s="14"/>
      <c r="AA89" s="14"/>
      <c r="AB89" s="14"/>
    </row>
    <row r="90" spans="1:30">
      <c r="A90" s="7"/>
      <c r="B90" s="12"/>
      <c r="C90" s="14"/>
      <c r="D90" s="14"/>
      <c r="E90" s="14"/>
      <c r="F90" s="14"/>
      <c r="G90" s="14"/>
      <c r="H90" s="14"/>
      <c r="I90" s="14"/>
      <c r="J90" s="14"/>
      <c r="K90" s="14"/>
      <c r="L90" s="14"/>
      <c r="M90" s="14"/>
      <c r="N90" s="14"/>
      <c r="O90" s="14"/>
      <c r="P90" s="14"/>
      <c r="Q90" s="14"/>
      <c r="R90" s="14"/>
      <c r="S90" s="14"/>
      <c r="T90" s="14"/>
      <c r="U90" s="14"/>
      <c r="V90" s="14"/>
      <c r="W90" s="14"/>
      <c r="X90" s="14"/>
      <c r="Y90" s="14"/>
      <c r="Z90" s="14"/>
      <c r="AA90" s="14"/>
      <c r="AB90" s="14"/>
    </row>
    <row r="91" spans="1:30">
      <c r="A91" s="664" t="s">
        <v>270</v>
      </c>
      <c r="B91" s="665"/>
      <c r="C91" s="665"/>
      <c r="D91" s="665" t="s">
        <v>374</v>
      </c>
      <c r="E91" s="670" t="s">
        <v>375</v>
      </c>
      <c r="F91" s="665" t="s">
        <v>376</v>
      </c>
      <c r="G91" s="665" t="s">
        <v>377</v>
      </c>
      <c r="H91" s="666" t="s">
        <v>378</v>
      </c>
      <c r="I91" s="666" t="s">
        <v>379</v>
      </c>
      <c r="J91" s="667" t="s">
        <v>380</v>
      </c>
      <c r="K91" s="668" t="s">
        <v>381</v>
      </c>
      <c r="L91" s="668" t="s">
        <v>382</v>
      </c>
      <c r="M91" s="668" t="s">
        <v>383</v>
      </c>
      <c r="N91" s="668" t="s">
        <v>384</v>
      </c>
      <c r="O91" s="669" t="s">
        <v>385</v>
      </c>
      <c r="P91" s="669" t="s">
        <v>386</v>
      </c>
      <c r="Q91" s="669" t="s">
        <v>387</v>
      </c>
      <c r="R91" s="669" t="s">
        <v>388</v>
      </c>
      <c r="S91" s="669" t="s">
        <v>389</v>
      </c>
      <c r="T91" s="669" t="s">
        <v>390</v>
      </c>
      <c r="U91" s="669" t="s">
        <v>391</v>
      </c>
      <c r="V91" s="669" t="s">
        <v>392</v>
      </c>
      <c r="W91" s="669" t="s">
        <v>393</v>
      </c>
      <c r="X91" s="669" t="s">
        <v>394</v>
      </c>
      <c r="Y91" s="669" t="s">
        <v>395</v>
      </c>
      <c r="Z91" s="669" t="s">
        <v>396</v>
      </c>
      <c r="AA91" s="669" t="s">
        <v>397</v>
      </c>
      <c r="AB91" s="669" t="s">
        <v>398</v>
      </c>
    </row>
    <row r="92" spans="1:30">
      <c r="A92" s="7" t="s">
        <v>271</v>
      </c>
      <c r="B92" s="12">
        <f>(B64)*AvePrice_per_liter_of_Kerosene*ValUncertainty_and_Market_Adjustment_for_Kerosene*ValQuality_and_Standards_Agjustment</f>
        <v>542783.27356477198</v>
      </c>
      <c r="C92" s="14"/>
      <c r="D92" s="848">
        <f>B92</f>
        <v>542783.27356477198</v>
      </c>
      <c r="E92" s="848">
        <v>3218218.134164982</v>
      </c>
      <c r="F92" s="848">
        <v>3218218.134164982</v>
      </c>
      <c r="G92" s="848">
        <v>3218218.134164982</v>
      </c>
      <c r="H92" s="848">
        <v>3218218.134164982</v>
      </c>
      <c r="I92" s="848">
        <v>3218218.134164982</v>
      </c>
      <c r="J92" s="848">
        <v>3218218.134164982</v>
      </c>
      <c r="K92" s="848">
        <v>3218218.134164982</v>
      </c>
      <c r="L92" s="848">
        <v>3218218.134164982</v>
      </c>
      <c r="M92" s="848">
        <v>3218218.134164982</v>
      </c>
      <c r="N92" s="848">
        <v>3218218.134164982</v>
      </c>
      <c r="O92" s="848">
        <v>3218218.134164982</v>
      </c>
      <c r="P92" s="848">
        <v>3218218.134164982</v>
      </c>
      <c r="Q92" s="848">
        <v>3218218.134164982</v>
      </c>
      <c r="R92" s="848">
        <v>3218218.134164982</v>
      </c>
      <c r="S92" s="848">
        <v>3218218.134164982</v>
      </c>
      <c r="T92" s="848">
        <v>3218218.134164982</v>
      </c>
      <c r="U92" s="848">
        <v>3218218.134164982</v>
      </c>
      <c r="V92" s="848">
        <v>3218218.134164982</v>
      </c>
      <c r="W92" s="848">
        <v>3218218.134164982</v>
      </c>
      <c r="X92" s="848">
        <v>3218218.134164982</v>
      </c>
      <c r="Y92" s="848">
        <v>3218218.134164982</v>
      </c>
      <c r="Z92" s="848">
        <v>3218218.134164982</v>
      </c>
      <c r="AA92" s="848">
        <v>3218218.134164982</v>
      </c>
      <c r="AB92" s="848">
        <v>3218218.134164982</v>
      </c>
      <c r="AC92" s="846"/>
      <c r="AD92" s="846"/>
    </row>
    <row r="93" spans="1:30">
      <c r="A93" s="7" t="s">
        <v>272</v>
      </c>
      <c r="B93" s="12">
        <f>(B65)*AvPriceWood_charcoal*ValQuality_and_Standards_Agjustment*ValUncertainty_and_Market_Adjustment_for_Kerosene</f>
        <v>72281.364305298703</v>
      </c>
      <c r="C93" s="14"/>
      <c r="D93" s="848">
        <f>B93</f>
        <v>72281.364305298703</v>
      </c>
      <c r="E93" s="848">
        <v>428563.68038345373</v>
      </c>
      <c r="F93" s="848">
        <v>428563.68038345373</v>
      </c>
      <c r="G93" s="848">
        <v>428563.68038345373</v>
      </c>
      <c r="H93" s="848">
        <v>428563.68038345373</v>
      </c>
      <c r="I93" s="848">
        <v>428563.68038345373</v>
      </c>
      <c r="J93" s="848">
        <v>428563.68038345373</v>
      </c>
      <c r="K93" s="848">
        <v>428563.68038345373</v>
      </c>
      <c r="L93" s="848">
        <v>428563.68038345373</v>
      </c>
      <c r="M93" s="848">
        <v>428563.68038345373</v>
      </c>
      <c r="N93" s="848">
        <v>428563.68038345373</v>
      </c>
      <c r="O93" s="848">
        <v>428563.68038345373</v>
      </c>
      <c r="P93" s="848">
        <v>428563.68038345373</v>
      </c>
      <c r="Q93" s="848">
        <v>428563.68038345373</v>
      </c>
      <c r="R93" s="848">
        <v>428563.68038345373</v>
      </c>
      <c r="S93" s="848">
        <v>428563.68038345373</v>
      </c>
      <c r="T93" s="848">
        <v>428563.68038345373</v>
      </c>
      <c r="U93" s="848">
        <v>428563.68038345373</v>
      </c>
      <c r="V93" s="848">
        <v>428563.68038345373</v>
      </c>
      <c r="W93" s="848">
        <v>428563.68038345373</v>
      </c>
      <c r="X93" s="848">
        <v>428563.68038345373</v>
      </c>
      <c r="Y93" s="848">
        <v>428563.68038345373</v>
      </c>
      <c r="Z93" s="848">
        <v>428563.68038345373</v>
      </c>
      <c r="AA93" s="848">
        <v>428563.68038345373</v>
      </c>
      <c r="AB93" s="848">
        <v>428563.68038345373</v>
      </c>
      <c r="AC93" s="846"/>
      <c r="AD93" s="846"/>
    </row>
    <row r="94" spans="1:30">
      <c r="A94" s="7" t="s">
        <v>273</v>
      </c>
      <c r="B94" s="12">
        <f>B83</f>
        <v>65333.430778568996</v>
      </c>
      <c r="C94" s="14"/>
      <c r="D94" s="848">
        <f>B94</f>
        <v>65333.430778568996</v>
      </c>
      <c r="E94" s="848">
        <v>387368.66432512249</v>
      </c>
      <c r="F94" s="848">
        <v>387368.66432512249</v>
      </c>
      <c r="G94" s="848">
        <v>387368.66432512249</v>
      </c>
      <c r="H94" s="848">
        <v>387368.66432512249</v>
      </c>
      <c r="I94" s="848">
        <v>387368.66432512249</v>
      </c>
      <c r="J94" s="848">
        <v>387368.66432512249</v>
      </c>
      <c r="K94" s="848">
        <v>387368.66432512249</v>
      </c>
      <c r="L94" s="848">
        <v>387368.66432512249</v>
      </c>
      <c r="M94" s="848">
        <v>387368.66432512249</v>
      </c>
      <c r="N94" s="848">
        <v>387368.66432512249</v>
      </c>
      <c r="O94" s="848">
        <v>387368.66432512249</v>
      </c>
      <c r="P94" s="848">
        <v>387368.66432512249</v>
      </c>
      <c r="Q94" s="848">
        <v>387368.66432512249</v>
      </c>
      <c r="R94" s="848">
        <v>387368.66432512249</v>
      </c>
      <c r="S94" s="848">
        <v>387368.66432512249</v>
      </c>
      <c r="T94" s="848">
        <v>387368.66432512249</v>
      </c>
      <c r="U94" s="848">
        <v>387368.66432512249</v>
      </c>
      <c r="V94" s="848">
        <v>387368.66432512249</v>
      </c>
      <c r="W94" s="848">
        <v>387368.66432512249</v>
      </c>
      <c r="X94" s="848">
        <v>387368.66432512249</v>
      </c>
      <c r="Y94" s="848">
        <v>387368.66432512249</v>
      </c>
      <c r="Z94" s="848">
        <v>387368.66432512249</v>
      </c>
      <c r="AA94" s="848">
        <v>387368.66432512249</v>
      </c>
      <c r="AB94" s="848">
        <v>387368.66432512249</v>
      </c>
      <c r="AC94" s="846"/>
      <c r="AD94" s="846"/>
    </row>
    <row r="95" spans="1:30">
      <c r="A95" s="7" t="s">
        <v>274</v>
      </c>
      <c r="B95" s="12">
        <f>SUM(B92:B94)</f>
        <v>680398.0686486396</v>
      </c>
      <c r="C95" s="14"/>
      <c r="D95" s="14">
        <f>SUM(D92:D94)</f>
        <v>680398.0686486396</v>
      </c>
      <c r="E95" s="14">
        <f t="shared" ref="E95:AB95" si="15">SUM(E92:E94)</f>
        <v>4034150.4788735583</v>
      </c>
      <c r="F95" s="14">
        <f t="shared" si="15"/>
        <v>4034150.4788735583</v>
      </c>
      <c r="G95" s="14">
        <f t="shared" si="15"/>
        <v>4034150.4788735583</v>
      </c>
      <c r="H95" s="14">
        <f t="shared" si="15"/>
        <v>4034150.4788735583</v>
      </c>
      <c r="I95" s="14">
        <f t="shared" si="15"/>
        <v>4034150.4788735583</v>
      </c>
      <c r="J95" s="14">
        <f t="shared" si="15"/>
        <v>4034150.4788735583</v>
      </c>
      <c r="K95" s="14">
        <f t="shared" si="15"/>
        <v>4034150.4788735583</v>
      </c>
      <c r="L95" s="14">
        <f t="shared" si="15"/>
        <v>4034150.4788735583</v>
      </c>
      <c r="M95" s="14">
        <f t="shared" si="15"/>
        <v>4034150.4788735583</v>
      </c>
      <c r="N95" s="14">
        <f t="shared" si="15"/>
        <v>4034150.4788735583</v>
      </c>
      <c r="O95" s="14">
        <f t="shared" si="15"/>
        <v>4034150.4788735583</v>
      </c>
      <c r="P95" s="14">
        <f t="shared" si="15"/>
        <v>4034150.4788735583</v>
      </c>
      <c r="Q95" s="14">
        <f t="shared" si="15"/>
        <v>4034150.4788735583</v>
      </c>
      <c r="R95" s="14">
        <f t="shared" si="15"/>
        <v>4034150.4788735583</v>
      </c>
      <c r="S95" s="14">
        <f t="shared" si="15"/>
        <v>4034150.4788735583</v>
      </c>
      <c r="T95" s="14">
        <f t="shared" si="15"/>
        <v>4034150.4788735583</v>
      </c>
      <c r="U95" s="14">
        <f t="shared" si="15"/>
        <v>4034150.4788735583</v>
      </c>
      <c r="V95" s="14">
        <f t="shared" si="15"/>
        <v>4034150.4788735583</v>
      </c>
      <c r="W95" s="14">
        <f t="shared" si="15"/>
        <v>4034150.4788735583</v>
      </c>
      <c r="X95" s="14">
        <f t="shared" si="15"/>
        <v>4034150.4788735583</v>
      </c>
      <c r="Y95" s="14">
        <f t="shared" si="15"/>
        <v>4034150.4788735583</v>
      </c>
      <c r="Z95" s="14">
        <f t="shared" si="15"/>
        <v>4034150.4788735583</v>
      </c>
      <c r="AA95" s="14">
        <f t="shared" si="15"/>
        <v>4034150.4788735583</v>
      </c>
      <c r="AB95" s="14">
        <f t="shared" si="15"/>
        <v>4034150.4788735583</v>
      </c>
    </row>
    <row r="96" spans="1:30">
      <c r="A96" s="7" t="s">
        <v>275</v>
      </c>
      <c r="B96" s="12"/>
      <c r="C96" s="14"/>
      <c r="D96" s="678">
        <f t="shared" ref="D96:AB96" si="16">(D95)/(1+SocDiscountRate)^D74</f>
        <v>680398.0686486396</v>
      </c>
      <c r="E96" s="678">
        <f t="shared" si="16"/>
        <v>3601920.0704228198</v>
      </c>
      <c r="F96" s="678">
        <f t="shared" si="16"/>
        <v>3216000.0628775172</v>
      </c>
      <c r="G96" s="678">
        <f t="shared" si="16"/>
        <v>2871428.6275692116</v>
      </c>
      <c r="H96" s="678">
        <f t="shared" si="16"/>
        <v>2563775.5603296533</v>
      </c>
      <c r="I96" s="678">
        <f t="shared" si="16"/>
        <v>2289085.3217229047</v>
      </c>
      <c r="J96" s="678">
        <f t="shared" si="16"/>
        <v>2043826.180109736</v>
      </c>
      <c r="K96" s="678">
        <f t="shared" si="16"/>
        <v>1824844.803669407</v>
      </c>
      <c r="L96" s="678">
        <f t="shared" si="16"/>
        <v>1629325.7175619705</v>
      </c>
      <c r="M96" s="678">
        <f t="shared" si="16"/>
        <v>1454755.1049660451</v>
      </c>
      <c r="N96" s="678">
        <f t="shared" si="16"/>
        <v>1298888.4865768258</v>
      </c>
      <c r="O96" s="678">
        <f t="shared" si="16"/>
        <v>1159721.8630150228</v>
      </c>
      <c r="P96" s="678">
        <f t="shared" si="16"/>
        <v>1035465.9491205562</v>
      </c>
      <c r="Q96" s="678">
        <f t="shared" si="16"/>
        <v>924523.16885763931</v>
      </c>
      <c r="R96" s="678">
        <f t="shared" si="16"/>
        <v>825467.1150514636</v>
      </c>
      <c r="S96" s="678">
        <f t="shared" si="16"/>
        <v>737024.20986737823</v>
      </c>
      <c r="T96" s="678">
        <f t="shared" si="16"/>
        <v>658057.33023873041</v>
      </c>
      <c r="U96" s="678">
        <f t="shared" si="16"/>
        <v>587551.18771315215</v>
      </c>
      <c r="V96" s="678">
        <f t="shared" si="16"/>
        <v>524599.27474388585</v>
      </c>
      <c r="W96" s="678">
        <f t="shared" si="16"/>
        <v>468392.20959275513</v>
      </c>
      <c r="X96" s="678">
        <f t="shared" si="16"/>
        <v>418207.3299935314</v>
      </c>
      <c r="Y96" s="678">
        <f t="shared" si="16"/>
        <v>373399.40177993872</v>
      </c>
      <c r="Z96" s="678">
        <f t="shared" si="16"/>
        <v>333392.32301780238</v>
      </c>
      <c r="AA96" s="678">
        <f t="shared" si="16"/>
        <v>297671.7169801807</v>
      </c>
      <c r="AB96" s="678">
        <f t="shared" si="16"/>
        <v>265778.31873230421</v>
      </c>
    </row>
    <row r="97" spans="1:28">
      <c r="A97" s="7" t="s">
        <v>276</v>
      </c>
      <c r="B97" s="12"/>
      <c r="C97" s="14"/>
      <c r="D97" s="678">
        <f t="shared" ref="D97:AB97" si="17">(D95)/(1+EscoDiscountRate)^D74</f>
        <v>680398.0686486396</v>
      </c>
      <c r="E97" s="678">
        <f t="shared" si="17"/>
        <v>3361792.0657279654</v>
      </c>
      <c r="F97" s="678">
        <f t="shared" si="17"/>
        <v>2801493.3881066376</v>
      </c>
      <c r="G97" s="678">
        <f t="shared" si="17"/>
        <v>2334577.8234221982</v>
      </c>
      <c r="H97" s="678">
        <f t="shared" si="17"/>
        <v>1945481.5195184986</v>
      </c>
      <c r="I97" s="678">
        <f t="shared" si="17"/>
        <v>1621234.5995987488</v>
      </c>
      <c r="J97" s="678">
        <f t="shared" si="17"/>
        <v>1351028.8329989573</v>
      </c>
      <c r="K97" s="678">
        <f t="shared" si="17"/>
        <v>1125857.3608324644</v>
      </c>
      <c r="L97" s="678">
        <f t="shared" si="17"/>
        <v>938214.46736038709</v>
      </c>
      <c r="M97" s="678">
        <f t="shared" si="17"/>
        <v>781845.3894669892</v>
      </c>
      <c r="N97" s="678">
        <f t="shared" si="17"/>
        <v>651537.82455582439</v>
      </c>
      <c r="O97" s="678">
        <f t="shared" si="17"/>
        <v>542948.18712985364</v>
      </c>
      <c r="P97" s="678">
        <f t="shared" si="17"/>
        <v>452456.82260821143</v>
      </c>
      <c r="Q97" s="678">
        <f t="shared" si="17"/>
        <v>377047.35217350948</v>
      </c>
      <c r="R97" s="678">
        <f t="shared" si="17"/>
        <v>314206.12681125797</v>
      </c>
      <c r="S97" s="678">
        <f t="shared" si="17"/>
        <v>261838.4390093816</v>
      </c>
      <c r="T97" s="678">
        <f t="shared" si="17"/>
        <v>218198.6991744847</v>
      </c>
      <c r="U97" s="678">
        <f t="shared" si="17"/>
        <v>181832.24931207058</v>
      </c>
      <c r="V97" s="678">
        <f t="shared" si="17"/>
        <v>151526.8744267255</v>
      </c>
      <c r="W97" s="678">
        <f t="shared" si="17"/>
        <v>126272.39535560457</v>
      </c>
      <c r="X97" s="678">
        <f t="shared" si="17"/>
        <v>105226.99612967047</v>
      </c>
      <c r="Y97" s="678">
        <f t="shared" si="17"/>
        <v>87689.163441392069</v>
      </c>
      <c r="Z97" s="678">
        <f t="shared" si="17"/>
        <v>73074.302867826729</v>
      </c>
      <c r="AA97" s="678">
        <f t="shared" si="17"/>
        <v>60895.25238985561</v>
      </c>
      <c r="AB97" s="678">
        <f t="shared" si="17"/>
        <v>50746.043658213013</v>
      </c>
    </row>
    <row r="98" spans="1:28">
      <c r="A98" s="7"/>
      <c r="B98" s="12"/>
      <c r="C98" s="14"/>
      <c r="D98" s="678"/>
      <c r="E98" s="678"/>
      <c r="F98" s="678"/>
      <c r="G98" s="678"/>
      <c r="H98" s="678"/>
      <c r="I98" s="678"/>
      <c r="J98" s="678"/>
      <c r="K98" s="678"/>
      <c r="L98" s="678"/>
      <c r="M98" s="678"/>
      <c r="N98" s="678"/>
      <c r="O98" s="678"/>
      <c r="P98" s="678"/>
      <c r="Q98" s="678"/>
      <c r="R98" s="678"/>
      <c r="S98" s="678"/>
      <c r="T98" s="678"/>
      <c r="U98" s="678"/>
      <c r="V98" s="678"/>
      <c r="W98" s="678"/>
      <c r="X98" s="678"/>
      <c r="Y98" s="678"/>
      <c r="Z98" s="678"/>
      <c r="AA98" s="678"/>
      <c r="AB98" s="678"/>
    </row>
    <row r="99" spans="1:28">
      <c r="A99" s="664" t="s">
        <v>277</v>
      </c>
      <c r="B99" s="685"/>
      <c r="C99" s="686"/>
      <c r="D99" s="695"/>
      <c r="E99" s="695"/>
      <c r="F99" s="695"/>
      <c r="G99" s="695"/>
      <c r="H99" s="695"/>
      <c r="I99" s="695"/>
      <c r="J99" s="695"/>
      <c r="K99" s="695"/>
      <c r="L99" s="695"/>
      <c r="M99" s="695"/>
      <c r="N99" s="695"/>
      <c r="O99" s="695"/>
      <c r="P99" s="695"/>
      <c r="Q99" s="695"/>
      <c r="R99" s="695"/>
      <c r="S99" s="695"/>
      <c r="T99" s="695"/>
      <c r="U99" s="695"/>
      <c r="V99" s="695"/>
      <c r="W99" s="695"/>
      <c r="X99" s="695"/>
      <c r="Y99" s="695"/>
      <c r="Z99" s="695"/>
      <c r="AA99" s="695"/>
      <c r="AB99" s="695"/>
    </row>
    <row r="100" spans="1:28">
      <c r="A100" s="5" t="s">
        <v>278</v>
      </c>
      <c r="B100" s="12">
        <f>B64*B47*ValUncertainty_and_Market_Adjustment_for_Kerosene</f>
        <v>33923954.597798251</v>
      </c>
      <c r="C100" s="14"/>
      <c r="D100" s="678">
        <f t="shared" ref="D100:D105" si="18">B100</f>
        <v>33923954.597798251</v>
      </c>
      <c r="E100" s="678">
        <v>201138633.38531137</v>
      </c>
      <c r="F100" s="678">
        <v>201138633.38531137</v>
      </c>
      <c r="G100" s="678">
        <v>201138633.38531137</v>
      </c>
      <c r="H100" s="678">
        <v>201138633.38531137</v>
      </c>
      <c r="I100" s="678">
        <v>201138633.38531137</v>
      </c>
      <c r="J100" s="678">
        <v>201138633.38531137</v>
      </c>
      <c r="K100" s="678">
        <v>201138633.38531137</v>
      </c>
      <c r="L100" s="678">
        <v>201138633.38531137</v>
      </c>
      <c r="M100" s="678">
        <v>201138633.38531137</v>
      </c>
      <c r="N100" s="678">
        <v>201138633.38531137</v>
      </c>
      <c r="O100" s="678">
        <v>201138633.38531137</v>
      </c>
      <c r="P100" s="678">
        <v>201138633.38531137</v>
      </c>
      <c r="Q100" s="678">
        <v>201138633.38531137</v>
      </c>
      <c r="R100" s="678">
        <v>201138633.38531137</v>
      </c>
      <c r="S100" s="678">
        <v>201138633.38531137</v>
      </c>
      <c r="T100" s="678">
        <v>201138633.38531137</v>
      </c>
      <c r="U100" s="678">
        <v>201138633.38531137</v>
      </c>
      <c r="V100" s="678">
        <v>201138633.38531137</v>
      </c>
      <c r="W100" s="678">
        <v>201138633.38531137</v>
      </c>
      <c r="X100" s="678">
        <v>201138633.38531137</v>
      </c>
      <c r="Y100" s="678">
        <v>201138633.38531137</v>
      </c>
      <c r="Z100" s="678">
        <v>201138633.38531137</v>
      </c>
      <c r="AA100" s="678">
        <v>201138633.38531137</v>
      </c>
      <c r="AB100" s="678">
        <v>201138633.38531137</v>
      </c>
    </row>
    <row r="101" spans="1:28">
      <c r="A101" s="7" t="s">
        <v>279</v>
      </c>
      <c r="B101" s="12">
        <f>B100*EValKerosene*EfficiencyValKerosene*(1/B45)</f>
        <v>24312167.461755414</v>
      </c>
      <c r="C101" s="14"/>
      <c r="D101" s="678">
        <f t="shared" si="18"/>
        <v>24312167.461755414</v>
      </c>
      <c r="E101" s="678">
        <v>144149353.9261398</v>
      </c>
      <c r="F101" s="678">
        <v>144149353.9261398</v>
      </c>
      <c r="G101" s="678">
        <v>144149353.9261398</v>
      </c>
      <c r="H101" s="678">
        <v>144149353.9261398</v>
      </c>
      <c r="I101" s="678">
        <v>144149353.9261398</v>
      </c>
      <c r="J101" s="678">
        <v>144149353.9261398</v>
      </c>
      <c r="K101" s="678">
        <v>144149353.9261398</v>
      </c>
      <c r="L101" s="678">
        <v>144149353.9261398</v>
      </c>
      <c r="M101" s="678">
        <v>144149353.9261398</v>
      </c>
      <c r="N101" s="678">
        <v>144149353.9261398</v>
      </c>
      <c r="O101" s="678">
        <v>144149353.9261398</v>
      </c>
      <c r="P101" s="678">
        <v>144149353.9261398</v>
      </c>
      <c r="Q101" s="678">
        <v>144149353.9261398</v>
      </c>
      <c r="R101" s="678">
        <v>144149353.9261398</v>
      </c>
      <c r="S101" s="678">
        <v>144149353.9261398</v>
      </c>
      <c r="T101" s="678">
        <v>144149353.9261398</v>
      </c>
      <c r="U101" s="678">
        <v>144149353.9261398</v>
      </c>
      <c r="V101" s="678">
        <v>144149353.9261398</v>
      </c>
      <c r="W101" s="678">
        <v>144149353.9261398</v>
      </c>
      <c r="X101" s="678">
        <v>144149353.9261398</v>
      </c>
      <c r="Y101" s="678">
        <v>144149353.9261398</v>
      </c>
      <c r="Z101" s="678">
        <v>144149353.9261398</v>
      </c>
      <c r="AA101" s="678">
        <v>144149353.9261398</v>
      </c>
      <c r="AB101" s="678">
        <v>144149353.9261398</v>
      </c>
    </row>
    <row r="102" spans="1:28" ht="24.95">
      <c r="A102" s="7" t="s">
        <v>280</v>
      </c>
      <c r="B102" s="12">
        <f>B101*GensetCapacityUtilFac</f>
        <v>13362709.681153039</v>
      </c>
      <c r="C102" s="14"/>
      <c r="D102" s="678">
        <f t="shared" si="18"/>
        <v>13362709.681153039</v>
      </c>
      <c r="E102" s="678">
        <v>79228886.946047083</v>
      </c>
      <c r="F102" s="678">
        <v>79228886.946047083</v>
      </c>
      <c r="G102" s="678">
        <v>79228886.946047083</v>
      </c>
      <c r="H102" s="678">
        <v>79228886.946047083</v>
      </c>
      <c r="I102" s="678">
        <v>79228886.946047083</v>
      </c>
      <c r="J102" s="678">
        <v>79228886.946047083</v>
      </c>
      <c r="K102" s="678">
        <v>79228886.946047083</v>
      </c>
      <c r="L102" s="678">
        <v>79228886.946047083</v>
      </c>
      <c r="M102" s="678">
        <v>79228886.946047083</v>
      </c>
      <c r="N102" s="678">
        <v>79228886.946047083</v>
      </c>
      <c r="O102" s="678">
        <v>79228886.946047083</v>
      </c>
      <c r="P102" s="678">
        <v>79228886.946047083</v>
      </c>
      <c r="Q102" s="678">
        <v>79228886.946047083</v>
      </c>
      <c r="R102" s="678">
        <v>79228886.946047083</v>
      </c>
      <c r="S102" s="678">
        <v>79228886.946047083</v>
      </c>
      <c r="T102" s="678">
        <v>79228886.946047083</v>
      </c>
      <c r="U102" s="678">
        <v>79228886.946047083</v>
      </c>
      <c r="V102" s="678">
        <v>79228886.946047083</v>
      </c>
      <c r="W102" s="678">
        <v>79228886.946047083</v>
      </c>
      <c r="X102" s="678">
        <v>79228886.946047083</v>
      </c>
      <c r="Y102" s="678">
        <v>79228886.946047083</v>
      </c>
      <c r="Z102" s="678">
        <v>79228886.946047083</v>
      </c>
      <c r="AA102" s="678">
        <v>79228886.946047083</v>
      </c>
      <c r="AB102" s="678">
        <v>79228886.946047083</v>
      </c>
    </row>
    <row r="103" spans="1:28">
      <c r="A103" s="5" t="s">
        <v>281</v>
      </c>
      <c r="B103" s="12">
        <f>B65*B48*ValUncertainty_and_Market_Adjustment_for_Kerosene</f>
        <v>26000490.757301688</v>
      </c>
      <c r="C103" s="14"/>
      <c r="D103" s="678">
        <f t="shared" si="18"/>
        <v>26000490.757301688</v>
      </c>
      <c r="E103" s="678">
        <v>154159597.26023516</v>
      </c>
      <c r="F103" s="678">
        <v>154159597.26023516</v>
      </c>
      <c r="G103" s="678">
        <v>154159597.26023516</v>
      </c>
      <c r="H103" s="678">
        <v>154159597.26023516</v>
      </c>
      <c r="I103" s="678">
        <v>154159597.26023516</v>
      </c>
      <c r="J103" s="678">
        <v>154159597.26023516</v>
      </c>
      <c r="K103" s="678">
        <v>154159597.26023516</v>
      </c>
      <c r="L103" s="678">
        <v>154159597.26023516</v>
      </c>
      <c r="M103" s="678">
        <v>154159597.26023516</v>
      </c>
      <c r="N103" s="678">
        <v>154159597.26023516</v>
      </c>
      <c r="O103" s="678">
        <v>154159597.26023516</v>
      </c>
      <c r="P103" s="678">
        <v>154159597.26023516</v>
      </c>
      <c r="Q103" s="678">
        <v>154159597.26023516</v>
      </c>
      <c r="R103" s="678">
        <v>154159597.26023516</v>
      </c>
      <c r="S103" s="678">
        <v>154159597.26023516</v>
      </c>
      <c r="T103" s="678">
        <v>154159597.26023516</v>
      </c>
      <c r="U103" s="678">
        <v>154159597.26023516</v>
      </c>
      <c r="V103" s="678">
        <v>154159597.26023516</v>
      </c>
      <c r="W103" s="678">
        <v>154159597.26023516</v>
      </c>
      <c r="X103" s="678">
        <v>154159597.26023516</v>
      </c>
      <c r="Y103" s="678">
        <v>154159597.26023516</v>
      </c>
      <c r="Z103" s="678">
        <v>154159597.26023516</v>
      </c>
      <c r="AA103" s="678">
        <v>154159597.26023516</v>
      </c>
      <c r="AB103" s="678">
        <v>154159597.26023516</v>
      </c>
    </row>
    <row r="104" spans="1:28">
      <c r="A104" s="846" t="s">
        <v>282</v>
      </c>
      <c r="B104" s="694">
        <f>B103*EvalFuelwood*EfficiencyValFuelwood*(1/B45)</f>
        <v>17333660.504867792</v>
      </c>
      <c r="C104" s="14"/>
      <c r="D104" s="678">
        <f t="shared" si="18"/>
        <v>17333660.504867792</v>
      </c>
      <c r="E104" s="678">
        <v>102773064.84015678</v>
      </c>
      <c r="F104" s="678">
        <v>102773064.84015678</v>
      </c>
      <c r="G104" s="678">
        <v>102773064.84015678</v>
      </c>
      <c r="H104" s="678">
        <v>102773064.84015678</v>
      </c>
      <c r="I104" s="678">
        <v>102773064.84015678</v>
      </c>
      <c r="J104" s="678">
        <v>102773064.84015678</v>
      </c>
      <c r="K104" s="678">
        <v>102773064.84015678</v>
      </c>
      <c r="L104" s="678">
        <v>102773064.84015678</v>
      </c>
      <c r="M104" s="678">
        <v>102773064.84015678</v>
      </c>
      <c r="N104" s="678">
        <v>102773064.84015678</v>
      </c>
      <c r="O104" s="678">
        <v>102773064.84015678</v>
      </c>
      <c r="P104" s="678">
        <v>102773064.84015678</v>
      </c>
      <c r="Q104" s="678">
        <v>102773064.84015678</v>
      </c>
      <c r="R104" s="678">
        <v>102773064.84015678</v>
      </c>
      <c r="S104" s="678">
        <v>102773064.84015678</v>
      </c>
      <c r="T104" s="678">
        <v>102773064.84015678</v>
      </c>
      <c r="U104" s="678">
        <v>102773064.84015678</v>
      </c>
      <c r="V104" s="678">
        <v>102773064.84015678</v>
      </c>
      <c r="W104" s="678">
        <v>102773064.84015678</v>
      </c>
      <c r="X104" s="678">
        <v>102773064.84015678</v>
      </c>
      <c r="Y104" s="678">
        <v>102773064.84015678</v>
      </c>
      <c r="Z104" s="678">
        <v>102773064.84015678</v>
      </c>
      <c r="AA104" s="678">
        <v>102773064.84015678</v>
      </c>
      <c r="AB104" s="678">
        <v>102773064.84015678</v>
      </c>
    </row>
    <row r="105" spans="1:28" ht="24.95">
      <c r="A105" s="7" t="s">
        <v>283</v>
      </c>
      <c r="B105" s="12">
        <f>B104*GensetCapacityUtilFac</f>
        <v>9527109.1482311189</v>
      </c>
      <c r="C105" s="14"/>
      <c r="D105" s="678">
        <f t="shared" si="18"/>
        <v>9527109.1482311189</v>
      </c>
      <c r="E105" s="678">
        <v>56487214.916632265</v>
      </c>
      <c r="F105" s="678">
        <v>56487214.916632265</v>
      </c>
      <c r="G105" s="678">
        <v>56487214.916632265</v>
      </c>
      <c r="H105" s="678">
        <v>56487214.916632265</v>
      </c>
      <c r="I105" s="678">
        <v>56487214.916632265</v>
      </c>
      <c r="J105" s="678">
        <v>56487214.916632265</v>
      </c>
      <c r="K105" s="678">
        <v>56487214.916632265</v>
      </c>
      <c r="L105" s="678">
        <v>56487214.916632265</v>
      </c>
      <c r="M105" s="678">
        <v>56487214.916632265</v>
      </c>
      <c r="N105" s="678">
        <v>56487214.916632265</v>
      </c>
      <c r="O105" s="678">
        <v>56487214.916632265</v>
      </c>
      <c r="P105" s="678">
        <v>56487214.916632265</v>
      </c>
      <c r="Q105" s="678">
        <v>56487214.916632265</v>
      </c>
      <c r="R105" s="678">
        <v>56487214.916632265</v>
      </c>
      <c r="S105" s="678">
        <v>56487214.916632265</v>
      </c>
      <c r="T105" s="678">
        <v>56487214.916632265</v>
      </c>
      <c r="U105" s="678">
        <v>56487214.916632265</v>
      </c>
      <c r="V105" s="678">
        <v>56487214.916632265</v>
      </c>
      <c r="W105" s="678">
        <v>56487214.916632265</v>
      </c>
      <c r="X105" s="678">
        <v>56487214.916632265</v>
      </c>
      <c r="Y105" s="678">
        <v>56487214.916632265</v>
      </c>
      <c r="Z105" s="678">
        <v>56487214.916632265</v>
      </c>
      <c r="AA105" s="678">
        <v>56487214.916632265</v>
      </c>
      <c r="AB105" s="678">
        <v>56487214.916632265</v>
      </c>
    </row>
    <row r="106" spans="1:28">
      <c r="A106" s="7"/>
      <c r="B106" s="12"/>
      <c r="C106" s="14"/>
      <c r="D106" s="678"/>
      <c r="E106" s="678"/>
      <c r="F106" s="678"/>
      <c r="G106" s="678"/>
      <c r="H106" s="678"/>
      <c r="I106" s="678"/>
      <c r="J106" s="678"/>
      <c r="K106" s="678"/>
      <c r="L106" s="678"/>
      <c r="M106" s="678"/>
      <c r="N106" s="678"/>
      <c r="O106" s="678"/>
      <c r="P106" s="678"/>
      <c r="Q106" s="678"/>
      <c r="R106" s="678"/>
      <c r="S106" s="678"/>
      <c r="T106" s="678"/>
      <c r="U106" s="678"/>
      <c r="V106" s="678"/>
      <c r="W106" s="678"/>
      <c r="X106" s="678"/>
      <c r="Y106" s="678"/>
      <c r="Z106" s="678"/>
      <c r="AA106" s="678"/>
      <c r="AB106" s="678"/>
    </row>
    <row r="107" spans="1:28">
      <c r="A107" s="7"/>
      <c r="B107" s="12"/>
      <c r="C107" s="14"/>
      <c r="D107" s="678"/>
      <c r="E107" s="678"/>
      <c r="F107" s="678"/>
      <c r="G107" s="678"/>
      <c r="H107" s="678"/>
      <c r="I107" s="678"/>
      <c r="J107" s="678"/>
      <c r="K107" s="678"/>
      <c r="L107" s="678"/>
      <c r="M107" s="678"/>
      <c r="N107" s="678"/>
      <c r="O107" s="678"/>
      <c r="P107" s="678"/>
      <c r="Q107" s="678"/>
      <c r="R107" s="678"/>
      <c r="S107" s="678"/>
      <c r="T107" s="678"/>
      <c r="U107" s="678"/>
      <c r="V107" s="678"/>
      <c r="W107" s="678"/>
      <c r="X107" s="678"/>
      <c r="Y107" s="678"/>
      <c r="Z107" s="678"/>
      <c r="AA107" s="678"/>
      <c r="AB107" s="678"/>
    </row>
    <row r="108" spans="1:28">
      <c r="A108" s="7" t="s">
        <v>284</v>
      </c>
      <c r="B108" s="12"/>
      <c r="C108" s="14"/>
      <c r="D108" s="678"/>
      <c r="E108" s="678"/>
      <c r="F108" s="678"/>
      <c r="G108" s="678"/>
      <c r="H108" s="678"/>
      <c r="I108" s="678"/>
      <c r="J108" s="678"/>
      <c r="K108" s="678"/>
      <c r="L108" s="678"/>
      <c r="M108" s="678"/>
      <c r="N108" s="678"/>
      <c r="O108" s="678"/>
      <c r="P108" s="678"/>
      <c r="Q108" s="678"/>
      <c r="R108" s="678"/>
      <c r="S108" s="678"/>
      <c r="T108" s="678"/>
      <c r="U108" s="678"/>
      <c r="V108" s="678"/>
      <c r="W108" s="678"/>
      <c r="X108" s="678"/>
      <c r="Y108" s="678"/>
      <c r="Z108" s="678"/>
      <c r="AA108" s="678"/>
      <c r="AB108" s="678"/>
    </row>
    <row r="109" spans="1:28" ht="24.95">
      <c r="A109" s="7" t="s">
        <v>88</v>
      </c>
      <c r="B109" s="12">
        <f>B95</f>
        <v>680398.0686486396</v>
      </c>
      <c r="C109" s="14"/>
      <c r="D109" s="678"/>
      <c r="E109" s="678"/>
      <c r="F109" s="678"/>
      <c r="G109" s="678"/>
      <c r="H109" s="678"/>
      <c r="I109" s="678"/>
      <c r="J109" s="678"/>
      <c r="K109" s="678"/>
      <c r="L109" s="678"/>
      <c r="M109" s="678"/>
      <c r="N109" s="678"/>
      <c r="O109" s="678"/>
      <c r="P109" s="678"/>
      <c r="Q109" s="678"/>
      <c r="R109" s="678"/>
      <c r="S109" s="678"/>
      <c r="T109" s="678"/>
      <c r="U109" s="678"/>
      <c r="V109" s="678"/>
      <c r="W109" s="678"/>
      <c r="X109" s="678"/>
      <c r="Y109" s="678"/>
      <c r="Z109" s="678"/>
      <c r="AA109" s="678"/>
      <c r="AB109" s="678"/>
    </row>
    <row r="110" spans="1:28" ht="24.95">
      <c r="A110" s="7" t="s">
        <v>89</v>
      </c>
      <c r="B110" s="12">
        <f>SUM(D96:AB96)</f>
        <v>32083499.403159067</v>
      </c>
      <c r="C110" s="14"/>
      <c r="D110" s="678"/>
      <c r="E110" s="678"/>
      <c r="F110" s="678"/>
      <c r="G110" s="678"/>
      <c r="H110" s="678"/>
      <c r="I110" s="678"/>
      <c r="J110" s="678"/>
      <c r="K110" s="678"/>
      <c r="L110" s="678"/>
      <c r="M110" s="678"/>
      <c r="N110" s="678"/>
      <c r="O110" s="678"/>
      <c r="P110" s="678"/>
      <c r="Q110" s="678"/>
      <c r="R110" s="678"/>
      <c r="S110" s="678"/>
      <c r="T110" s="678"/>
      <c r="U110" s="678"/>
      <c r="V110" s="678"/>
      <c r="W110" s="678"/>
      <c r="X110" s="678"/>
      <c r="Y110" s="678"/>
      <c r="Z110" s="678"/>
      <c r="AA110" s="678"/>
      <c r="AB110" s="678"/>
    </row>
    <row r="111" spans="1:28" ht="24.95">
      <c r="A111" s="7" t="s">
        <v>90</v>
      </c>
      <c r="B111" s="12">
        <f>SUM(D97:AB97)</f>
        <v>20597420.244725373</v>
      </c>
      <c r="C111" s="14"/>
      <c r="D111" s="678"/>
      <c r="E111" s="678"/>
      <c r="F111" s="678"/>
      <c r="G111" s="678"/>
      <c r="H111" s="678"/>
      <c r="I111" s="678"/>
      <c r="J111" s="678"/>
      <c r="K111" s="678"/>
      <c r="L111" s="678"/>
      <c r="M111" s="678"/>
      <c r="N111" s="678"/>
      <c r="O111" s="678"/>
      <c r="P111" s="678"/>
      <c r="Q111" s="678"/>
      <c r="R111" s="678"/>
      <c r="S111" s="678"/>
      <c r="T111" s="678"/>
      <c r="U111" s="678"/>
      <c r="V111" s="678"/>
      <c r="W111" s="678"/>
      <c r="X111" s="678"/>
      <c r="Y111" s="678"/>
      <c r="Z111" s="678"/>
      <c r="AA111" s="678"/>
      <c r="AB111" s="678"/>
    </row>
    <row r="112" spans="1:28" ht="15" thickBot="1">
      <c r="A112" s="7"/>
      <c r="B112" s="12"/>
      <c r="C112" s="14"/>
      <c r="D112" s="678"/>
      <c r="E112" s="678"/>
      <c r="F112" s="678"/>
      <c r="G112" s="678"/>
      <c r="H112" s="678"/>
      <c r="I112" s="678"/>
      <c r="J112" s="678"/>
      <c r="K112" s="678"/>
      <c r="L112" s="678"/>
      <c r="M112" s="678"/>
      <c r="N112" s="678"/>
      <c r="O112" s="678"/>
      <c r="P112" s="678"/>
      <c r="Q112" s="678"/>
      <c r="R112" s="678"/>
      <c r="S112" s="678"/>
      <c r="T112" s="678"/>
      <c r="U112" s="678"/>
      <c r="V112" s="678"/>
      <c r="W112" s="678"/>
      <c r="X112" s="678"/>
      <c r="Y112" s="678"/>
      <c r="Z112" s="678"/>
      <c r="AA112" s="678"/>
      <c r="AB112" s="678"/>
    </row>
    <row r="113" spans="1:28" ht="15" thickBot="1">
      <c r="A113" s="679" t="s">
        <v>498</v>
      </c>
      <c r="B113" s="688">
        <f>IRR(D88:AB88)</f>
        <v>0.35550689552261439</v>
      </c>
      <c r="C113" s="680"/>
      <c r="D113" s="678"/>
      <c r="E113" s="678"/>
      <c r="F113" s="678"/>
      <c r="G113" s="678"/>
      <c r="H113" s="678"/>
      <c r="I113" s="678"/>
      <c r="J113" s="678"/>
      <c r="K113" s="678"/>
      <c r="L113" s="678"/>
      <c r="M113" s="678"/>
      <c r="N113" s="678"/>
      <c r="O113" s="678"/>
      <c r="P113" s="678"/>
      <c r="Q113" s="678"/>
      <c r="R113" s="678"/>
      <c r="S113" s="678"/>
      <c r="T113" s="678"/>
      <c r="U113" s="678"/>
      <c r="V113" s="678"/>
      <c r="W113" s="678"/>
      <c r="X113" s="678"/>
      <c r="Y113" s="678"/>
      <c r="Z113" s="678"/>
      <c r="AA113" s="678"/>
      <c r="AB113" s="678"/>
    </row>
    <row r="114" spans="1:28" ht="15" thickBot="1">
      <c r="A114" s="682" t="s">
        <v>609</v>
      </c>
      <c r="B114" s="683">
        <f>NPV(Cost_of_borrowing_from_GCF,D88:AB88)</f>
        <v>19261843.843170736</v>
      </c>
      <c r="C114" s="680"/>
      <c r="D114" s="678"/>
      <c r="E114" s="678"/>
      <c r="F114" s="678"/>
      <c r="G114" s="678"/>
      <c r="H114" s="678"/>
      <c r="I114" s="678"/>
      <c r="J114" s="678"/>
      <c r="K114" s="678"/>
      <c r="L114" s="678"/>
      <c r="M114" s="678"/>
      <c r="N114" s="678"/>
      <c r="O114" s="678"/>
      <c r="P114" s="678"/>
      <c r="Q114" s="678"/>
      <c r="R114" s="678"/>
      <c r="S114" s="678"/>
      <c r="T114" s="678"/>
      <c r="U114" s="678"/>
      <c r="V114" s="678"/>
      <c r="W114" s="678"/>
      <c r="X114" s="678"/>
      <c r="Y114" s="678"/>
      <c r="Z114" s="678"/>
      <c r="AA114" s="678"/>
      <c r="AB114" s="678"/>
    </row>
    <row r="115" spans="1:28" ht="15" thickBot="1">
      <c r="A115" s="682" t="s">
        <v>610</v>
      </c>
      <c r="B115" s="683">
        <f>NPV(SocDiscountRate,D88:AB88)</f>
        <v>4516850.4878429882</v>
      </c>
      <c r="C115" s="681"/>
      <c r="D115" s="678"/>
      <c r="E115" s="678"/>
      <c r="F115" s="678"/>
      <c r="G115" s="678"/>
      <c r="H115" s="678"/>
      <c r="I115" s="678"/>
      <c r="J115" s="678"/>
      <c r="K115" s="678"/>
      <c r="L115" s="678"/>
      <c r="M115" s="678"/>
      <c r="N115" s="678"/>
      <c r="O115" s="678"/>
      <c r="P115" s="678"/>
      <c r="Q115" s="678"/>
      <c r="R115" s="678"/>
      <c r="S115" s="678"/>
      <c r="T115" s="678"/>
      <c r="U115" s="678"/>
      <c r="V115" s="678"/>
      <c r="W115" s="678"/>
      <c r="X115" s="678"/>
      <c r="Y115" s="678"/>
      <c r="Z115" s="678"/>
      <c r="AA115" s="678"/>
      <c r="AB115" s="678"/>
    </row>
    <row r="116" spans="1:28">
      <c r="A116" s="682" t="s">
        <v>611</v>
      </c>
      <c r="B116" s="683">
        <f>NPV(EscoDiscountRate,D88:AB88)</f>
        <v>1802240.652888082</v>
      </c>
      <c r="C116" s="681"/>
      <c r="D116" s="678"/>
      <c r="E116" s="678"/>
      <c r="F116" s="678"/>
      <c r="G116" s="678"/>
      <c r="H116" s="678"/>
      <c r="I116" s="678"/>
      <c r="J116" s="678"/>
      <c r="K116" s="678"/>
      <c r="L116" s="678"/>
      <c r="M116" s="678"/>
      <c r="N116" s="678"/>
      <c r="O116" s="678"/>
      <c r="P116" s="678"/>
      <c r="Q116" s="678"/>
      <c r="R116" s="678"/>
      <c r="S116" s="678"/>
      <c r="T116" s="678"/>
      <c r="U116" s="678"/>
      <c r="V116" s="678"/>
      <c r="W116" s="678"/>
      <c r="X116" s="678"/>
      <c r="Y116" s="678"/>
      <c r="Z116" s="678"/>
      <c r="AA116" s="678"/>
      <c r="AB116" s="678"/>
    </row>
    <row r="117" spans="1:28">
      <c r="A117" s="7"/>
      <c r="B117" s="12"/>
      <c r="C117" s="14"/>
      <c r="D117" s="678"/>
      <c r="E117" s="678"/>
      <c r="F117" s="678"/>
      <c r="G117" s="678"/>
      <c r="H117" s="678"/>
      <c r="I117" s="678"/>
      <c r="J117" s="678"/>
      <c r="K117" s="678"/>
      <c r="L117" s="678"/>
      <c r="M117" s="678"/>
      <c r="N117" s="678"/>
      <c r="O117" s="678"/>
      <c r="P117" s="678"/>
      <c r="Q117" s="678"/>
      <c r="R117" s="678"/>
      <c r="S117" s="678"/>
      <c r="T117" s="678"/>
      <c r="U117" s="678"/>
      <c r="V117" s="678"/>
      <c r="W117" s="678"/>
      <c r="X117" s="678"/>
      <c r="Y117" s="678"/>
      <c r="Z117" s="678"/>
      <c r="AA117" s="678"/>
      <c r="AB117" s="678"/>
    </row>
    <row r="118" spans="1:28">
      <c r="A118" s="7"/>
      <c r="B118" s="12"/>
      <c r="C118" s="14"/>
      <c r="D118" s="678"/>
      <c r="E118" s="678"/>
      <c r="F118" s="678"/>
      <c r="G118" s="678"/>
      <c r="H118" s="678"/>
      <c r="I118" s="678"/>
      <c r="J118" s="678"/>
      <c r="K118" s="678"/>
      <c r="L118" s="678"/>
      <c r="M118" s="678"/>
      <c r="N118" s="678"/>
      <c r="O118" s="678"/>
      <c r="P118" s="678"/>
      <c r="Q118" s="678"/>
      <c r="R118" s="678"/>
      <c r="S118" s="678"/>
      <c r="T118" s="678"/>
      <c r="U118" s="678"/>
      <c r="V118" s="678"/>
      <c r="W118" s="678"/>
      <c r="X118" s="678"/>
      <c r="Y118" s="678"/>
      <c r="Z118" s="678"/>
      <c r="AA118" s="678"/>
      <c r="AB118" s="678"/>
    </row>
    <row r="119" spans="1:28">
      <c r="C119" s="14"/>
      <c r="D119" s="678"/>
      <c r="E119" s="678"/>
      <c r="F119" s="678"/>
      <c r="G119" s="678"/>
      <c r="H119" s="678"/>
      <c r="I119" s="678"/>
      <c r="J119" s="678"/>
      <c r="K119" s="678"/>
      <c r="L119" s="678"/>
      <c r="M119" s="678"/>
      <c r="N119" s="678"/>
      <c r="O119" s="678"/>
      <c r="P119" s="678"/>
      <c r="Q119" s="678"/>
      <c r="R119" s="678"/>
      <c r="S119" s="678"/>
      <c r="T119" s="678"/>
      <c r="U119" s="678"/>
      <c r="V119" s="678"/>
      <c r="W119" s="678"/>
      <c r="X119" s="678"/>
      <c r="Y119" s="678"/>
      <c r="Z119" s="678"/>
      <c r="AA119" s="678"/>
      <c r="AB119" s="678"/>
    </row>
    <row r="120" spans="1:28">
      <c r="C120" s="14"/>
      <c r="D120" s="678"/>
      <c r="E120" s="678"/>
      <c r="F120" s="678"/>
      <c r="G120" s="678"/>
      <c r="H120" s="678"/>
      <c r="I120" s="678"/>
      <c r="J120" s="678"/>
      <c r="K120" s="678"/>
      <c r="L120" s="678"/>
      <c r="M120" s="678"/>
      <c r="N120" s="678"/>
      <c r="O120" s="678"/>
      <c r="P120" s="678"/>
      <c r="Q120" s="678"/>
      <c r="R120" s="678"/>
      <c r="S120" s="678"/>
      <c r="T120" s="678"/>
      <c r="U120" s="678"/>
      <c r="V120" s="678"/>
      <c r="W120" s="678"/>
      <c r="X120" s="678"/>
      <c r="Y120" s="678"/>
      <c r="Z120" s="678"/>
      <c r="AA120" s="678"/>
      <c r="AB120" s="678"/>
    </row>
    <row r="121" spans="1:28">
      <c r="C121" s="14"/>
      <c r="D121" s="678"/>
      <c r="E121" s="678"/>
      <c r="F121" s="678"/>
      <c r="G121" s="678"/>
      <c r="H121" s="678"/>
      <c r="I121" s="678"/>
      <c r="J121" s="678"/>
      <c r="K121" s="678"/>
      <c r="L121" s="678"/>
      <c r="M121" s="678"/>
      <c r="N121" s="678"/>
      <c r="O121" s="678"/>
      <c r="P121" s="678"/>
      <c r="Q121" s="678"/>
      <c r="R121" s="678"/>
      <c r="S121" s="678"/>
      <c r="T121" s="678"/>
      <c r="U121" s="678"/>
      <c r="V121" s="678"/>
      <c r="W121" s="678"/>
      <c r="X121" s="678"/>
      <c r="Y121" s="678"/>
      <c r="Z121" s="678"/>
      <c r="AA121" s="678"/>
      <c r="AB121" s="678"/>
    </row>
    <row r="122" spans="1:28">
      <c r="C122" s="14"/>
      <c r="D122" s="678"/>
      <c r="E122" s="678"/>
      <c r="F122" s="678"/>
      <c r="G122" s="678"/>
      <c r="H122" s="678"/>
      <c r="I122" s="678"/>
      <c r="J122" s="678"/>
      <c r="K122" s="678"/>
      <c r="L122" s="678"/>
      <c r="M122" s="678"/>
      <c r="N122" s="678"/>
      <c r="O122" s="678"/>
      <c r="P122" s="678"/>
      <c r="Q122" s="678"/>
      <c r="R122" s="678"/>
      <c r="S122" s="678"/>
      <c r="T122" s="678"/>
      <c r="U122" s="678"/>
      <c r="V122" s="678"/>
      <c r="W122" s="678"/>
      <c r="X122" s="678"/>
      <c r="Y122" s="678"/>
      <c r="Z122" s="678"/>
      <c r="AA122" s="678"/>
      <c r="AB122" s="678"/>
    </row>
    <row r="123" spans="1:28">
      <c r="A123" s="7"/>
      <c r="B123" s="12"/>
      <c r="C123" s="14"/>
      <c r="D123" s="678"/>
      <c r="E123" s="678"/>
      <c r="F123" s="678"/>
      <c r="G123" s="678"/>
      <c r="H123" s="678"/>
      <c r="I123" s="678"/>
      <c r="J123" s="678"/>
      <c r="K123" s="678"/>
      <c r="L123" s="678"/>
      <c r="M123" s="678"/>
      <c r="N123" s="678"/>
      <c r="O123" s="678"/>
      <c r="P123" s="678"/>
      <c r="Q123" s="678"/>
      <c r="R123" s="678"/>
      <c r="S123" s="678"/>
      <c r="T123" s="678"/>
      <c r="U123" s="678"/>
      <c r="V123" s="678"/>
      <c r="W123" s="678"/>
      <c r="X123" s="678"/>
      <c r="Y123" s="678"/>
      <c r="Z123" s="678"/>
      <c r="AA123" s="678"/>
      <c r="AB123" s="678"/>
    </row>
    <row r="124" spans="1:28">
      <c r="A124" s="7"/>
      <c r="B124" s="12"/>
      <c r="C124" s="14"/>
      <c r="D124" s="678"/>
      <c r="E124" s="678"/>
      <c r="F124" s="678"/>
      <c r="G124" s="678"/>
      <c r="H124" s="678"/>
      <c r="I124" s="678"/>
      <c r="J124" s="678"/>
      <c r="K124" s="678"/>
      <c r="L124" s="678"/>
      <c r="M124" s="678"/>
      <c r="N124" s="678"/>
      <c r="O124" s="678"/>
      <c r="P124" s="678"/>
      <c r="Q124" s="678"/>
      <c r="R124" s="678"/>
      <c r="S124" s="678"/>
      <c r="T124" s="678"/>
      <c r="U124" s="678"/>
      <c r="V124" s="678"/>
      <c r="W124" s="678"/>
      <c r="X124" s="678"/>
      <c r="Y124" s="678"/>
      <c r="Z124" s="678"/>
      <c r="AA124" s="678"/>
      <c r="AB124" s="678"/>
    </row>
    <row r="125" spans="1:28">
      <c r="A125" s="7"/>
      <c r="B125" s="12"/>
      <c r="C125" s="14"/>
      <c r="D125" s="11"/>
      <c r="E125" s="11"/>
      <c r="F125" s="11"/>
      <c r="H125" s="6"/>
      <c r="I125" s="6"/>
      <c r="J125" s="6"/>
      <c r="K125" s="6"/>
      <c r="L125" s="6"/>
      <c r="M125" s="6"/>
      <c r="N125" s="6"/>
    </row>
    <row r="126" spans="1:28">
      <c r="A126" s="7" t="s">
        <v>612</v>
      </c>
      <c r="B126" s="12">
        <f>0.586*B12</f>
        <v>11236762.093036858</v>
      </c>
      <c r="C126" s="14" t="s">
        <v>613</v>
      </c>
      <c r="H126" s="6"/>
      <c r="I126" s="6"/>
      <c r="J126" s="6"/>
      <c r="K126" s="6"/>
      <c r="L126" s="6"/>
      <c r="M126" s="6"/>
      <c r="N126" s="6"/>
    </row>
    <row r="127" spans="1:28">
      <c r="A127" s="7" t="s">
        <v>614</v>
      </c>
      <c r="B127" s="12">
        <v>0.55000000000000004</v>
      </c>
      <c r="C127" s="14" t="s">
        <v>615</v>
      </c>
      <c r="D127" s="11"/>
      <c r="E127" s="11"/>
      <c r="F127" s="11"/>
      <c r="G127" s="13"/>
      <c r="H127" s="6"/>
      <c r="I127" s="6"/>
      <c r="J127" s="6"/>
      <c r="K127" s="6"/>
      <c r="L127" s="6"/>
      <c r="M127" s="6"/>
      <c r="N127" s="6"/>
    </row>
    <row r="128" spans="1:28">
      <c r="A128" s="7" t="s">
        <v>616</v>
      </c>
      <c r="B128" s="209">
        <f>B127*B126</f>
        <v>6180219.1511702724</v>
      </c>
      <c r="C128" s="14" t="s">
        <v>617</v>
      </c>
      <c r="D128" s="11"/>
      <c r="E128" s="11" t="s">
        <v>618</v>
      </c>
      <c r="F128" s="11"/>
      <c r="G128" s="13"/>
      <c r="H128" s="6"/>
      <c r="I128" s="6"/>
      <c r="J128" s="6"/>
      <c r="K128" s="6"/>
      <c r="L128" s="6"/>
      <c r="M128" s="6"/>
      <c r="N128" s="6"/>
    </row>
    <row r="129" spans="1:9">
      <c r="A129" s="5" t="s">
        <v>619</v>
      </c>
      <c r="B129" s="13">
        <f>B61*300</f>
        <v>3030879.1254230766</v>
      </c>
      <c r="C129" s="11" t="s">
        <v>617</v>
      </c>
      <c r="E129" s="4" t="s">
        <v>620</v>
      </c>
      <c r="I129" s="846" t="s">
        <v>621</v>
      </c>
    </row>
    <row r="130" spans="1:9">
      <c r="A130" s="5" t="s">
        <v>622</v>
      </c>
      <c r="B130" s="13">
        <f>(B129*0.1)</f>
        <v>303087.91254230769</v>
      </c>
      <c r="C130" s="11" t="s">
        <v>617</v>
      </c>
    </row>
    <row r="131" spans="1:9">
      <c r="A131" s="5" t="s">
        <v>623</v>
      </c>
      <c r="B131" s="13">
        <f>B129+B130</f>
        <v>3333967.0379653843</v>
      </c>
      <c r="C131" s="11" t="s">
        <v>617</v>
      </c>
    </row>
    <row r="132" spans="1:9">
      <c r="A132" s="5" t="s">
        <v>624</v>
      </c>
      <c r="B132" s="13">
        <f>(B129)+(B130*25)</f>
        <v>10608076.938980769</v>
      </c>
      <c r="C132" s="11" t="s">
        <v>617</v>
      </c>
      <c r="E132" s="846" t="s">
        <v>625</v>
      </c>
      <c r="F132" s="4">
        <v>21</v>
      </c>
      <c r="G132" s="4">
        <v>21</v>
      </c>
    </row>
    <row r="133" spans="1:9">
      <c r="A133" s="846" t="s">
        <v>626</v>
      </c>
      <c r="B133" s="13">
        <f>B127-B131</f>
        <v>-3333966.4879653845</v>
      </c>
      <c r="E133" s="846" t="s">
        <v>627</v>
      </c>
      <c r="F133" s="4">
        <v>3.6</v>
      </c>
      <c r="G133" s="4">
        <v>3.6</v>
      </c>
    </row>
    <row r="134" spans="1:9">
      <c r="A134" s="846" t="s">
        <v>628</v>
      </c>
      <c r="B134" s="13">
        <f>B128-B131</f>
        <v>2846252.1132048881</v>
      </c>
      <c r="E134" s="846" t="s">
        <v>513</v>
      </c>
      <c r="F134" s="4">
        <v>0.35</v>
      </c>
      <c r="G134" s="4">
        <v>0.3</v>
      </c>
    </row>
    <row r="135" spans="1:9">
      <c r="A135" s="846" t="s">
        <v>629</v>
      </c>
      <c r="B135" s="211">
        <f>NPV(0.75,B133,B134,B134,B134,B134,B134,B134,B134,B134,B134,B134,B134,B134,B134,B134,B134,B134,B134,B134,B134,B134,B134,B134,B134,B134)</f>
        <v>263446.14511262538</v>
      </c>
    </row>
    <row r="136" spans="1:9">
      <c r="A136" s="846" t="s">
        <v>630</v>
      </c>
      <c r="B136" s="211">
        <f>NPV(1.25,B133,B134,B134,B134,B134,B134,B134,B134,B134,B134,B134,B134,B134,B134,B134,B134,B134,B134,B134,B134,B134,B134,B134,B134,B134)</f>
        <v>-469762.13574951969</v>
      </c>
      <c r="F136" s="13">
        <f>(F132*F134)/F133</f>
        <v>2.0416666666666665</v>
      </c>
      <c r="G136" s="13">
        <f>(G132*G134)/G133</f>
        <v>1.75</v>
      </c>
      <c r="H136" s="864">
        <f>F136*E12</f>
        <v>23920465.038639821</v>
      </c>
    </row>
    <row r="137" spans="1:9">
      <c r="E137" s="846" t="s">
        <v>631</v>
      </c>
    </row>
    <row r="138" spans="1:9">
      <c r="E138" s="846" t="s">
        <v>632</v>
      </c>
      <c r="F138" s="4">
        <f>24*365</f>
        <v>8760</v>
      </c>
      <c r="H138" s="864">
        <f>G136*E12</f>
        <v>20503255.747405563</v>
      </c>
    </row>
    <row r="139" spans="1:9">
      <c r="E139" s="846"/>
      <c r="H139" s="864"/>
    </row>
    <row r="140" spans="1:9">
      <c r="E140" s="846"/>
      <c r="H140" s="864"/>
    </row>
    <row r="141" spans="1:9">
      <c r="E141" s="846" t="s">
        <v>633</v>
      </c>
      <c r="H141" s="864"/>
    </row>
    <row r="142" spans="1:9">
      <c r="E142" s="846" t="s">
        <v>634</v>
      </c>
      <c r="F142" s="846" t="s">
        <v>633</v>
      </c>
      <c r="G142" s="846" t="s">
        <v>635</v>
      </c>
      <c r="H142" s="864"/>
    </row>
    <row r="143" spans="1:9">
      <c r="E143" s="846">
        <v>85</v>
      </c>
      <c r="H143" s="864"/>
    </row>
    <row r="144" spans="1:9">
      <c r="A144" s="210"/>
    </row>
    <row r="149" spans="1:2">
      <c r="A149" s="846"/>
    </row>
    <row r="150" spans="1:2">
      <c r="A150" s="849"/>
    </row>
    <row r="151" spans="1:2">
      <c r="A151" s="846"/>
    </row>
    <row r="152" spans="1:2">
      <c r="A152" s="846"/>
    </row>
    <row r="153" spans="1:2">
      <c r="A153" s="660"/>
    </row>
    <row r="154" spans="1:2">
      <c r="A154" s="846"/>
    </row>
    <row r="155" spans="1:2">
      <c r="A155" s="15"/>
      <c r="B155" s="846"/>
    </row>
  </sheetData>
  <mergeCells count="1">
    <mergeCell ref="A3:A4"/>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21F000-CCE2-4F6C-AF3D-5362585056A4}">
  <sheetPr>
    <tabColor rgb="FF7030A0"/>
  </sheetPr>
  <dimension ref="A1:AM162"/>
  <sheetViews>
    <sheetView showGridLines="0" zoomScale="80" zoomScaleNormal="80" workbookViewId="0">
      <selection activeCell="J47" sqref="J47"/>
    </sheetView>
  </sheetViews>
  <sheetFormatPr defaultColWidth="8.85546875" defaultRowHeight="12.6"/>
  <cols>
    <col min="1" max="1" width="7.42578125" style="215" customWidth="1"/>
    <col min="2" max="2" width="41" style="215" customWidth="1"/>
    <col min="3" max="3" width="16" style="215" customWidth="1"/>
    <col min="4" max="4" width="23" style="215" customWidth="1"/>
    <col min="5" max="7" width="16.140625" style="215" customWidth="1"/>
    <col min="8" max="9" width="14.42578125" style="215" customWidth="1"/>
    <col min="10" max="10" width="17.5703125" style="215" customWidth="1"/>
    <col min="11" max="11" width="13.5703125" style="215" bestFit="1" customWidth="1"/>
    <col min="12" max="12" width="14.5703125" style="215" bestFit="1" customWidth="1"/>
    <col min="13" max="13" width="14.85546875" style="215" bestFit="1" customWidth="1"/>
    <col min="14" max="14" width="17.140625" style="215" customWidth="1"/>
    <col min="15" max="15" width="16.42578125" style="215" bestFit="1" customWidth="1"/>
    <col min="16" max="16" width="17.140625" style="215" bestFit="1" customWidth="1"/>
    <col min="17" max="17" width="24.42578125" style="215" customWidth="1"/>
    <col min="18" max="18" width="18.42578125" style="215" bestFit="1" customWidth="1"/>
    <col min="19" max="19" width="18.5703125" style="215" bestFit="1" customWidth="1"/>
    <col min="20" max="20" width="19.42578125" style="215" bestFit="1" customWidth="1"/>
    <col min="21" max="21" width="20.42578125" style="215" bestFit="1" customWidth="1"/>
    <col min="22" max="22" width="20.85546875" style="215" bestFit="1" customWidth="1"/>
    <col min="23" max="23" width="21.42578125" style="215" bestFit="1" customWidth="1"/>
    <col min="24" max="25" width="22.42578125" style="215" bestFit="1" customWidth="1"/>
    <col min="26" max="27" width="23.85546875" style="215" bestFit="1" customWidth="1"/>
    <col min="28" max="29" width="24.85546875" style="215" bestFit="1" customWidth="1"/>
    <col min="30" max="34" width="11.42578125" style="215" bestFit="1" customWidth="1"/>
    <col min="35" max="39" width="12.42578125" style="215" bestFit="1" customWidth="1"/>
    <col min="40" max="40" width="12" style="215" bestFit="1" customWidth="1"/>
    <col min="41" max="256" width="8.85546875" style="215"/>
    <col min="257" max="257" width="7.42578125" style="215" customWidth="1"/>
    <col min="258" max="258" width="41" style="215" customWidth="1"/>
    <col min="259" max="259" width="16" style="215" customWidth="1"/>
    <col min="260" max="260" width="16.140625" style="215" bestFit="1" customWidth="1"/>
    <col min="261" max="261" width="11.85546875" style="215" customWidth="1"/>
    <col min="262" max="262" width="12.42578125" style="215" bestFit="1" customWidth="1"/>
    <col min="263" max="264" width="13" style="215" bestFit="1" customWidth="1"/>
    <col min="265" max="265" width="12.5703125" style="215" bestFit="1" customWidth="1"/>
    <col min="266" max="266" width="13.42578125" style="215" bestFit="1" customWidth="1"/>
    <col min="267" max="267" width="13.5703125" style="215" bestFit="1" customWidth="1"/>
    <col min="268" max="268" width="14.5703125" style="215" bestFit="1" customWidth="1"/>
    <col min="269" max="269" width="14.85546875" style="215" bestFit="1" customWidth="1"/>
    <col min="270" max="270" width="17.140625" style="215" customWidth="1"/>
    <col min="271" max="271" width="16.42578125" style="215" bestFit="1" customWidth="1"/>
    <col min="272" max="272" width="17.140625" style="215" bestFit="1" customWidth="1"/>
    <col min="273" max="273" width="24.42578125" style="215" customWidth="1"/>
    <col min="274" max="274" width="18.42578125" style="215" bestFit="1" customWidth="1"/>
    <col min="275" max="275" width="18.5703125" style="215" bestFit="1" customWidth="1"/>
    <col min="276" max="276" width="19.42578125" style="215" bestFit="1" customWidth="1"/>
    <col min="277" max="277" width="20.42578125" style="215" bestFit="1" customWidth="1"/>
    <col min="278" max="278" width="20.85546875" style="215" bestFit="1" customWidth="1"/>
    <col min="279" max="279" width="21.42578125" style="215" bestFit="1" customWidth="1"/>
    <col min="280" max="281" width="22.42578125" style="215" bestFit="1" customWidth="1"/>
    <col min="282" max="283" width="23.85546875" style="215" bestFit="1" customWidth="1"/>
    <col min="284" max="285" width="24.85546875" style="215" bestFit="1" customWidth="1"/>
    <col min="286" max="290" width="11.42578125" style="215" bestFit="1" customWidth="1"/>
    <col min="291" max="295" width="12.42578125" style="215" bestFit="1" customWidth="1"/>
    <col min="296" max="296" width="12" style="215" bestFit="1" customWidth="1"/>
    <col min="297" max="512" width="8.85546875" style="215"/>
    <col min="513" max="513" width="7.42578125" style="215" customWidth="1"/>
    <col min="514" max="514" width="41" style="215" customWidth="1"/>
    <col min="515" max="515" width="16" style="215" customWidth="1"/>
    <col min="516" max="516" width="16.140625" style="215" bestFit="1" customWidth="1"/>
    <col min="517" max="517" width="11.85546875" style="215" customWidth="1"/>
    <col min="518" max="518" width="12.42578125" style="215" bestFit="1" customWidth="1"/>
    <col min="519" max="520" width="13" style="215" bestFit="1" customWidth="1"/>
    <col min="521" max="521" width="12.5703125" style="215" bestFit="1" customWidth="1"/>
    <col min="522" max="522" width="13.42578125" style="215" bestFit="1" customWidth="1"/>
    <col min="523" max="523" width="13.5703125" style="215" bestFit="1" customWidth="1"/>
    <col min="524" max="524" width="14.5703125" style="215" bestFit="1" customWidth="1"/>
    <col min="525" max="525" width="14.85546875" style="215" bestFit="1" customWidth="1"/>
    <col min="526" max="526" width="17.140625" style="215" customWidth="1"/>
    <col min="527" max="527" width="16.42578125" style="215" bestFit="1" customWidth="1"/>
    <col min="528" max="528" width="17.140625" style="215" bestFit="1" customWidth="1"/>
    <col min="529" max="529" width="24.42578125" style="215" customWidth="1"/>
    <col min="530" max="530" width="18.42578125" style="215" bestFit="1" customWidth="1"/>
    <col min="531" max="531" width="18.5703125" style="215" bestFit="1" customWidth="1"/>
    <col min="532" max="532" width="19.42578125" style="215" bestFit="1" customWidth="1"/>
    <col min="533" max="533" width="20.42578125" style="215" bestFit="1" customWidth="1"/>
    <col min="534" max="534" width="20.85546875" style="215" bestFit="1" customWidth="1"/>
    <col min="535" max="535" width="21.42578125" style="215" bestFit="1" customWidth="1"/>
    <col min="536" max="537" width="22.42578125" style="215" bestFit="1" customWidth="1"/>
    <col min="538" max="539" width="23.85546875" style="215" bestFit="1" customWidth="1"/>
    <col min="540" max="541" width="24.85546875" style="215" bestFit="1" customWidth="1"/>
    <col min="542" max="546" width="11.42578125" style="215" bestFit="1" customWidth="1"/>
    <col min="547" max="551" width="12.42578125" style="215" bestFit="1" customWidth="1"/>
    <col min="552" max="552" width="12" style="215" bestFit="1" customWidth="1"/>
    <col min="553" max="768" width="8.85546875" style="215"/>
    <col min="769" max="769" width="7.42578125" style="215" customWidth="1"/>
    <col min="770" max="770" width="41" style="215" customWidth="1"/>
    <col min="771" max="771" width="16" style="215" customWidth="1"/>
    <col min="772" max="772" width="16.140625" style="215" bestFit="1" customWidth="1"/>
    <col min="773" max="773" width="11.85546875" style="215" customWidth="1"/>
    <col min="774" max="774" width="12.42578125" style="215" bestFit="1" customWidth="1"/>
    <col min="775" max="776" width="13" style="215" bestFit="1" customWidth="1"/>
    <col min="777" max="777" width="12.5703125" style="215" bestFit="1" customWidth="1"/>
    <col min="778" max="778" width="13.42578125" style="215" bestFit="1" customWidth="1"/>
    <col min="779" max="779" width="13.5703125" style="215" bestFit="1" customWidth="1"/>
    <col min="780" max="780" width="14.5703125" style="215" bestFit="1" customWidth="1"/>
    <col min="781" max="781" width="14.85546875" style="215" bestFit="1" customWidth="1"/>
    <col min="782" max="782" width="17.140625" style="215" customWidth="1"/>
    <col min="783" max="783" width="16.42578125" style="215" bestFit="1" customWidth="1"/>
    <col min="784" max="784" width="17.140625" style="215" bestFit="1" customWidth="1"/>
    <col min="785" max="785" width="24.42578125" style="215" customWidth="1"/>
    <col min="786" max="786" width="18.42578125" style="215" bestFit="1" customWidth="1"/>
    <col min="787" max="787" width="18.5703125" style="215" bestFit="1" customWidth="1"/>
    <col min="788" max="788" width="19.42578125" style="215" bestFit="1" customWidth="1"/>
    <col min="789" max="789" width="20.42578125" style="215" bestFit="1" customWidth="1"/>
    <col min="790" max="790" width="20.85546875" style="215" bestFit="1" customWidth="1"/>
    <col min="791" max="791" width="21.42578125" style="215" bestFit="1" customWidth="1"/>
    <col min="792" max="793" width="22.42578125" style="215" bestFit="1" customWidth="1"/>
    <col min="794" max="795" width="23.85546875" style="215" bestFit="1" customWidth="1"/>
    <col min="796" max="797" width="24.85546875" style="215" bestFit="1" customWidth="1"/>
    <col min="798" max="802" width="11.42578125" style="215" bestFit="1" customWidth="1"/>
    <col min="803" max="807" width="12.42578125" style="215" bestFit="1" customWidth="1"/>
    <col min="808" max="808" width="12" style="215" bestFit="1" customWidth="1"/>
    <col min="809" max="1024" width="8.85546875" style="215"/>
    <col min="1025" max="1025" width="7.42578125" style="215" customWidth="1"/>
    <col min="1026" max="1026" width="41" style="215" customWidth="1"/>
    <col min="1027" max="1027" width="16" style="215" customWidth="1"/>
    <col min="1028" max="1028" width="16.140625" style="215" bestFit="1" customWidth="1"/>
    <col min="1029" max="1029" width="11.85546875" style="215" customWidth="1"/>
    <col min="1030" max="1030" width="12.42578125" style="215" bestFit="1" customWidth="1"/>
    <col min="1031" max="1032" width="13" style="215" bestFit="1" customWidth="1"/>
    <col min="1033" max="1033" width="12.5703125" style="215" bestFit="1" customWidth="1"/>
    <col min="1034" max="1034" width="13.42578125" style="215" bestFit="1" customWidth="1"/>
    <col min="1035" max="1035" width="13.5703125" style="215" bestFit="1" customWidth="1"/>
    <col min="1036" max="1036" width="14.5703125" style="215" bestFit="1" customWidth="1"/>
    <col min="1037" max="1037" width="14.85546875" style="215" bestFit="1" customWidth="1"/>
    <col min="1038" max="1038" width="17.140625" style="215" customWidth="1"/>
    <col min="1039" max="1039" width="16.42578125" style="215" bestFit="1" customWidth="1"/>
    <col min="1040" max="1040" width="17.140625" style="215" bestFit="1" customWidth="1"/>
    <col min="1041" max="1041" width="24.42578125" style="215" customWidth="1"/>
    <col min="1042" max="1042" width="18.42578125" style="215" bestFit="1" customWidth="1"/>
    <col min="1043" max="1043" width="18.5703125" style="215" bestFit="1" customWidth="1"/>
    <col min="1044" max="1044" width="19.42578125" style="215" bestFit="1" customWidth="1"/>
    <col min="1045" max="1045" width="20.42578125" style="215" bestFit="1" customWidth="1"/>
    <col min="1046" max="1046" width="20.85546875" style="215" bestFit="1" customWidth="1"/>
    <col min="1047" max="1047" width="21.42578125" style="215" bestFit="1" customWidth="1"/>
    <col min="1048" max="1049" width="22.42578125" style="215" bestFit="1" customWidth="1"/>
    <col min="1050" max="1051" width="23.85546875" style="215" bestFit="1" customWidth="1"/>
    <col min="1052" max="1053" width="24.85546875" style="215" bestFit="1" customWidth="1"/>
    <col min="1054" max="1058" width="11.42578125" style="215" bestFit="1" customWidth="1"/>
    <col min="1059" max="1063" width="12.42578125" style="215" bestFit="1" customWidth="1"/>
    <col min="1064" max="1064" width="12" style="215" bestFit="1" customWidth="1"/>
    <col min="1065" max="1280" width="8.85546875" style="215"/>
    <col min="1281" max="1281" width="7.42578125" style="215" customWidth="1"/>
    <col min="1282" max="1282" width="41" style="215" customWidth="1"/>
    <col min="1283" max="1283" width="16" style="215" customWidth="1"/>
    <col min="1284" max="1284" width="16.140625" style="215" bestFit="1" customWidth="1"/>
    <col min="1285" max="1285" width="11.85546875" style="215" customWidth="1"/>
    <col min="1286" max="1286" width="12.42578125" style="215" bestFit="1" customWidth="1"/>
    <col min="1287" max="1288" width="13" style="215" bestFit="1" customWidth="1"/>
    <col min="1289" max="1289" width="12.5703125" style="215" bestFit="1" customWidth="1"/>
    <col min="1290" max="1290" width="13.42578125" style="215" bestFit="1" customWidth="1"/>
    <col min="1291" max="1291" width="13.5703125" style="215" bestFit="1" customWidth="1"/>
    <col min="1292" max="1292" width="14.5703125" style="215" bestFit="1" customWidth="1"/>
    <col min="1293" max="1293" width="14.85546875" style="215" bestFit="1" customWidth="1"/>
    <col min="1294" max="1294" width="17.140625" style="215" customWidth="1"/>
    <col min="1295" max="1295" width="16.42578125" style="215" bestFit="1" customWidth="1"/>
    <col min="1296" max="1296" width="17.140625" style="215" bestFit="1" customWidth="1"/>
    <col min="1297" max="1297" width="24.42578125" style="215" customWidth="1"/>
    <col min="1298" max="1298" width="18.42578125" style="215" bestFit="1" customWidth="1"/>
    <col min="1299" max="1299" width="18.5703125" style="215" bestFit="1" customWidth="1"/>
    <col min="1300" max="1300" width="19.42578125" style="215" bestFit="1" customWidth="1"/>
    <col min="1301" max="1301" width="20.42578125" style="215" bestFit="1" customWidth="1"/>
    <col min="1302" max="1302" width="20.85546875" style="215" bestFit="1" customWidth="1"/>
    <col min="1303" max="1303" width="21.42578125" style="215" bestFit="1" customWidth="1"/>
    <col min="1304" max="1305" width="22.42578125" style="215" bestFit="1" customWidth="1"/>
    <col min="1306" max="1307" width="23.85546875" style="215" bestFit="1" customWidth="1"/>
    <col min="1308" max="1309" width="24.85546875" style="215" bestFit="1" customWidth="1"/>
    <col min="1310" max="1314" width="11.42578125" style="215" bestFit="1" customWidth="1"/>
    <col min="1315" max="1319" width="12.42578125" style="215" bestFit="1" customWidth="1"/>
    <col min="1320" max="1320" width="12" style="215" bestFit="1" customWidth="1"/>
    <col min="1321" max="1536" width="8.85546875" style="215"/>
    <col min="1537" max="1537" width="7.42578125" style="215" customWidth="1"/>
    <col min="1538" max="1538" width="41" style="215" customWidth="1"/>
    <col min="1539" max="1539" width="16" style="215" customWidth="1"/>
    <col min="1540" max="1540" width="16.140625" style="215" bestFit="1" customWidth="1"/>
    <col min="1541" max="1541" width="11.85546875" style="215" customWidth="1"/>
    <col min="1542" max="1542" width="12.42578125" style="215" bestFit="1" customWidth="1"/>
    <col min="1543" max="1544" width="13" style="215" bestFit="1" customWidth="1"/>
    <col min="1545" max="1545" width="12.5703125" style="215" bestFit="1" customWidth="1"/>
    <col min="1546" max="1546" width="13.42578125" style="215" bestFit="1" customWidth="1"/>
    <col min="1547" max="1547" width="13.5703125" style="215" bestFit="1" customWidth="1"/>
    <col min="1548" max="1548" width="14.5703125" style="215" bestFit="1" customWidth="1"/>
    <col min="1549" max="1549" width="14.85546875" style="215" bestFit="1" customWidth="1"/>
    <col min="1550" max="1550" width="17.140625" style="215" customWidth="1"/>
    <col min="1551" max="1551" width="16.42578125" style="215" bestFit="1" customWidth="1"/>
    <col min="1552" max="1552" width="17.140625" style="215" bestFit="1" customWidth="1"/>
    <col min="1553" max="1553" width="24.42578125" style="215" customWidth="1"/>
    <col min="1554" max="1554" width="18.42578125" style="215" bestFit="1" customWidth="1"/>
    <col min="1555" max="1555" width="18.5703125" style="215" bestFit="1" customWidth="1"/>
    <col min="1556" max="1556" width="19.42578125" style="215" bestFit="1" customWidth="1"/>
    <col min="1557" max="1557" width="20.42578125" style="215" bestFit="1" customWidth="1"/>
    <col min="1558" max="1558" width="20.85546875" style="215" bestFit="1" customWidth="1"/>
    <col min="1559" max="1559" width="21.42578125" style="215" bestFit="1" customWidth="1"/>
    <col min="1560" max="1561" width="22.42578125" style="215" bestFit="1" customWidth="1"/>
    <col min="1562" max="1563" width="23.85546875" style="215" bestFit="1" customWidth="1"/>
    <col min="1564" max="1565" width="24.85546875" style="215" bestFit="1" customWidth="1"/>
    <col min="1566" max="1570" width="11.42578125" style="215" bestFit="1" customWidth="1"/>
    <col min="1571" max="1575" width="12.42578125" style="215" bestFit="1" customWidth="1"/>
    <col min="1576" max="1576" width="12" style="215" bestFit="1" customWidth="1"/>
    <col min="1577" max="1792" width="8.85546875" style="215"/>
    <col min="1793" max="1793" width="7.42578125" style="215" customWidth="1"/>
    <col min="1794" max="1794" width="41" style="215" customWidth="1"/>
    <col min="1795" max="1795" width="16" style="215" customWidth="1"/>
    <col min="1796" max="1796" width="16.140625" style="215" bestFit="1" customWidth="1"/>
    <col min="1797" max="1797" width="11.85546875" style="215" customWidth="1"/>
    <col min="1798" max="1798" width="12.42578125" style="215" bestFit="1" customWidth="1"/>
    <col min="1799" max="1800" width="13" style="215" bestFit="1" customWidth="1"/>
    <col min="1801" max="1801" width="12.5703125" style="215" bestFit="1" customWidth="1"/>
    <col min="1802" max="1802" width="13.42578125" style="215" bestFit="1" customWidth="1"/>
    <col min="1803" max="1803" width="13.5703125" style="215" bestFit="1" customWidth="1"/>
    <col min="1804" max="1804" width="14.5703125" style="215" bestFit="1" customWidth="1"/>
    <col min="1805" max="1805" width="14.85546875" style="215" bestFit="1" customWidth="1"/>
    <col min="1806" max="1806" width="17.140625" style="215" customWidth="1"/>
    <col min="1807" max="1807" width="16.42578125" style="215" bestFit="1" customWidth="1"/>
    <col min="1808" max="1808" width="17.140625" style="215" bestFit="1" customWidth="1"/>
    <col min="1809" max="1809" width="24.42578125" style="215" customWidth="1"/>
    <col min="1810" max="1810" width="18.42578125" style="215" bestFit="1" customWidth="1"/>
    <col min="1811" max="1811" width="18.5703125" style="215" bestFit="1" customWidth="1"/>
    <col min="1812" max="1812" width="19.42578125" style="215" bestFit="1" customWidth="1"/>
    <col min="1813" max="1813" width="20.42578125" style="215" bestFit="1" customWidth="1"/>
    <col min="1814" max="1814" width="20.85546875" style="215" bestFit="1" customWidth="1"/>
    <col min="1815" max="1815" width="21.42578125" style="215" bestFit="1" customWidth="1"/>
    <col min="1816" max="1817" width="22.42578125" style="215" bestFit="1" customWidth="1"/>
    <col min="1818" max="1819" width="23.85546875" style="215" bestFit="1" customWidth="1"/>
    <col min="1820" max="1821" width="24.85546875" style="215" bestFit="1" customWidth="1"/>
    <col min="1822" max="1826" width="11.42578125" style="215" bestFit="1" customWidth="1"/>
    <col min="1827" max="1831" width="12.42578125" style="215" bestFit="1" customWidth="1"/>
    <col min="1832" max="1832" width="12" style="215" bestFit="1" customWidth="1"/>
    <col min="1833" max="2048" width="8.85546875" style="215"/>
    <col min="2049" max="2049" width="7.42578125" style="215" customWidth="1"/>
    <col min="2050" max="2050" width="41" style="215" customWidth="1"/>
    <col min="2051" max="2051" width="16" style="215" customWidth="1"/>
    <col min="2052" max="2052" width="16.140625" style="215" bestFit="1" customWidth="1"/>
    <col min="2053" max="2053" width="11.85546875" style="215" customWidth="1"/>
    <col min="2054" max="2054" width="12.42578125" style="215" bestFit="1" customWidth="1"/>
    <col min="2055" max="2056" width="13" style="215" bestFit="1" customWidth="1"/>
    <col min="2057" max="2057" width="12.5703125" style="215" bestFit="1" customWidth="1"/>
    <col min="2058" max="2058" width="13.42578125" style="215" bestFit="1" customWidth="1"/>
    <col min="2059" max="2059" width="13.5703125" style="215" bestFit="1" customWidth="1"/>
    <col min="2060" max="2060" width="14.5703125" style="215" bestFit="1" customWidth="1"/>
    <col min="2061" max="2061" width="14.85546875" style="215" bestFit="1" customWidth="1"/>
    <col min="2062" max="2062" width="17.140625" style="215" customWidth="1"/>
    <col min="2063" max="2063" width="16.42578125" style="215" bestFit="1" customWidth="1"/>
    <col min="2064" max="2064" width="17.140625" style="215" bestFit="1" customWidth="1"/>
    <col min="2065" max="2065" width="24.42578125" style="215" customWidth="1"/>
    <col min="2066" max="2066" width="18.42578125" style="215" bestFit="1" customWidth="1"/>
    <col min="2067" max="2067" width="18.5703125" style="215" bestFit="1" customWidth="1"/>
    <col min="2068" max="2068" width="19.42578125" style="215" bestFit="1" customWidth="1"/>
    <col min="2069" max="2069" width="20.42578125" style="215" bestFit="1" customWidth="1"/>
    <col min="2070" max="2070" width="20.85546875" style="215" bestFit="1" customWidth="1"/>
    <col min="2071" max="2071" width="21.42578125" style="215" bestFit="1" customWidth="1"/>
    <col min="2072" max="2073" width="22.42578125" style="215" bestFit="1" customWidth="1"/>
    <col min="2074" max="2075" width="23.85546875" style="215" bestFit="1" customWidth="1"/>
    <col min="2076" max="2077" width="24.85546875" style="215" bestFit="1" customWidth="1"/>
    <col min="2078" max="2082" width="11.42578125" style="215" bestFit="1" customWidth="1"/>
    <col min="2083" max="2087" width="12.42578125" style="215" bestFit="1" customWidth="1"/>
    <col min="2088" max="2088" width="12" style="215" bestFit="1" customWidth="1"/>
    <col min="2089" max="2304" width="8.85546875" style="215"/>
    <col min="2305" max="2305" width="7.42578125" style="215" customWidth="1"/>
    <col min="2306" max="2306" width="41" style="215" customWidth="1"/>
    <col min="2307" max="2307" width="16" style="215" customWidth="1"/>
    <col min="2308" max="2308" width="16.140625" style="215" bestFit="1" customWidth="1"/>
    <col min="2309" max="2309" width="11.85546875" style="215" customWidth="1"/>
    <col min="2310" max="2310" width="12.42578125" style="215" bestFit="1" customWidth="1"/>
    <col min="2311" max="2312" width="13" style="215" bestFit="1" customWidth="1"/>
    <col min="2313" max="2313" width="12.5703125" style="215" bestFit="1" customWidth="1"/>
    <col min="2314" max="2314" width="13.42578125" style="215" bestFit="1" customWidth="1"/>
    <col min="2315" max="2315" width="13.5703125" style="215" bestFit="1" customWidth="1"/>
    <col min="2316" max="2316" width="14.5703125" style="215" bestFit="1" customWidth="1"/>
    <col min="2317" max="2317" width="14.85546875" style="215" bestFit="1" customWidth="1"/>
    <col min="2318" max="2318" width="17.140625" style="215" customWidth="1"/>
    <col min="2319" max="2319" width="16.42578125" style="215" bestFit="1" customWidth="1"/>
    <col min="2320" max="2320" width="17.140625" style="215" bestFit="1" customWidth="1"/>
    <col min="2321" max="2321" width="24.42578125" style="215" customWidth="1"/>
    <col min="2322" max="2322" width="18.42578125" style="215" bestFit="1" customWidth="1"/>
    <col min="2323" max="2323" width="18.5703125" style="215" bestFit="1" customWidth="1"/>
    <col min="2324" max="2324" width="19.42578125" style="215" bestFit="1" customWidth="1"/>
    <col min="2325" max="2325" width="20.42578125" style="215" bestFit="1" customWidth="1"/>
    <col min="2326" max="2326" width="20.85546875" style="215" bestFit="1" customWidth="1"/>
    <col min="2327" max="2327" width="21.42578125" style="215" bestFit="1" customWidth="1"/>
    <col min="2328" max="2329" width="22.42578125" style="215" bestFit="1" customWidth="1"/>
    <col min="2330" max="2331" width="23.85546875" style="215" bestFit="1" customWidth="1"/>
    <col min="2332" max="2333" width="24.85546875" style="215" bestFit="1" customWidth="1"/>
    <col min="2334" max="2338" width="11.42578125" style="215" bestFit="1" customWidth="1"/>
    <col min="2339" max="2343" width="12.42578125" style="215" bestFit="1" customWidth="1"/>
    <col min="2344" max="2344" width="12" style="215" bestFit="1" customWidth="1"/>
    <col min="2345" max="2560" width="8.85546875" style="215"/>
    <col min="2561" max="2561" width="7.42578125" style="215" customWidth="1"/>
    <col min="2562" max="2562" width="41" style="215" customWidth="1"/>
    <col min="2563" max="2563" width="16" style="215" customWidth="1"/>
    <col min="2564" max="2564" width="16.140625" style="215" bestFit="1" customWidth="1"/>
    <col min="2565" max="2565" width="11.85546875" style="215" customWidth="1"/>
    <col min="2566" max="2566" width="12.42578125" style="215" bestFit="1" customWidth="1"/>
    <col min="2567" max="2568" width="13" style="215" bestFit="1" customWidth="1"/>
    <col min="2569" max="2569" width="12.5703125" style="215" bestFit="1" customWidth="1"/>
    <col min="2570" max="2570" width="13.42578125" style="215" bestFit="1" customWidth="1"/>
    <col min="2571" max="2571" width="13.5703125" style="215" bestFit="1" customWidth="1"/>
    <col min="2572" max="2572" width="14.5703125" style="215" bestFit="1" customWidth="1"/>
    <col min="2573" max="2573" width="14.85546875" style="215" bestFit="1" customWidth="1"/>
    <col min="2574" max="2574" width="17.140625" style="215" customWidth="1"/>
    <col min="2575" max="2575" width="16.42578125" style="215" bestFit="1" customWidth="1"/>
    <col min="2576" max="2576" width="17.140625" style="215" bestFit="1" customWidth="1"/>
    <col min="2577" max="2577" width="24.42578125" style="215" customWidth="1"/>
    <col min="2578" max="2578" width="18.42578125" style="215" bestFit="1" customWidth="1"/>
    <col min="2579" max="2579" width="18.5703125" style="215" bestFit="1" customWidth="1"/>
    <col min="2580" max="2580" width="19.42578125" style="215" bestFit="1" customWidth="1"/>
    <col min="2581" max="2581" width="20.42578125" style="215" bestFit="1" customWidth="1"/>
    <col min="2582" max="2582" width="20.85546875" style="215" bestFit="1" customWidth="1"/>
    <col min="2583" max="2583" width="21.42578125" style="215" bestFit="1" customWidth="1"/>
    <col min="2584" max="2585" width="22.42578125" style="215" bestFit="1" customWidth="1"/>
    <col min="2586" max="2587" width="23.85546875" style="215" bestFit="1" customWidth="1"/>
    <col min="2588" max="2589" width="24.85546875" style="215" bestFit="1" customWidth="1"/>
    <col min="2590" max="2594" width="11.42578125" style="215" bestFit="1" customWidth="1"/>
    <col min="2595" max="2599" width="12.42578125" style="215" bestFit="1" customWidth="1"/>
    <col min="2600" max="2600" width="12" style="215" bestFit="1" customWidth="1"/>
    <col min="2601" max="2816" width="8.85546875" style="215"/>
    <col min="2817" max="2817" width="7.42578125" style="215" customWidth="1"/>
    <col min="2818" max="2818" width="41" style="215" customWidth="1"/>
    <col min="2819" max="2819" width="16" style="215" customWidth="1"/>
    <col min="2820" max="2820" width="16.140625" style="215" bestFit="1" customWidth="1"/>
    <col min="2821" max="2821" width="11.85546875" style="215" customWidth="1"/>
    <col min="2822" max="2822" width="12.42578125" style="215" bestFit="1" customWidth="1"/>
    <col min="2823" max="2824" width="13" style="215" bestFit="1" customWidth="1"/>
    <col min="2825" max="2825" width="12.5703125" style="215" bestFit="1" customWidth="1"/>
    <col min="2826" max="2826" width="13.42578125" style="215" bestFit="1" customWidth="1"/>
    <col min="2827" max="2827" width="13.5703125" style="215" bestFit="1" customWidth="1"/>
    <col min="2828" max="2828" width="14.5703125" style="215" bestFit="1" customWidth="1"/>
    <col min="2829" max="2829" width="14.85546875" style="215" bestFit="1" customWidth="1"/>
    <col min="2830" max="2830" width="17.140625" style="215" customWidth="1"/>
    <col min="2831" max="2831" width="16.42578125" style="215" bestFit="1" customWidth="1"/>
    <col min="2832" max="2832" width="17.140625" style="215" bestFit="1" customWidth="1"/>
    <col min="2833" max="2833" width="24.42578125" style="215" customWidth="1"/>
    <col min="2834" max="2834" width="18.42578125" style="215" bestFit="1" customWidth="1"/>
    <col min="2835" max="2835" width="18.5703125" style="215" bestFit="1" customWidth="1"/>
    <col min="2836" max="2836" width="19.42578125" style="215" bestFit="1" customWidth="1"/>
    <col min="2837" max="2837" width="20.42578125" style="215" bestFit="1" customWidth="1"/>
    <col min="2838" max="2838" width="20.85546875" style="215" bestFit="1" customWidth="1"/>
    <col min="2839" max="2839" width="21.42578125" style="215" bestFit="1" customWidth="1"/>
    <col min="2840" max="2841" width="22.42578125" style="215" bestFit="1" customWidth="1"/>
    <col min="2842" max="2843" width="23.85546875" style="215" bestFit="1" customWidth="1"/>
    <col min="2844" max="2845" width="24.85546875" style="215" bestFit="1" customWidth="1"/>
    <col min="2846" max="2850" width="11.42578125" style="215" bestFit="1" customWidth="1"/>
    <col min="2851" max="2855" width="12.42578125" style="215" bestFit="1" customWidth="1"/>
    <col min="2856" max="2856" width="12" style="215" bestFit="1" customWidth="1"/>
    <col min="2857" max="3072" width="8.85546875" style="215"/>
    <col min="3073" max="3073" width="7.42578125" style="215" customWidth="1"/>
    <col min="3074" max="3074" width="41" style="215" customWidth="1"/>
    <col min="3075" max="3075" width="16" style="215" customWidth="1"/>
    <col min="3076" max="3076" width="16.140625" style="215" bestFit="1" customWidth="1"/>
    <col min="3077" max="3077" width="11.85546875" style="215" customWidth="1"/>
    <col min="3078" max="3078" width="12.42578125" style="215" bestFit="1" customWidth="1"/>
    <col min="3079" max="3080" width="13" style="215" bestFit="1" customWidth="1"/>
    <col min="3081" max="3081" width="12.5703125" style="215" bestFit="1" customWidth="1"/>
    <col min="3082" max="3082" width="13.42578125" style="215" bestFit="1" customWidth="1"/>
    <col min="3083" max="3083" width="13.5703125" style="215" bestFit="1" customWidth="1"/>
    <col min="3084" max="3084" width="14.5703125" style="215" bestFit="1" customWidth="1"/>
    <col min="3085" max="3085" width="14.85546875" style="215" bestFit="1" customWidth="1"/>
    <col min="3086" max="3086" width="17.140625" style="215" customWidth="1"/>
    <col min="3087" max="3087" width="16.42578125" style="215" bestFit="1" customWidth="1"/>
    <col min="3088" max="3088" width="17.140625" style="215" bestFit="1" customWidth="1"/>
    <col min="3089" max="3089" width="24.42578125" style="215" customWidth="1"/>
    <col min="3090" max="3090" width="18.42578125" style="215" bestFit="1" customWidth="1"/>
    <col min="3091" max="3091" width="18.5703125" style="215" bestFit="1" customWidth="1"/>
    <col min="3092" max="3092" width="19.42578125" style="215" bestFit="1" customWidth="1"/>
    <col min="3093" max="3093" width="20.42578125" style="215" bestFit="1" customWidth="1"/>
    <col min="3094" max="3094" width="20.85546875" style="215" bestFit="1" customWidth="1"/>
    <col min="3095" max="3095" width="21.42578125" style="215" bestFit="1" customWidth="1"/>
    <col min="3096" max="3097" width="22.42578125" style="215" bestFit="1" customWidth="1"/>
    <col min="3098" max="3099" width="23.85546875" style="215" bestFit="1" customWidth="1"/>
    <col min="3100" max="3101" width="24.85546875" style="215" bestFit="1" customWidth="1"/>
    <col min="3102" max="3106" width="11.42578125" style="215" bestFit="1" customWidth="1"/>
    <col min="3107" max="3111" width="12.42578125" style="215" bestFit="1" customWidth="1"/>
    <col min="3112" max="3112" width="12" style="215" bestFit="1" customWidth="1"/>
    <col min="3113" max="3328" width="8.85546875" style="215"/>
    <col min="3329" max="3329" width="7.42578125" style="215" customWidth="1"/>
    <col min="3330" max="3330" width="41" style="215" customWidth="1"/>
    <col min="3331" max="3331" width="16" style="215" customWidth="1"/>
    <col min="3332" max="3332" width="16.140625" style="215" bestFit="1" customWidth="1"/>
    <col min="3333" max="3333" width="11.85546875" style="215" customWidth="1"/>
    <col min="3334" max="3334" width="12.42578125" style="215" bestFit="1" customWidth="1"/>
    <col min="3335" max="3336" width="13" style="215" bestFit="1" customWidth="1"/>
    <col min="3337" max="3337" width="12.5703125" style="215" bestFit="1" customWidth="1"/>
    <col min="3338" max="3338" width="13.42578125" style="215" bestFit="1" customWidth="1"/>
    <col min="3339" max="3339" width="13.5703125" style="215" bestFit="1" customWidth="1"/>
    <col min="3340" max="3340" width="14.5703125" style="215" bestFit="1" customWidth="1"/>
    <col min="3341" max="3341" width="14.85546875" style="215" bestFit="1" customWidth="1"/>
    <col min="3342" max="3342" width="17.140625" style="215" customWidth="1"/>
    <col min="3343" max="3343" width="16.42578125" style="215" bestFit="1" customWidth="1"/>
    <col min="3344" max="3344" width="17.140625" style="215" bestFit="1" customWidth="1"/>
    <col min="3345" max="3345" width="24.42578125" style="215" customWidth="1"/>
    <col min="3346" max="3346" width="18.42578125" style="215" bestFit="1" customWidth="1"/>
    <col min="3347" max="3347" width="18.5703125" style="215" bestFit="1" customWidth="1"/>
    <col min="3348" max="3348" width="19.42578125" style="215" bestFit="1" customWidth="1"/>
    <col min="3349" max="3349" width="20.42578125" style="215" bestFit="1" customWidth="1"/>
    <col min="3350" max="3350" width="20.85546875" style="215" bestFit="1" customWidth="1"/>
    <col min="3351" max="3351" width="21.42578125" style="215" bestFit="1" customWidth="1"/>
    <col min="3352" max="3353" width="22.42578125" style="215" bestFit="1" customWidth="1"/>
    <col min="3354" max="3355" width="23.85546875" style="215" bestFit="1" customWidth="1"/>
    <col min="3356" max="3357" width="24.85546875" style="215" bestFit="1" customWidth="1"/>
    <col min="3358" max="3362" width="11.42578125" style="215" bestFit="1" customWidth="1"/>
    <col min="3363" max="3367" width="12.42578125" style="215" bestFit="1" customWidth="1"/>
    <col min="3368" max="3368" width="12" style="215" bestFit="1" customWidth="1"/>
    <col min="3369" max="3584" width="8.85546875" style="215"/>
    <col min="3585" max="3585" width="7.42578125" style="215" customWidth="1"/>
    <col min="3586" max="3586" width="41" style="215" customWidth="1"/>
    <col min="3587" max="3587" width="16" style="215" customWidth="1"/>
    <col min="3588" max="3588" width="16.140625" style="215" bestFit="1" customWidth="1"/>
    <col min="3589" max="3589" width="11.85546875" style="215" customWidth="1"/>
    <col min="3590" max="3590" width="12.42578125" style="215" bestFit="1" customWidth="1"/>
    <col min="3591" max="3592" width="13" style="215" bestFit="1" customWidth="1"/>
    <col min="3593" max="3593" width="12.5703125" style="215" bestFit="1" customWidth="1"/>
    <col min="3594" max="3594" width="13.42578125" style="215" bestFit="1" customWidth="1"/>
    <col min="3595" max="3595" width="13.5703125" style="215" bestFit="1" customWidth="1"/>
    <col min="3596" max="3596" width="14.5703125" style="215" bestFit="1" customWidth="1"/>
    <col min="3597" max="3597" width="14.85546875" style="215" bestFit="1" customWidth="1"/>
    <col min="3598" max="3598" width="17.140625" style="215" customWidth="1"/>
    <col min="3599" max="3599" width="16.42578125" style="215" bestFit="1" customWidth="1"/>
    <col min="3600" max="3600" width="17.140625" style="215" bestFit="1" customWidth="1"/>
    <col min="3601" max="3601" width="24.42578125" style="215" customWidth="1"/>
    <col min="3602" max="3602" width="18.42578125" style="215" bestFit="1" customWidth="1"/>
    <col min="3603" max="3603" width="18.5703125" style="215" bestFit="1" customWidth="1"/>
    <col min="3604" max="3604" width="19.42578125" style="215" bestFit="1" customWidth="1"/>
    <col min="3605" max="3605" width="20.42578125" style="215" bestFit="1" customWidth="1"/>
    <col min="3606" max="3606" width="20.85546875" style="215" bestFit="1" customWidth="1"/>
    <col min="3607" max="3607" width="21.42578125" style="215" bestFit="1" customWidth="1"/>
    <col min="3608" max="3609" width="22.42578125" style="215" bestFit="1" customWidth="1"/>
    <col min="3610" max="3611" width="23.85546875" style="215" bestFit="1" customWidth="1"/>
    <col min="3612" max="3613" width="24.85546875" style="215" bestFit="1" customWidth="1"/>
    <col min="3614" max="3618" width="11.42578125" style="215" bestFit="1" customWidth="1"/>
    <col min="3619" max="3623" width="12.42578125" style="215" bestFit="1" customWidth="1"/>
    <col min="3624" max="3624" width="12" style="215" bestFit="1" customWidth="1"/>
    <col min="3625" max="3840" width="8.85546875" style="215"/>
    <col min="3841" max="3841" width="7.42578125" style="215" customWidth="1"/>
    <col min="3842" max="3842" width="41" style="215" customWidth="1"/>
    <col min="3843" max="3843" width="16" style="215" customWidth="1"/>
    <col min="3844" max="3844" width="16.140625" style="215" bestFit="1" customWidth="1"/>
    <col min="3845" max="3845" width="11.85546875" style="215" customWidth="1"/>
    <col min="3846" max="3846" width="12.42578125" style="215" bestFit="1" customWidth="1"/>
    <col min="3847" max="3848" width="13" style="215" bestFit="1" customWidth="1"/>
    <col min="3849" max="3849" width="12.5703125" style="215" bestFit="1" customWidth="1"/>
    <col min="3850" max="3850" width="13.42578125" style="215" bestFit="1" customWidth="1"/>
    <col min="3851" max="3851" width="13.5703125" style="215" bestFit="1" customWidth="1"/>
    <col min="3852" max="3852" width="14.5703125" style="215" bestFit="1" customWidth="1"/>
    <col min="3853" max="3853" width="14.85546875" style="215" bestFit="1" customWidth="1"/>
    <col min="3854" max="3854" width="17.140625" style="215" customWidth="1"/>
    <col min="3855" max="3855" width="16.42578125" style="215" bestFit="1" customWidth="1"/>
    <col min="3856" max="3856" width="17.140625" style="215" bestFit="1" customWidth="1"/>
    <col min="3857" max="3857" width="24.42578125" style="215" customWidth="1"/>
    <col min="3858" max="3858" width="18.42578125" style="215" bestFit="1" customWidth="1"/>
    <col min="3859" max="3859" width="18.5703125" style="215" bestFit="1" customWidth="1"/>
    <col min="3860" max="3860" width="19.42578125" style="215" bestFit="1" customWidth="1"/>
    <col min="3861" max="3861" width="20.42578125" style="215" bestFit="1" customWidth="1"/>
    <col min="3862" max="3862" width="20.85546875" style="215" bestFit="1" customWidth="1"/>
    <col min="3863" max="3863" width="21.42578125" style="215" bestFit="1" customWidth="1"/>
    <col min="3864" max="3865" width="22.42578125" style="215" bestFit="1" customWidth="1"/>
    <col min="3866" max="3867" width="23.85546875" style="215" bestFit="1" customWidth="1"/>
    <col min="3868" max="3869" width="24.85546875" style="215" bestFit="1" customWidth="1"/>
    <col min="3870" max="3874" width="11.42578125" style="215" bestFit="1" customWidth="1"/>
    <col min="3875" max="3879" width="12.42578125" style="215" bestFit="1" customWidth="1"/>
    <col min="3880" max="3880" width="12" style="215" bestFit="1" customWidth="1"/>
    <col min="3881" max="4096" width="8.85546875" style="215"/>
    <col min="4097" max="4097" width="7.42578125" style="215" customWidth="1"/>
    <col min="4098" max="4098" width="41" style="215" customWidth="1"/>
    <col min="4099" max="4099" width="16" style="215" customWidth="1"/>
    <col min="4100" max="4100" width="16.140625" style="215" bestFit="1" customWidth="1"/>
    <col min="4101" max="4101" width="11.85546875" style="215" customWidth="1"/>
    <col min="4102" max="4102" width="12.42578125" style="215" bestFit="1" customWidth="1"/>
    <col min="4103" max="4104" width="13" style="215" bestFit="1" customWidth="1"/>
    <col min="4105" max="4105" width="12.5703125" style="215" bestFit="1" customWidth="1"/>
    <col min="4106" max="4106" width="13.42578125" style="215" bestFit="1" customWidth="1"/>
    <col min="4107" max="4107" width="13.5703125" style="215" bestFit="1" customWidth="1"/>
    <col min="4108" max="4108" width="14.5703125" style="215" bestFit="1" customWidth="1"/>
    <col min="4109" max="4109" width="14.85546875" style="215" bestFit="1" customWidth="1"/>
    <col min="4110" max="4110" width="17.140625" style="215" customWidth="1"/>
    <col min="4111" max="4111" width="16.42578125" style="215" bestFit="1" customWidth="1"/>
    <col min="4112" max="4112" width="17.140625" style="215" bestFit="1" customWidth="1"/>
    <col min="4113" max="4113" width="24.42578125" style="215" customWidth="1"/>
    <col min="4114" max="4114" width="18.42578125" style="215" bestFit="1" customWidth="1"/>
    <col min="4115" max="4115" width="18.5703125" style="215" bestFit="1" customWidth="1"/>
    <col min="4116" max="4116" width="19.42578125" style="215" bestFit="1" customWidth="1"/>
    <col min="4117" max="4117" width="20.42578125" style="215" bestFit="1" customWidth="1"/>
    <col min="4118" max="4118" width="20.85546875" style="215" bestFit="1" customWidth="1"/>
    <col min="4119" max="4119" width="21.42578125" style="215" bestFit="1" customWidth="1"/>
    <col min="4120" max="4121" width="22.42578125" style="215" bestFit="1" customWidth="1"/>
    <col min="4122" max="4123" width="23.85546875" style="215" bestFit="1" customWidth="1"/>
    <col min="4124" max="4125" width="24.85546875" style="215" bestFit="1" customWidth="1"/>
    <col min="4126" max="4130" width="11.42578125" style="215" bestFit="1" customWidth="1"/>
    <col min="4131" max="4135" width="12.42578125" style="215" bestFit="1" customWidth="1"/>
    <col min="4136" max="4136" width="12" style="215" bestFit="1" customWidth="1"/>
    <col min="4137" max="4352" width="8.85546875" style="215"/>
    <col min="4353" max="4353" width="7.42578125" style="215" customWidth="1"/>
    <col min="4354" max="4354" width="41" style="215" customWidth="1"/>
    <col min="4355" max="4355" width="16" style="215" customWidth="1"/>
    <col min="4356" max="4356" width="16.140625" style="215" bestFit="1" customWidth="1"/>
    <col min="4357" max="4357" width="11.85546875" style="215" customWidth="1"/>
    <col min="4358" max="4358" width="12.42578125" style="215" bestFit="1" customWidth="1"/>
    <col min="4359" max="4360" width="13" style="215" bestFit="1" customWidth="1"/>
    <col min="4361" max="4361" width="12.5703125" style="215" bestFit="1" customWidth="1"/>
    <col min="4362" max="4362" width="13.42578125" style="215" bestFit="1" customWidth="1"/>
    <col min="4363" max="4363" width="13.5703125" style="215" bestFit="1" customWidth="1"/>
    <col min="4364" max="4364" width="14.5703125" style="215" bestFit="1" customWidth="1"/>
    <col min="4365" max="4365" width="14.85546875" style="215" bestFit="1" customWidth="1"/>
    <col min="4366" max="4366" width="17.140625" style="215" customWidth="1"/>
    <col min="4367" max="4367" width="16.42578125" style="215" bestFit="1" customWidth="1"/>
    <col min="4368" max="4368" width="17.140625" style="215" bestFit="1" customWidth="1"/>
    <col min="4369" max="4369" width="24.42578125" style="215" customWidth="1"/>
    <col min="4370" max="4370" width="18.42578125" style="215" bestFit="1" customWidth="1"/>
    <col min="4371" max="4371" width="18.5703125" style="215" bestFit="1" customWidth="1"/>
    <col min="4372" max="4372" width="19.42578125" style="215" bestFit="1" customWidth="1"/>
    <col min="4373" max="4373" width="20.42578125" style="215" bestFit="1" customWidth="1"/>
    <col min="4374" max="4374" width="20.85546875" style="215" bestFit="1" customWidth="1"/>
    <col min="4375" max="4375" width="21.42578125" style="215" bestFit="1" customWidth="1"/>
    <col min="4376" max="4377" width="22.42578125" style="215" bestFit="1" customWidth="1"/>
    <col min="4378" max="4379" width="23.85546875" style="215" bestFit="1" customWidth="1"/>
    <col min="4380" max="4381" width="24.85546875" style="215" bestFit="1" customWidth="1"/>
    <col min="4382" max="4386" width="11.42578125" style="215" bestFit="1" customWidth="1"/>
    <col min="4387" max="4391" width="12.42578125" style="215" bestFit="1" customWidth="1"/>
    <col min="4392" max="4392" width="12" style="215" bestFit="1" customWidth="1"/>
    <col min="4393" max="4608" width="8.85546875" style="215"/>
    <col min="4609" max="4609" width="7.42578125" style="215" customWidth="1"/>
    <col min="4610" max="4610" width="41" style="215" customWidth="1"/>
    <col min="4611" max="4611" width="16" style="215" customWidth="1"/>
    <col min="4612" max="4612" width="16.140625" style="215" bestFit="1" customWidth="1"/>
    <col min="4613" max="4613" width="11.85546875" style="215" customWidth="1"/>
    <col min="4614" max="4614" width="12.42578125" style="215" bestFit="1" customWidth="1"/>
    <col min="4615" max="4616" width="13" style="215" bestFit="1" customWidth="1"/>
    <col min="4617" max="4617" width="12.5703125" style="215" bestFit="1" customWidth="1"/>
    <col min="4618" max="4618" width="13.42578125" style="215" bestFit="1" customWidth="1"/>
    <col min="4619" max="4619" width="13.5703125" style="215" bestFit="1" customWidth="1"/>
    <col min="4620" max="4620" width="14.5703125" style="215" bestFit="1" customWidth="1"/>
    <col min="4621" max="4621" width="14.85546875" style="215" bestFit="1" customWidth="1"/>
    <col min="4622" max="4622" width="17.140625" style="215" customWidth="1"/>
    <col min="4623" max="4623" width="16.42578125" style="215" bestFit="1" customWidth="1"/>
    <col min="4624" max="4624" width="17.140625" style="215" bestFit="1" customWidth="1"/>
    <col min="4625" max="4625" width="24.42578125" style="215" customWidth="1"/>
    <col min="4626" max="4626" width="18.42578125" style="215" bestFit="1" customWidth="1"/>
    <col min="4627" max="4627" width="18.5703125" style="215" bestFit="1" customWidth="1"/>
    <col min="4628" max="4628" width="19.42578125" style="215" bestFit="1" customWidth="1"/>
    <col min="4629" max="4629" width="20.42578125" style="215" bestFit="1" customWidth="1"/>
    <col min="4630" max="4630" width="20.85546875" style="215" bestFit="1" customWidth="1"/>
    <col min="4631" max="4631" width="21.42578125" style="215" bestFit="1" customWidth="1"/>
    <col min="4632" max="4633" width="22.42578125" style="215" bestFit="1" customWidth="1"/>
    <col min="4634" max="4635" width="23.85546875" style="215" bestFit="1" customWidth="1"/>
    <col min="4636" max="4637" width="24.85546875" style="215" bestFit="1" customWidth="1"/>
    <col min="4638" max="4642" width="11.42578125" style="215" bestFit="1" customWidth="1"/>
    <col min="4643" max="4647" width="12.42578125" style="215" bestFit="1" customWidth="1"/>
    <col min="4648" max="4648" width="12" style="215" bestFit="1" customWidth="1"/>
    <col min="4649" max="4864" width="8.85546875" style="215"/>
    <col min="4865" max="4865" width="7.42578125" style="215" customWidth="1"/>
    <col min="4866" max="4866" width="41" style="215" customWidth="1"/>
    <col min="4867" max="4867" width="16" style="215" customWidth="1"/>
    <col min="4868" max="4868" width="16.140625" style="215" bestFit="1" customWidth="1"/>
    <col min="4869" max="4869" width="11.85546875" style="215" customWidth="1"/>
    <col min="4870" max="4870" width="12.42578125" style="215" bestFit="1" customWidth="1"/>
    <col min="4871" max="4872" width="13" style="215" bestFit="1" customWidth="1"/>
    <col min="4873" max="4873" width="12.5703125" style="215" bestFit="1" customWidth="1"/>
    <col min="4874" max="4874" width="13.42578125" style="215" bestFit="1" customWidth="1"/>
    <col min="4875" max="4875" width="13.5703125" style="215" bestFit="1" customWidth="1"/>
    <col min="4876" max="4876" width="14.5703125" style="215" bestFit="1" customWidth="1"/>
    <col min="4877" max="4877" width="14.85546875" style="215" bestFit="1" customWidth="1"/>
    <col min="4878" max="4878" width="17.140625" style="215" customWidth="1"/>
    <col min="4879" max="4879" width="16.42578125" style="215" bestFit="1" customWidth="1"/>
    <col min="4880" max="4880" width="17.140625" style="215" bestFit="1" customWidth="1"/>
    <col min="4881" max="4881" width="24.42578125" style="215" customWidth="1"/>
    <col min="4882" max="4882" width="18.42578125" style="215" bestFit="1" customWidth="1"/>
    <col min="4883" max="4883" width="18.5703125" style="215" bestFit="1" customWidth="1"/>
    <col min="4884" max="4884" width="19.42578125" style="215" bestFit="1" customWidth="1"/>
    <col min="4885" max="4885" width="20.42578125" style="215" bestFit="1" customWidth="1"/>
    <col min="4886" max="4886" width="20.85546875" style="215" bestFit="1" customWidth="1"/>
    <col min="4887" max="4887" width="21.42578125" style="215" bestFit="1" customWidth="1"/>
    <col min="4888" max="4889" width="22.42578125" style="215" bestFit="1" customWidth="1"/>
    <col min="4890" max="4891" width="23.85546875" style="215" bestFit="1" customWidth="1"/>
    <col min="4892" max="4893" width="24.85546875" style="215" bestFit="1" customWidth="1"/>
    <col min="4894" max="4898" width="11.42578125" style="215" bestFit="1" customWidth="1"/>
    <col min="4899" max="4903" width="12.42578125" style="215" bestFit="1" customWidth="1"/>
    <col min="4904" max="4904" width="12" style="215" bestFit="1" customWidth="1"/>
    <col min="4905" max="5120" width="8.85546875" style="215"/>
    <col min="5121" max="5121" width="7.42578125" style="215" customWidth="1"/>
    <col min="5122" max="5122" width="41" style="215" customWidth="1"/>
    <col min="5123" max="5123" width="16" style="215" customWidth="1"/>
    <col min="5124" max="5124" width="16.140625" style="215" bestFit="1" customWidth="1"/>
    <col min="5125" max="5125" width="11.85546875" style="215" customWidth="1"/>
    <col min="5126" max="5126" width="12.42578125" style="215" bestFit="1" customWidth="1"/>
    <col min="5127" max="5128" width="13" style="215" bestFit="1" customWidth="1"/>
    <col min="5129" max="5129" width="12.5703125" style="215" bestFit="1" customWidth="1"/>
    <col min="5130" max="5130" width="13.42578125" style="215" bestFit="1" customWidth="1"/>
    <col min="5131" max="5131" width="13.5703125" style="215" bestFit="1" customWidth="1"/>
    <col min="5132" max="5132" width="14.5703125" style="215" bestFit="1" customWidth="1"/>
    <col min="5133" max="5133" width="14.85546875" style="215" bestFit="1" customWidth="1"/>
    <col min="5134" max="5134" width="17.140625" style="215" customWidth="1"/>
    <col min="5135" max="5135" width="16.42578125" style="215" bestFit="1" customWidth="1"/>
    <col min="5136" max="5136" width="17.140625" style="215" bestFit="1" customWidth="1"/>
    <col min="5137" max="5137" width="24.42578125" style="215" customWidth="1"/>
    <col min="5138" max="5138" width="18.42578125" style="215" bestFit="1" customWidth="1"/>
    <col min="5139" max="5139" width="18.5703125" style="215" bestFit="1" customWidth="1"/>
    <col min="5140" max="5140" width="19.42578125" style="215" bestFit="1" customWidth="1"/>
    <col min="5141" max="5141" width="20.42578125" style="215" bestFit="1" customWidth="1"/>
    <col min="5142" max="5142" width="20.85546875" style="215" bestFit="1" customWidth="1"/>
    <col min="5143" max="5143" width="21.42578125" style="215" bestFit="1" customWidth="1"/>
    <col min="5144" max="5145" width="22.42578125" style="215" bestFit="1" customWidth="1"/>
    <col min="5146" max="5147" width="23.85546875" style="215" bestFit="1" customWidth="1"/>
    <col min="5148" max="5149" width="24.85546875" style="215" bestFit="1" customWidth="1"/>
    <col min="5150" max="5154" width="11.42578125" style="215" bestFit="1" customWidth="1"/>
    <col min="5155" max="5159" width="12.42578125" style="215" bestFit="1" customWidth="1"/>
    <col min="5160" max="5160" width="12" style="215" bestFit="1" customWidth="1"/>
    <col min="5161" max="5376" width="8.85546875" style="215"/>
    <col min="5377" max="5377" width="7.42578125" style="215" customWidth="1"/>
    <col min="5378" max="5378" width="41" style="215" customWidth="1"/>
    <col min="5379" max="5379" width="16" style="215" customWidth="1"/>
    <col min="5380" max="5380" width="16.140625" style="215" bestFit="1" customWidth="1"/>
    <col min="5381" max="5381" width="11.85546875" style="215" customWidth="1"/>
    <col min="5382" max="5382" width="12.42578125" style="215" bestFit="1" customWidth="1"/>
    <col min="5383" max="5384" width="13" style="215" bestFit="1" customWidth="1"/>
    <col min="5385" max="5385" width="12.5703125" style="215" bestFit="1" customWidth="1"/>
    <col min="5386" max="5386" width="13.42578125" style="215" bestFit="1" customWidth="1"/>
    <col min="5387" max="5387" width="13.5703125" style="215" bestFit="1" customWidth="1"/>
    <col min="5388" max="5388" width="14.5703125" style="215" bestFit="1" customWidth="1"/>
    <col min="5389" max="5389" width="14.85546875" style="215" bestFit="1" customWidth="1"/>
    <col min="5390" max="5390" width="17.140625" style="215" customWidth="1"/>
    <col min="5391" max="5391" width="16.42578125" style="215" bestFit="1" customWidth="1"/>
    <col min="5392" max="5392" width="17.140625" style="215" bestFit="1" customWidth="1"/>
    <col min="5393" max="5393" width="24.42578125" style="215" customWidth="1"/>
    <col min="5394" max="5394" width="18.42578125" style="215" bestFit="1" customWidth="1"/>
    <col min="5395" max="5395" width="18.5703125" style="215" bestFit="1" customWidth="1"/>
    <col min="5396" max="5396" width="19.42578125" style="215" bestFit="1" customWidth="1"/>
    <col min="5397" max="5397" width="20.42578125" style="215" bestFit="1" customWidth="1"/>
    <col min="5398" max="5398" width="20.85546875" style="215" bestFit="1" customWidth="1"/>
    <col min="5399" max="5399" width="21.42578125" style="215" bestFit="1" customWidth="1"/>
    <col min="5400" max="5401" width="22.42578125" style="215" bestFit="1" customWidth="1"/>
    <col min="5402" max="5403" width="23.85546875" style="215" bestFit="1" customWidth="1"/>
    <col min="5404" max="5405" width="24.85546875" style="215" bestFit="1" customWidth="1"/>
    <col min="5406" max="5410" width="11.42578125" style="215" bestFit="1" customWidth="1"/>
    <col min="5411" max="5415" width="12.42578125" style="215" bestFit="1" customWidth="1"/>
    <col min="5416" max="5416" width="12" style="215" bestFit="1" customWidth="1"/>
    <col min="5417" max="5632" width="8.85546875" style="215"/>
    <col min="5633" max="5633" width="7.42578125" style="215" customWidth="1"/>
    <col min="5634" max="5634" width="41" style="215" customWidth="1"/>
    <col min="5635" max="5635" width="16" style="215" customWidth="1"/>
    <col min="5636" max="5636" width="16.140625" style="215" bestFit="1" customWidth="1"/>
    <col min="5637" max="5637" width="11.85546875" style="215" customWidth="1"/>
    <col min="5638" max="5638" width="12.42578125" style="215" bestFit="1" customWidth="1"/>
    <col min="5639" max="5640" width="13" style="215" bestFit="1" customWidth="1"/>
    <col min="5641" max="5641" width="12.5703125" style="215" bestFit="1" customWidth="1"/>
    <col min="5642" max="5642" width="13.42578125" style="215" bestFit="1" customWidth="1"/>
    <col min="5643" max="5643" width="13.5703125" style="215" bestFit="1" customWidth="1"/>
    <col min="5644" max="5644" width="14.5703125" style="215" bestFit="1" customWidth="1"/>
    <col min="5645" max="5645" width="14.85546875" style="215" bestFit="1" customWidth="1"/>
    <col min="5646" max="5646" width="17.140625" style="215" customWidth="1"/>
    <col min="5647" max="5647" width="16.42578125" style="215" bestFit="1" customWidth="1"/>
    <col min="5648" max="5648" width="17.140625" style="215" bestFit="1" customWidth="1"/>
    <col min="5649" max="5649" width="24.42578125" style="215" customWidth="1"/>
    <col min="5650" max="5650" width="18.42578125" style="215" bestFit="1" customWidth="1"/>
    <col min="5651" max="5651" width="18.5703125" style="215" bestFit="1" customWidth="1"/>
    <col min="5652" max="5652" width="19.42578125" style="215" bestFit="1" customWidth="1"/>
    <col min="5653" max="5653" width="20.42578125" style="215" bestFit="1" customWidth="1"/>
    <col min="5654" max="5654" width="20.85546875" style="215" bestFit="1" customWidth="1"/>
    <col min="5655" max="5655" width="21.42578125" style="215" bestFit="1" customWidth="1"/>
    <col min="5656" max="5657" width="22.42578125" style="215" bestFit="1" customWidth="1"/>
    <col min="5658" max="5659" width="23.85546875" style="215" bestFit="1" customWidth="1"/>
    <col min="5660" max="5661" width="24.85546875" style="215" bestFit="1" customWidth="1"/>
    <col min="5662" max="5666" width="11.42578125" style="215" bestFit="1" customWidth="1"/>
    <col min="5667" max="5671" width="12.42578125" style="215" bestFit="1" customWidth="1"/>
    <col min="5672" max="5672" width="12" style="215" bestFit="1" customWidth="1"/>
    <col min="5673" max="5888" width="8.85546875" style="215"/>
    <col min="5889" max="5889" width="7.42578125" style="215" customWidth="1"/>
    <col min="5890" max="5890" width="41" style="215" customWidth="1"/>
    <col min="5891" max="5891" width="16" style="215" customWidth="1"/>
    <col min="5892" max="5892" width="16.140625" style="215" bestFit="1" customWidth="1"/>
    <col min="5893" max="5893" width="11.85546875" style="215" customWidth="1"/>
    <col min="5894" max="5894" width="12.42578125" style="215" bestFit="1" customWidth="1"/>
    <col min="5895" max="5896" width="13" style="215" bestFit="1" customWidth="1"/>
    <col min="5897" max="5897" width="12.5703125" style="215" bestFit="1" customWidth="1"/>
    <col min="5898" max="5898" width="13.42578125" style="215" bestFit="1" customWidth="1"/>
    <col min="5899" max="5899" width="13.5703125" style="215" bestFit="1" customWidth="1"/>
    <col min="5900" max="5900" width="14.5703125" style="215" bestFit="1" customWidth="1"/>
    <col min="5901" max="5901" width="14.85546875" style="215" bestFit="1" customWidth="1"/>
    <col min="5902" max="5902" width="17.140625" style="215" customWidth="1"/>
    <col min="5903" max="5903" width="16.42578125" style="215" bestFit="1" customWidth="1"/>
    <col min="5904" max="5904" width="17.140625" style="215" bestFit="1" customWidth="1"/>
    <col min="5905" max="5905" width="24.42578125" style="215" customWidth="1"/>
    <col min="5906" max="5906" width="18.42578125" style="215" bestFit="1" customWidth="1"/>
    <col min="5907" max="5907" width="18.5703125" style="215" bestFit="1" customWidth="1"/>
    <col min="5908" max="5908" width="19.42578125" style="215" bestFit="1" customWidth="1"/>
    <col min="5909" max="5909" width="20.42578125" style="215" bestFit="1" customWidth="1"/>
    <col min="5910" max="5910" width="20.85546875" style="215" bestFit="1" customWidth="1"/>
    <col min="5911" max="5911" width="21.42578125" style="215" bestFit="1" customWidth="1"/>
    <col min="5912" max="5913" width="22.42578125" style="215" bestFit="1" customWidth="1"/>
    <col min="5914" max="5915" width="23.85546875" style="215" bestFit="1" customWidth="1"/>
    <col min="5916" max="5917" width="24.85546875" style="215" bestFit="1" customWidth="1"/>
    <col min="5918" max="5922" width="11.42578125" style="215" bestFit="1" customWidth="1"/>
    <col min="5923" max="5927" width="12.42578125" style="215" bestFit="1" customWidth="1"/>
    <col min="5928" max="5928" width="12" style="215" bestFit="1" customWidth="1"/>
    <col min="5929" max="6144" width="8.85546875" style="215"/>
    <col min="6145" max="6145" width="7.42578125" style="215" customWidth="1"/>
    <col min="6146" max="6146" width="41" style="215" customWidth="1"/>
    <col min="6147" max="6147" width="16" style="215" customWidth="1"/>
    <col min="6148" max="6148" width="16.140625" style="215" bestFit="1" customWidth="1"/>
    <col min="6149" max="6149" width="11.85546875" style="215" customWidth="1"/>
    <col min="6150" max="6150" width="12.42578125" style="215" bestFit="1" customWidth="1"/>
    <col min="6151" max="6152" width="13" style="215" bestFit="1" customWidth="1"/>
    <col min="6153" max="6153" width="12.5703125" style="215" bestFit="1" customWidth="1"/>
    <col min="6154" max="6154" width="13.42578125" style="215" bestFit="1" customWidth="1"/>
    <col min="6155" max="6155" width="13.5703125" style="215" bestFit="1" customWidth="1"/>
    <col min="6156" max="6156" width="14.5703125" style="215" bestFit="1" customWidth="1"/>
    <col min="6157" max="6157" width="14.85546875" style="215" bestFit="1" customWidth="1"/>
    <col min="6158" max="6158" width="17.140625" style="215" customWidth="1"/>
    <col min="6159" max="6159" width="16.42578125" style="215" bestFit="1" customWidth="1"/>
    <col min="6160" max="6160" width="17.140625" style="215" bestFit="1" customWidth="1"/>
    <col min="6161" max="6161" width="24.42578125" style="215" customWidth="1"/>
    <col min="6162" max="6162" width="18.42578125" style="215" bestFit="1" customWidth="1"/>
    <col min="6163" max="6163" width="18.5703125" style="215" bestFit="1" customWidth="1"/>
    <col min="6164" max="6164" width="19.42578125" style="215" bestFit="1" customWidth="1"/>
    <col min="6165" max="6165" width="20.42578125" style="215" bestFit="1" customWidth="1"/>
    <col min="6166" max="6166" width="20.85546875" style="215" bestFit="1" customWidth="1"/>
    <col min="6167" max="6167" width="21.42578125" style="215" bestFit="1" customWidth="1"/>
    <col min="6168" max="6169" width="22.42578125" style="215" bestFit="1" customWidth="1"/>
    <col min="6170" max="6171" width="23.85546875" style="215" bestFit="1" customWidth="1"/>
    <col min="6172" max="6173" width="24.85546875" style="215" bestFit="1" customWidth="1"/>
    <col min="6174" max="6178" width="11.42578125" style="215" bestFit="1" customWidth="1"/>
    <col min="6179" max="6183" width="12.42578125" style="215" bestFit="1" customWidth="1"/>
    <col min="6184" max="6184" width="12" style="215" bestFit="1" customWidth="1"/>
    <col min="6185" max="6400" width="8.85546875" style="215"/>
    <col min="6401" max="6401" width="7.42578125" style="215" customWidth="1"/>
    <col min="6402" max="6402" width="41" style="215" customWidth="1"/>
    <col min="6403" max="6403" width="16" style="215" customWidth="1"/>
    <col min="6404" max="6404" width="16.140625" style="215" bestFit="1" customWidth="1"/>
    <col min="6405" max="6405" width="11.85546875" style="215" customWidth="1"/>
    <col min="6406" max="6406" width="12.42578125" style="215" bestFit="1" customWidth="1"/>
    <col min="6407" max="6408" width="13" style="215" bestFit="1" customWidth="1"/>
    <col min="6409" max="6409" width="12.5703125" style="215" bestFit="1" customWidth="1"/>
    <col min="6410" max="6410" width="13.42578125" style="215" bestFit="1" customWidth="1"/>
    <col min="6411" max="6411" width="13.5703125" style="215" bestFit="1" customWidth="1"/>
    <col min="6412" max="6412" width="14.5703125" style="215" bestFit="1" customWidth="1"/>
    <col min="6413" max="6413" width="14.85546875" style="215" bestFit="1" customWidth="1"/>
    <col min="6414" max="6414" width="17.140625" style="215" customWidth="1"/>
    <col min="6415" max="6415" width="16.42578125" style="215" bestFit="1" customWidth="1"/>
    <col min="6416" max="6416" width="17.140625" style="215" bestFit="1" customWidth="1"/>
    <col min="6417" max="6417" width="24.42578125" style="215" customWidth="1"/>
    <col min="6418" max="6418" width="18.42578125" style="215" bestFit="1" customWidth="1"/>
    <col min="6419" max="6419" width="18.5703125" style="215" bestFit="1" customWidth="1"/>
    <col min="6420" max="6420" width="19.42578125" style="215" bestFit="1" customWidth="1"/>
    <col min="6421" max="6421" width="20.42578125" style="215" bestFit="1" customWidth="1"/>
    <col min="6422" max="6422" width="20.85546875" style="215" bestFit="1" customWidth="1"/>
    <col min="6423" max="6423" width="21.42578125" style="215" bestFit="1" customWidth="1"/>
    <col min="6424" max="6425" width="22.42578125" style="215" bestFit="1" customWidth="1"/>
    <col min="6426" max="6427" width="23.85546875" style="215" bestFit="1" customWidth="1"/>
    <col min="6428" max="6429" width="24.85546875" style="215" bestFit="1" customWidth="1"/>
    <col min="6430" max="6434" width="11.42578125" style="215" bestFit="1" customWidth="1"/>
    <col min="6435" max="6439" width="12.42578125" style="215" bestFit="1" customWidth="1"/>
    <col min="6440" max="6440" width="12" style="215" bestFit="1" customWidth="1"/>
    <col min="6441" max="6656" width="8.85546875" style="215"/>
    <col min="6657" max="6657" width="7.42578125" style="215" customWidth="1"/>
    <col min="6658" max="6658" width="41" style="215" customWidth="1"/>
    <col min="6659" max="6659" width="16" style="215" customWidth="1"/>
    <col min="6660" max="6660" width="16.140625" style="215" bestFit="1" customWidth="1"/>
    <col min="6661" max="6661" width="11.85546875" style="215" customWidth="1"/>
    <col min="6662" max="6662" width="12.42578125" style="215" bestFit="1" customWidth="1"/>
    <col min="6663" max="6664" width="13" style="215" bestFit="1" customWidth="1"/>
    <col min="6665" max="6665" width="12.5703125" style="215" bestFit="1" customWidth="1"/>
    <col min="6666" max="6666" width="13.42578125" style="215" bestFit="1" customWidth="1"/>
    <col min="6667" max="6667" width="13.5703125" style="215" bestFit="1" customWidth="1"/>
    <col min="6668" max="6668" width="14.5703125" style="215" bestFit="1" customWidth="1"/>
    <col min="6669" max="6669" width="14.85546875" style="215" bestFit="1" customWidth="1"/>
    <col min="6670" max="6670" width="17.140625" style="215" customWidth="1"/>
    <col min="6671" max="6671" width="16.42578125" style="215" bestFit="1" customWidth="1"/>
    <col min="6672" max="6672" width="17.140625" style="215" bestFit="1" customWidth="1"/>
    <col min="6673" max="6673" width="24.42578125" style="215" customWidth="1"/>
    <col min="6674" max="6674" width="18.42578125" style="215" bestFit="1" customWidth="1"/>
    <col min="6675" max="6675" width="18.5703125" style="215" bestFit="1" customWidth="1"/>
    <col min="6676" max="6676" width="19.42578125" style="215" bestFit="1" customWidth="1"/>
    <col min="6677" max="6677" width="20.42578125" style="215" bestFit="1" customWidth="1"/>
    <col min="6678" max="6678" width="20.85546875" style="215" bestFit="1" customWidth="1"/>
    <col min="6679" max="6679" width="21.42578125" style="215" bestFit="1" customWidth="1"/>
    <col min="6680" max="6681" width="22.42578125" style="215" bestFit="1" customWidth="1"/>
    <col min="6682" max="6683" width="23.85546875" style="215" bestFit="1" customWidth="1"/>
    <col min="6684" max="6685" width="24.85546875" style="215" bestFit="1" customWidth="1"/>
    <col min="6686" max="6690" width="11.42578125" style="215" bestFit="1" customWidth="1"/>
    <col min="6691" max="6695" width="12.42578125" style="215" bestFit="1" customWidth="1"/>
    <col min="6696" max="6696" width="12" style="215" bestFit="1" customWidth="1"/>
    <col min="6697" max="6912" width="8.85546875" style="215"/>
    <col min="6913" max="6913" width="7.42578125" style="215" customWidth="1"/>
    <col min="6914" max="6914" width="41" style="215" customWidth="1"/>
    <col min="6915" max="6915" width="16" style="215" customWidth="1"/>
    <col min="6916" max="6916" width="16.140625" style="215" bestFit="1" customWidth="1"/>
    <col min="6917" max="6917" width="11.85546875" style="215" customWidth="1"/>
    <col min="6918" max="6918" width="12.42578125" style="215" bestFit="1" customWidth="1"/>
    <col min="6919" max="6920" width="13" style="215" bestFit="1" customWidth="1"/>
    <col min="6921" max="6921" width="12.5703125" style="215" bestFit="1" customWidth="1"/>
    <col min="6922" max="6922" width="13.42578125" style="215" bestFit="1" customWidth="1"/>
    <col min="6923" max="6923" width="13.5703125" style="215" bestFit="1" customWidth="1"/>
    <col min="6924" max="6924" width="14.5703125" style="215" bestFit="1" customWidth="1"/>
    <col min="6925" max="6925" width="14.85546875" style="215" bestFit="1" customWidth="1"/>
    <col min="6926" max="6926" width="17.140625" style="215" customWidth="1"/>
    <col min="6927" max="6927" width="16.42578125" style="215" bestFit="1" customWidth="1"/>
    <col min="6928" max="6928" width="17.140625" style="215" bestFit="1" customWidth="1"/>
    <col min="6929" max="6929" width="24.42578125" style="215" customWidth="1"/>
    <col min="6930" max="6930" width="18.42578125" style="215" bestFit="1" customWidth="1"/>
    <col min="6931" max="6931" width="18.5703125" style="215" bestFit="1" customWidth="1"/>
    <col min="6932" max="6932" width="19.42578125" style="215" bestFit="1" customWidth="1"/>
    <col min="6933" max="6933" width="20.42578125" style="215" bestFit="1" customWidth="1"/>
    <col min="6934" max="6934" width="20.85546875" style="215" bestFit="1" customWidth="1"/>
    <col min="6935" max="6935" width="21.42578125" style="215" bestFit="1" customWidth="1"/>
    <col min="6936" max="6937" width="22.42578125" style="215" bestFit="1" customWidth="1"/>
    <col min="6938" max="6939" width="23.85546875" style="215" bestFit="1" customWidth="1"/>
    <col min="6940" max="6941" width="24.85546875" style="215" bestFit="1" customWidth="1"/>
    <col min="6942" max="6946" width="11.42578125" style="215" bestFit="1" customWidth="1"/>
    <col min="6947" max="6951" width="12.42578125" style="215" bestFit="1" customWidth="1"/>
    <col min="6952" max="6952" width="12" style="215" bestFit="1" customWidth="1"/>
    <col min="6953" max="7168" width="8.85546875" style="215"/>
    <col min="7169" max="7169" width="7.42578125" style="215" customWidth="1"/>
    <col min="7170" max="7170" width="41" style="215" customWidth="1"/>
    <col min="7171" max="7171" width="16" style="215" customWidth="1"/>
    <col min="7172" max="7172" width="16.140625" style="215" bestFit="1" customWidth="1"/>
    <col min="7173" max="7173" width="11.85546875" style="215" customWidth="1"/>
    <col min="7174" max="7174" width="12.42578125" style="215" bestFit="1" customWidth="1"/>
    <col min="7175" max="7176" width="13" style="215" bestFit="1" customWidth="1"/>
    <col min="7177" max="7177" width="12.5703125" style="215" bestFit="1" customWidth="1"/>
    <col min="7178" max="7178" width="13.42578125" style="215" bestFit="1" customWidth="1"/>
    <col min="7179" max="7179" width="13.5703125" style="215" bestFit="1" customWidth="1"/>
    <col min="7180" max="7180" width="14.5703125" style="215" bestFit="1" customWidth="1"/>
    <col min="7181" max="7181" width="14.85546875" style="215" bestFit="1" customWidth="1"/>
    <col min="7182" max="7182" width="17.140625" style="215" customWidth="1"/>
    <col min="7183" max="7183" width="16.42578125" style="215" bestFit="1" customWidth="1"/>
    <col min="7184" max="7184" width="17.140625" style="215" bestFit="1" customWidth="1"/>
    <col min="7185" max="7185" width="24.42578125" style="215" customWidth="1"/>
    <col min="7186" max="7186" width="18.42578125" style="215" bestFit="1" customWidth="1"/>
    <col min="7187" max="7187" width="18.5703125" style="215" bestFit="1" customWidth="1"/>
    <col min="7188" max="7188" width="19.42578125" style="215" bestFit="1" customWidth="1"/>
    <col min="7189" max="7189" width="20.42578125" style="215" bestFit="1" customWidth="1"/>
    <col min="7190" max="7190" width="20.85546875" style="215" bestFit="1" customWidth="1"/>
    <col min="7191" max="7191" width="21.42578125" style="215" bestFit="1" customWidth="1"/>
    <col min="7192" max="7193" width="22.42578125" style="215" bestFit="1" customWidth="1"/>
    <col min="7194" max="7195" width="23.85546875" style="215" bestFit="1" customWidth="1"/>
    <col min="7196" max="7197" width="24.85546875" style="215" bestFit="1" customWidth="1"/>
    <col min="7198" max="7202" width="11.42578125" style="215" bestFit="1" customWidth="1"/>
    <col min="7203" max="7207" width="12.42578125" style="215" bestFit="1" customWidth="1"/>
    <col min="7208" max="7208" width="12" style="215" bestFit="1" customWidth="1"/>
    <col min="7209" max="7424" width="8.85546875" style="215"/>
    <col min="7425" max="7425" width="7.42578125" style="215" customWidth="1"/>
    <col min="7426" max="7426" width="41" style="215" customWidth="1"/>
    <col min="7427" max="7427" width="16" style="215" customWidth="1"/>
    <col min="7428" max="7428" width="16.140625" style="215" bestFit="1" customWidth="1"/>
    <col min="7429" max="7429" width="11.85546875" style="215" customWidth="1"/>
    <col min="7430" max="7430" width="12.42578125" style="215" bestFit="1" customWidth="1"/>
    <col min="7431" max="7432" width="13" style="215" bestFit="1" customWidth="1"/>
    <col min="7433" max="7433" width="12.5703125" style="215" bestFit="1" customWidth="1"/>
    <col min="7434" max="7434" width="13.42578125" style="215" bestFit="1" customWidth="1"/>
    <col min="7435" max="7435" width="13.5703125" style="215" bestFit="1" customWidth="1"/>
    <col min="7436" max="7436" width="14.5703125" style="215" bestFit="1" customWidth="1"/>
    <col min="7437" max="7437" width="14.85546875" style="215" bestFit="1" customWidth="1"/>
    <col min="7438" max="7438" width="17.140625" style="215" customWidth="1"/>
    <col min="7439" max="7439" width="16.42578125" style="215" bestFit="1" customWidth="1"/>
    <col min="7440" max="7440" width="17.140625" style="215" bestFit="1" customWidth="1"/>
    <col min="7441" max="7441" width="24.42578125" style="215" customWidth="1"/>
    <col min="7442" max="7442" width="18.42578125" style="215" bestFit="1" customWidth="1"/>
    <col min="7443" max="7443" width="18.5703125" style="215" bestFit="1" customWidth="1"/>
    <col min="7444" max="7444" width="19.42578125" style="215" bestFit="1" customWidth="1"/>
    <col min="7445" max="7445" width="20.42578125" style="215" bestFit="1" customWidth="1"/>
    <col min="7446" max="7446" width="20.85546875" style="215" bestFit="1" customWidth="1"/>
    <col min="7447" max="7447" width="21.42578125" style="215" bestFit="1" customWidth="1"/>
    <col min="7448" max="7449" width="22.42578125" style="215" bestFit="1" customWidth="1"/>
    <col min="7450" max="7451" width="23.85546875" style="215" bestFit="1" customWidth="1"/>
    <col min="7452" max="7453" width="24.85546875" style="215" bestFit="1" customWidth="1"/>
    <col min="7454" max="7458" width="11.42578125" style="215" bestFit="1" customWidth="1"/>
    <col min="7459" max="7463" width="12.42578125" style="215" bestFit="1" customWidth="1"/>
    <col min="7464" max="7464" width="12" style="215" bestFit="1" customWidth="1"/>
    <col min="7465" max="7680" width="8.85546875" style="215"/>
    <col min="7681" max="7681" width="7.42578125" style="215" customWidth="1"/>
    <col min="7682" max="7682" width="41" style="215" customWidth="1"/>
    <col min="7683" max="7683" width="16" style="215" customWidth="1"/>
    <col min="7684" max="7684" width="16.140625" style="215" bestFit="1" customWidth="1"/>
    <col min="7685" max="7685" width="11.85546875" style="215" customWidth="1"/>
    <col min="7686" max="7686" width="12.42578125" style="215" bestFit="1" customWidth="1"/>
    <col min="7687" max="7688" width="13" style="215" bestFit="1" customWidth="1"/>
    <col min="7689" max="7689" width="12.5703125" style="215" bestFit="1" customWidth="1"/>
    <col min="7690" max="7690" width="13.42578125" style="215" bestFit="1" customWidth="1"/>
    <col min="7691" max="7691" width="13.5703125" style="215" bestFit="1" customWidth="1"/>
    <col min="7692" max="7692" width="14.5703125" style="215" bestFit="1" customWidth="1"/>
    <col min="7693" max="7693" width="14.85546875" style="215" bestFit="1" customWidth="1"/>
    <col min="7694" max="7694" width="17.140625" style="215" customWidth="1"/>
    <col min="7695" max="7695" width="16.42578125" style="215" bestFit="1" customWidth="1"/>
    <col min="7696" max="7696" width="17.140625" style="215" bestFit="1" customWidth="1"/>
    <col min="7697" max="7697" width="24.42578125" style="215" customWidth="1"/>
    <col min="7698" max="7698" width="18.42578125" style="215" bestFit="1" customWidth="1"/>
    <col min="7699" max="7699" width="18.5703125" style="215" bestFit="1" customWidth="1"/>
    <col min="7700" max="7700" width="19.42578125" style="215" bestFit="1" customWidth="1"/>
    <col min="7701" max="7701" width="20.42578125" style="215" bestFit="1" customWidth="1"/>
    <col min="7702" max="7702" width="20.85546875" style="215" bestFit="1" customWidth="1"/>
    <col min="7703" max="7703" width="21.42578125" style="215" bestFit="1" customWidth="1"/>
    <col min="7704" max="7705" width="22.42578125" style="215" bestFit="1" customWidth="1"/>
    <col min="7706" max="7707" width="23.85546875" style="215" bestFit="1" customWidth="1"/>
    <col min="7708" max="7709" width="24.85546875" style="215" bestFit="1" customWidth="1"/>
    <col min="7710" max="7714" width="11.42578125" style="215" bestFit="1" customWidth="1"/>
    <col min="7715" max="7719" width="12.42578125" style="215" bestFit="1" customWidth="1"/>
    <col min="7720" max="7720" width="12" style="215" bestFit="1" customWidth="1"/>
    <col min="7721" max="7936" width="8.85546875" style="215"/>
    <col min="7937" max="7937" width="7.42578125" style="215" customWidth="1"/>
    <col min="7938" max="7938" width="41" style="215" customWidth="1"/>
    <col min="7939" max="7939" width="16" style="215" customWidth="1"/>
    <col min="7940" max="7940" width="16.140625" style="215" bestFit="1" customWidth="1"/>
    <col min="7941" max="7941" width="11.85546875" style="215" customWidth="1"/>
    <col min="7942" max="7942" width="12.42578125" style="215" bestFit="1" customWidth="1"/>
    <col min="7943" max="7944" width="13" style="215" bestFit="1" customWidth="1"/>
    <col min="7945" max="7945" width="12.5703125" style="215" bestFit="1" customWidth="1"/>
    <col min="7946" max="7946" width="13.42578125" style="215" bestFit="1" customWidth="1"/>
    <col min="7947" max="7947" width="13.5703125" style="215" bestFit="1" customWidth="1"/>
    <col min="7948" max="7948" width="14.5703125" style="215" bestFit="1" customWidth="1"/>
    <col min="7949" max="7949" width="14.85546875" style="215" bestFit="1" customWidth="1"/>
    <col min="7950" max="7950" width="17.140625" style="215" customWidth="1"/>
    <col min="7951" max="7951" width="16.42578125" style="215" bestFit="1" customWidth="1"/>
    <col min="7952" max="7952" width="17.140625" style="215" bestFit="1" customWidth="1"/>
    <col min="7953" max="7953" width="24.42578125" style="215" customWidth="1"/>
    <col min="7954" max="7954" width="18.42578125" style="215" bestFit="1" customWidth="1"/>
    <col min="7955" max="7955" width="18.5703125" style="215" bestFit="1" customWidth="1"/>
    <col min="7956" max="7956" width="19.42578125" style="215" bestFit="1" customWidth="1"/>
    <col min="7957" max="7957" width="20.42578125" style="215" bestFit="1" customWidth="1"/>
    <col min="7958" max="7958" width="20.85546875" style="215" bestFit="1" customWidth="1"/>
    <col min="7959" max="7959" width="21.42578125" style="215" bestFit="1" customWidth="1"/>
    <col min="7960" max="7961" width="22.42578125" style="215" bestFit="1" customWidth="1"/>
    <col min="7962" max="7963" width="23.85546875" style="215" bestFit="1" customWidth="1"/>
    <col min="7964" max="7965" width="24.85546875" style="215" bestFit="1" customWidth="1"/>
    <col min="7966" max="7970" width="11.42578125" style="215" bestFit="1" customWidth="1"/>
    <col min="7971" max="7975" width="12.42578125" style="215" bestFit="1" customWidth="1"/>
    <col min="7976" max="7976" width="12" style="215" bestFit="1" customWidth="1"/>
    <col min="7977" max="8192" width="8.85546875" style="215"/>
    <col min="8193" max="8193" width="7.42578125" style="215" customWidth="1"/>
    <col min="8194" max="8194" width="41" style="215" customWidth="1"/>
    <col min="8195" max="8195" width="16" style="215" customWidth="1"/>
    <col min="8196" max="8196" width="16.140625" style="215" bestFit="1" customWidth="1"/>
    <col min="8197" max="8197" width="11.85546875" style="215" customWidth="1"/>
    <col min="8198" max="8198" width="12.42578125" style="215" bestFit="1" customWidth="1"/>
    <col min="8199" max="8200" width="13" style="215" bestFit="1" customWidth="1"/>
    <col min="8201" max="8201" width="12.5703125" style="215" bestFit="1" customWidth="1"/>
    <col min="8202" max="8202" width="13.42578125" style="215" bestFit="1" customWidth="1"/>
    <col min="8203" max="8203" width="13.5703125" style="215" bestFit="1" customWidth="1"/>
    <col min="8204" max="8204" width="14.5703125" style="215" bestFit="1" customWidth="1"/>
    <col min="8205" max="8205" width="14.85546875" style="215" bestFit="1" customWidth="1"/>
    <col min="8206" max="8206" width="17.140625" style="215" customWidth="1"/>
    <col min="8207" max="8207" width="16.42578125" style="215" bestFit="1" customWidth="1"/>
    <col min="8208" max="8208" width="17.140625" style="215" bestFit="1" customWidth="1"/>
    <col min="8209" max="8209" width="24.42578125" style="215" customWidth="1"/>
    <col min="8210" max="8210" width="18.42578125" style="215" bestFit="1" customWidth="1"/>
    <col min="8211" max="8211" width="18.5703125" style="215" bestFit="1" customWidth="1"/>
    <col min="8212" max="8212" width="19.42578125" style="215" bestFit="1" customWidth="1"/>
    <col min="8213" max="8213" width="20.42578125" style="215" bestFit="1" customWidth="1"/>
    <col min="8214" max="8214" width="20.85546875" style="215" bestFit="1" customWidth="1"/>
    <col min="8215" max="8215" width="21.42578125" style="215" bestFit="1" customWidth="1"/>
    <col min="8216" max="8217" width="22.42578125" style="215" bestFit="1" customWidth="1"/>
    <col min="8218" max="8219" width="23.85546875" style="215" bestFit="1" customWidth="1"/>
    <col min="8220" max="8221" width="24.85546875" style="215" bestFit="1" customWidth="1"/>
    <col min="8222" max="8226" width="11.42578125" style="215" bestFit="1" customWidth="1"/>
    <col min="8227" max="8231" width="12.42578125" style="215" bestFit="1" customWidth="1"/>
    <col min="8232" max="8232" width="12" style="215" bestFit="1" customWidth="1"/>
    <col min="8233" max="8448" width="8.85546875" style="215"/>
    <col min="8449" max="8449" width="7.42578125" style="215" customWidth="1"/>
    <col min="8450" max="8450" width="41" style="215" customWidth="1"/>
    <col min="8451" max="8451" width="16" style="215" customWidth="1"/>
    <col min="8452" max="8452" width="16.140625" style="215" bestFit="1" customWidth="1"/>
    <col min="8453" max="8453" width="11.85546875" style="215" customWidth="1"/>
    <col min="8454" max="8454" width="12.42578125" style="215" bestFit="1" customWidth="1"/>
    <col min="8455" max="8456" width="13" style="215" bestFit="1" customWidth="1"/>
    <col min="8457" max="8457" width="12.5703125" style="215" bestFit="1" customWidth="1"/>
    <col min="8458" max="8458" width="13.42578125" style="215" bestFit="1" customWidth="1"/>
    <col min="8459" max="8459" width="13.5703125" style="215" bestFit="1" customWidth="1"/>
    <col min="8460" max="8460" width="14.5703125" style="215" bestFit="1" customWidth="1"/>
    <col min="8461" max="8461" width="14.85546875" style="215" bestFit="1" customWidth="1"/>
    <col min="8462" max="8462" width="17.140625" style="215" customWidth="1"/>
    <col min="8463" max="8463" width="16.42578125" style="215" bestFit="1" customWidth="1"/>
    <col min="8464" max="8464" width="17.140625" style="215" bestFit="1" customWidth="1"/>
    <col min="8465" max="8465" width="24.42578125" style="215" customWidth="1"/>
    <col min="8466" max="8466" width="18.42578125" style="215" bestFit="1" customWidth="1"/>
    <col min="8467" max="8467" width="18.5703125" style="215" bestFit="1" customWidth="1"/>
    <col min="8468" max="8468" width="19.42578125" style="215" bestFit="1" customWidth="1"/>
    <col min="8469" max="8469" width="20.42578125" style="215" bestFit="1" customWidth="1"/>
    <col min="8470" max="8470" width="20.85546875" style="215" bestFit="1" customWidth="1"/>
    <col min="8471" max="8471" width="21.42578125" style="215" bestFit="1" customWidth="1"/>
    <col min="8472" max="8473" width="22.42578125" style="215" bestFit="1" customWidth="1"/>
    <col min="8474" max="8475" width="23.85546875" style="215" bestFit="1" customWidth="1"/>
    <col min="8476" max="8477" width="24.85546875" style="215" bestFit="1" customWidth="1"/>
    <col min="8478" max="8482" width="11.42578125" style="215" bestFit="1" customWidth="1"/>
    <col min="8483" max="8487" width="12.42578125" style="215" bestFit="1" customWidth="1"/>
    <col min="8488" max="8488" width="12" style="215" bestFit="1" customWidth="1"/>
    <col min="8489" max="8704" width="8.85546875" style="215"/>
    <col min="8705" max="8705" width="7.42578125" style="215" customWidth="1"/>
    <col min="8706" max="8706" width="41" style="215" customWidth="1"/>
    <col min="8707" max="8707" width="16" style="215" customWidth="1"/>
    <col min="8708" max="8708" width="16.140625" style="215" bestFit="1" customWidth="1"/>
    <col min="8709" max="8709" width="11.85546875" style="215" customWidth="1"/>
    <col min="8710" max="8710" width="12.42578125" style="215" bestFit="1" customWidth="1"/>
    <col min="8711" max="8712" width="13" style="215" bestFit="1" customWidth="1"/>
    <col min="8713" max="8713" width="12.5703125" style="215" bestFit="1" customWidth="1"/>
    <col min="8714" max="8714" width="13.42578125" style="215" bestFit="1" customWidth="1"/>
    <col min="8715" max="8715" width="13.5703125" style="215" bestFit="1" customWidth="1"/>
    <col min="8716" max="8716" width="14.5703125" style="215" bestFit="1" customWidth="1"/>
    <col min="8717" max="8717" width="14.85546875" style="215" bestFit="1" customWidth="1"/>
    <col min="8718" max="8718" width="17.140625" style="215" customWidth="1"/>
    <col min="8719" max="8719" width="16.42578125" style="215" bestFit="1" customWidth="1"/>
    <col min="8720" max="8720" width="17.140625" style="215" bestFit="1" customWidth="1"/>
    <col min="8721" max="8721" width="24.42578125" style="215" customWidth="1"/>
    <col min="8722" max="8722" width="18.42578125" style="215" bestFit="1" customWidth="1"/>
    <col min="8723" max="8723" width="18.5703125" style="215" bestFit="1" customWidth="1"/>
    <col min="8724" max="8724" width="19.42578125" style="215" bestFit="1" customWidth="1"/>
    <col min="8725" max="8725" width="20.42578125" style="215" bestFit="1" customWidth="1"/>
    <col min="8726" max="8726" width="20.85546875" style="215" bestFit="1" customWidth="1"/>
    <col min="8727" max="8727" width="21.42578125" style="215" bestFit="1" customWidth="1"/>
    <col min="8728" max="8729" width="22.42578125" style="215" bestFit="1" customWidth="1"/>
    <col min="8730" max="8731" width="23.85546875" style="215" bestFit="1" customWidth="1"/>
    <col min="8732" max="8733" width="24.85546875" style="215" bestFit="1" customWidth="1"/>
    <col min="8734" max="8738" width="11.42578125" style="215" bestFit="1" customWidth="1"/>
    <col min="8739" max="8743" width="12.42578125" style="215" bestFit="1" customWidth="1"/>
    <col min="8744" max="8744" width="12" style="215" bestFit="1" customWidth="1"/>
    <col min="8745" max="8960" width="8.85546875" style="215"/>
    <col min="8961" max="8961" width="7.42578125" style="215" customWidth="1"/>
    <col min="8962" max="8962" width="41" style="215" customWidth="1"/>
    <col min="8963" max="8963" width="16" style="215" customWidth="1"/>
    <col min="8964" max="8964" width="16.140625" style="215" bestFit="1" customWidth="1"/>
    <col min="8965" max="8965" width="11.85546875" style="215" customWidth="1"/>
    <col min="8966" max="8966" width="12.42578125" style="215" bestFit="1" customWidth="1"/>
    <col min="8967" max="8968" width="13" style="215" bestFit="1" customWidth="1"/>
    <col min="8969" max="8969" width="12.5703125" style="215" bestFit="1" customWidth="1"/>
    <col min="8970" max="8970" width="13.42578125" style="215" bestFit="1" customWidth="1"/>
    <col min="8971" max="8971" width="13.5703125" style="215" bestFit="1" customWidth="1"/>
    <col min="8972" max="8972" width="14.5703125" style="215" bestFit="1" customWidth="1"/>
    <col min="8973" max="8973" width="14.85546875" style="215" bestFit="1" customWidth="1"/>
    <col min="8974" max="8974" width="17.140625" style="215" customWidth="1"/>
    <col min="8975" max="8975" width="16.42578125" style="215" bestFit="1" customWidth="1"/>
    <col min="8976" max="8976" width="17.140625" style="215" bestFit="1" customWidth="1"/>
    <col min="8977" max="8977" width="24.42578125" style="215" customWidth="1"/>
    <col min="8978" max="8978" width="18.42578125" style="215" bestFit="1" customWidth="1"/>
    <col min="8979" max="8979" width="18.5703125" style="215" bestFit="1" customWidth="1"/>
    <col min="8980" max="8980" width="19.42578125" style="215" bestFit="1" customWidth="1"/>
    <col min="8981" max="8981" width="20.42578125" style="215" bestFit="1" customWidth="1"/>
    <col min="8982" max="8982" width="20.85546875" style="215" bestFit="1" customWidth="1"/>
    <col min="8983" max="8983" width="21.42578125" style="215" bestFit="1" customWidth="1"/>
    <col min="8984" max="8985" width="22.42578125" style="215" bestFit="1" customWidth="1"/>
    <col min="8986" max="8987" width="23.85546875" style="215" bestFit="1" customWidth="1"/>
    <col min="8988" max="8989" width="24.85546875" style="215" bestFit="1" customWidth="1"/>
    <col min="8990" max="8994" width="11.42578125" style="215" bestFit="1" customWidth="1"/>
    <col min="8995" max="8999" width="12.42578125" style="215" bestFit="1" customWidth="1"/>
    <col min="9000" max="9000" width="12" style="215" bestFit="1" customWidth="1"/>
    <col min="9001" max="9216" width="8.85546875" style="215"/>
    <col min="9217" max="9217" width="7.42578125" style="215" customWidth="1"/>
    <col min="9218" max="9218" width="41" style="215" customWidth="1"/>
    <col min="9219" max="9219" width="16" style="215" customWidth="1"/>
    <col min="9220" max="9220" width="16.140625" style="215" bestFit="1" customWidth="1"/>
    <col min="9221" max="9221" width="11.85546875" style="215" customWidth="1"/>
    <col min="9222" max="9222" width="12.42578125" style="215" bestFit="1" customWidth="1"/>
    <col min="9223" max="9224" width="13" style="215" bestFit="1" customWidth="1"/>
    <col min="9225" max="9225" width="12.5703125" style="215" bestFit="1" customWidth="1"/>
    <col min="9226" max="9226" width="13.42578125" style="215" bestFit="1" customWidth="1"/>
    <col min="9227" max="9227" width="13.5703125" style="215" bestFit="1" customWidth="1"/>
    <col min="9228" max="9228" width="14.5703125" style="215" bestFit="1" customWidth="1"/>
    <col min="9229" max="9229" width="14.85546875" style="215" bestFit="1" customWidth="1"/>
    <col min="9230" max="9230" width="17.140625" style="215" customWidth="1"/>
    <col min="9231" max="9231" width="16.42578125" style="215" bestFit="1" customWidth="1"/>
    <col min="9232" max="9232" width="17.140625" style="215" bestFit="1" customWidth="1"/>
    <col min="9233" max="9233" width="24.42578125" style="215" customWidth="1"/>
    <col min="9234" max="9234" width="18.42578125" style="215" bestFit="1" customWidth="1"/>
    <col min="9235" max="9235" width="18.5703125" style="215" bestFit="1" customWidth="1"/>
    <col min="9236" max="9236" width="19.42578125" style="215" bestFit="1" customWidth="1"/>
    <col min="9237" max="9237" width="20.42578125" style="215" bestFit="1" customWidth="1"/>
    <col min="9238" max="9238" width="20.85546875" style="215" bestFit="1" customWidth="1"/>
    <col min="9239" max="9239" width="21.42578125" style="215" bestFit="1" customWidth="1"/>
    <col min="9240" max="9241" width="22.42578125" style="215" bestFit="1" customWidth="1"/>
    <col min="9242" max="9243" width="23.85546875" style="215" bestFit="1" customWidth="1"/>
    <col min="9244" max="9245" width="24.85546875" style="215" bestFit="1" customWidth="1"/>
    <col min="9246" max="9250" width="11.42578125" style="215" bestFit="1" customWidth="1"/>
    <col min="9251" max="9255" width="12.42578125" style="215" bestFit="1" customWidth="1"/>
    <col min="9256" max="9256" width="12" style="215" bestFit="1" customWidth="1"/>
    <col min="9257" max="9472" width="8.85546875" style="215"/>
    <col min="9473" max="9473" width="7.42578125" style="215" customWidth="1"/>
    <col min="9474" max="9474" width="41" style="215" customWidth="1"/>
    <col min="9475" max="9475" width="16" style="215" customWidth="1"/>
    <col min="9476" max="9476" width="16.140625" style="215" bestFit="1" customWidth="1"/>
    <col min="9477" max="9477" width="11.85546875" style="215" customWidth="1"/>
    <col min="9478" max="9478" width="12.42578125" style="215" bestFit="1" customWidth="1"/>
    <col min="9479" max="9480" width="13" style="215" bestFit="1" customWidth="1"/>
    <col min="9481" max="9481" width="12.5703125" style="215" bestFit="1" customWidth="1"/>
    <col min="9482" max="9482" width="13.42578125" style="215" bestFit="1" customWidth="1"/>
    <col min="9483" max="9483" width="13.5703125" style="215" bestFit="1" customWidth="1"/>
    <col min="9484" max="9484" width="14.5703125" style="215" bestFit="1" customWidth="1"/>
    <col min="9485" max="9485" width="14.85546875" style="215" bestFit="1" customWidth="1"/>
    <col min="9486" max="9486" width="17.140625" style="215" customWidth="1"/>
    <col min="9487" max="9487" width="16.42578125" style="215" bestFit="1" customWidth="1"/>
    <col min="9488" max="9488" width="17.140625" style="215" bestFit="1" customWidth="1"/>
    <col min="9489" max="9489" width="24.42578125" style="215" customWidth="1"/>
    <col min="9490" max="9490" width="18.42578125" style="215" bestFit="1" customWidth="1"/>
    <col min="9491" max="9491" width="18.5703125" style="215" bestFit="1" customWidth="1"/>
    <col min="9492" max="9492" width="19.42578125" style="215" bestFit="1" customWidth="1"/>
    <col min="9493" max="9493" width="20.42578125" style="215" bestFit="1" customWidth="1"/>
    <col min="9494" max="9494" width="20.85546875" style="215" bestFit="1" customWidth="1"/>
    <col min="9495" max="9495" width="21.42578125" style="215" bestFit="1" customWidth="1"/>
    <col min="9496" max="9497" width="22.42578125" style="215" bestFit="1" customWidth="1"/>
    <col min="9498" max="9499" width="23.85546875" style="215" bestFit="1" customWidth="1"/>
    <col min="9500" max="9501" width="24.85546875" style="215" bestFit="1" customWidth="1"/>
    <col min="9502" max="9506" width="11.42578125" style="215" bestFit="1" customWidth="1"/>
    <col min="9507" max="9511" width="12.42578125" style="215" bestFit="1" customWidth="1"/>
    <col min="9512" max="9512" width="12" style="215" bestFit="1" customWidth="1"/>
    <col min="9513" max="9728" width="8.85546875" style="215"/>
    <col min="9729" max="9729" width="7.42578125" style="215" customWidth="1"/>
    <col min="9730" max="9730" width="41" style="215" customWidth="1"/>
    <col min="9731" max="9731" width="16" style="215" customWidth="1"/>
    <col min="9732" max="9732" width="16.140625" style="215" bestFit="1" customWidth="1"/>
    <col min="9733" max="9733" width="11.85546875" style="215" customWidth="1"/>
    <col min="9734" max="9734" width="12.42578125" style="215" bestFit="1" customWidth="1"/>
    <col min="9735" max="9736" width="13" style="215" bestFit="1" customWidth="1"/>
    <col min="9737" max="9737" width="12.5703125" style="215" bestFit="1" customWidth="1"/>
    <col min="9738" max="9738" width="13.42578125" style="215" bestFit="1" customWidth="1"/>
    <col min="9739" max="9739" width="13.5703125" style="215" bestFit="1" customWidth="1"/>
    <col min="9740" max="9740" width="14.5703125" style="215" bestFit="1" customWidth="1"/>
    <col min="9741" max="9741" width="14.85546875" style="215" bestFit="1" customWidth="1"/>
    <col min="9742" max="9742" width="17.140625" style="215" customWidth="1"/>
    <col min="9743" max="9743" width="16.42578125" style="215" bestFit="1" customWidth="1"/>
    <col min="9744" max="9744" width="17.140625" style="215" bestFit="1" customWidth="1"/>
    <col min="9745" max="9745" width="24.42578125" style="215" customWidth="1"/>
    <col min="9746" max="9746" width="18.42578125" style="215" bestFit="1" customWidth="1"/>
    <col min="9747" max="9747" width="18.5703125" style="215" bestFit="1" customWidth="1"/>
    <col min="9748" max="9748" width="19.42578125" style="215" bestFit="1" customWidth="1"/>
    <col min="9749" max="9749" width="20.42578125" style="215" bestFit="1" customWidth="1"/>
    <col min="9750" max="9750" width="20.85546875" style="215" bestFit="1" customWidth="1"/>
    <col min="9751" max="9751" width="21.42578125" style="215" bestFit="1" customWidth="1"/>
    <col min="9752" max="9753" width="22.42578125" style="215" bestFit="1" customWidth="1"/>
    <col min="9754" max="9755" width="23.85546875" style="215" bestFit="1" customWidth="1"/>
    <col min="9756" max="9757" width="24.85546875" style="215" bestFit="1" customWidth="1"/>
    <col min="9758" max="9762" width="11.42578125" style="215" bestFit="1" customWidth="1"/>
    <col min="9763" max="9767" width="12.42578125" style="215" bestFit="1" customWidth="1"/>
    <col min="9768" max="9768" width="12" style="215" bestFit="1" customWidth="1"/>
    <col min="9769" max="9984" width="8.85546875" style="215"/>
    <col min="9985" max="9985" width="7.42578125" style="215" customWidth="1"/>
    <col min="9986" max="9986" width="41" style="215" customWidth="1"/>
    <col min="9987" max="9987" width="16" style="215" customWidth="1"/>
    <col min="9988" max="9988" width="16.140625" style="215" bestFit="1" customWidth="1"/>
    <col min="9989" max="9989" width="11.85546875" style="215" customWidth="1"/>
    <col min="9990" max="9990" width="12.42578125" style="215" bestFit="1" customWidth="1"/>
    <col min="9991" max="9992" width="13" style="215" bestFit="1" customWidth="1"/>
    <col min="9993" max="9993" width="12.5703125" style="215" bestFit="1" customWidth="1"/>
    <col min="9994" max="9994" width="13.42578125" style="215" bestFit="1" customWidth="1"/>
    <col min="9995" max="9995" width="13.5703125" style="215" bestFit="1" customWidth="1"/>
    <col min="9996" max="9996" width="14.5703125" style="215" bestFit="1" customWidth="1"/>
    <col min="9997" max="9997" width="14.85546875" style="215" bestFit="1" customWidth="1"/>
    <col min="9998" max="9998" width="17.140625" style="215" customWidth="1"/>
    <col min="9999" max="9999" width="16.42578125" style="215" bestFit="1" customWidth="1"/>
    <col min="10000" max="10000" width="17.140625" style="215" bestFit="1" customWidth="1"/>
    <col min="10001" max="10001" width="24.42578125" style="215" customWidth="1"/>
    <col min="10002" max="10002" width="18.42578125" style="215" bestFit="1" customWidth="1"/>
    <col min="10003" max="10003" width="18.5703125" style="215" bestFit="1" customWidth="1"/>
    <col min="10004" max="10004" width="19.42578125" style="215" bestFit="1" customWidth="1"/>
    <col min="10005" max="10005" width="20.42578125" style="215" bestFit="1" customWidth="1"/>
    <col min="10006" max="10006" width="20.85546875" style="215" bestFit="1" customWidth="1"/>
    <col min="10007" max="10007" width="21.42578125" style="215" bestFit="1" customWidth="1"/>
    <col min="10008" max="10009" width="22.42578125" style="215" bestFit="1" customWidth="1"/>
    <col min="10010" max="10011" width="23.85546875" style="215" bestFit="1" customWidth="1"/>
    <col min="10012" max="10013" width="24.85546875" style="215" bestFit="1" customWidth="1"/>
    <col min="10014" max="10018" width="11.42578125" style="215" bestFit="1" customWidth="1"/>
    <col min="10019" max="10023" width="12.42578125" style="215" bestFit="1" customWidth="1"/>
    <col min="10024" max="10024" width="12" style="215" bestFit="1" customWidth="1"/>
    <col min="10025" max="10240" width="8.85546875" style="215"/>
    <col min="10241" max="10241" width="7.42578125" style="215" customWidth="1"/>
    <col min="10242" max="10242" width="41" style="215" customWidth="1"/>
    <col min="10243" max="10243" width="16" style="215" customWidth="1"/>
    <col min="10244" max="10244" width="16.140625" style="215" bestFit="1" customWidth="1"/>
    <col min="10245" max="10245" width="11.85546875" style="215" customWidth="1"/>
    <col min="10246" max="10246" width="12.42578125" style="215" bestFit="1" customWidth="1"/>
    <col min="10247" max="10248" width="13" style="215" bestFit="1" customWidth="1"/>
    <col min="10249" max="10249" width="12.5703125" style="215" bestFit="1" customWidth="1"/>
    <col min="10250" max="10250" width="13.42578125" style="215" bestFit="1" customWidth="1"/>
    <col min="10251" max="10251" width="13.5703125" style="215" bestFit="1" customWidth="1"/>
    <col min="10252" max="10252" width="14.5703125" style="215" bestFit="1" customWidth="1"/>
    <col min="10253" max="10253" width="14.85546875" style="215" bestFit="1" customWidth="1"/>
    <col min="10254" max="10254" width="17.140625" style="215" customWidth="1"/>
    <col min="10255" max="10255" width="16.42578125" style="215" bestFit="1" customWidth="1"/>
    <col min="10256" max="10256" width="17.140625" style="215" bestFit="1" customWidth="1"/>
    <col min="10257" max="10257" width="24.42578125" style="215" customWidth="1"/>
    <col min="10258" max="10258" width="18.42578125" style="215" bestFit="1" customWidth="1"/>
    <col min="10259" max="10259" width="18.5703125" style="215" bestFit="1" customWidth="1"/>
    <col min="10260" max="10260" width="19.42578125" style="215" bestFit="1" customWidth="1"/>
    <col min="10261" max="10261" width="20.42578125" style="215" bestFit="1" customWidth="1"/>
    <col min="10262" max="10262" width="20.85546875" style="215" bestFit="1" customWidth="1"/>
    <col min="10263" max="10263" width="21.42578125" style="215" bestFit="1" customWidth="1"/>
    <col min="10264" max="10265" width="22.42578125" style="215" bestFit="1" customWidth="1"/>
    <col min="10266" max="10267" width="23.85546875" style="215" bestFit="1" customWidth="1"/>
    <col min="10268" max="10269" width="24.85546875" style="215" bestFit="1" customWidth="1"/>
    <col min="10270" max="10274" width="11.42578125" style="215" bestFit="1" customWidth="1"/>
    <col min="10275" max="10279" width="12.42578125" style="215" bestFit="1" customWidth="1"/>
    <col min="10280" max="10280" width="12" style="215" bestFit="1" customWidth="1"/>
    <col min="10281" max="10496" width="8.85546875" style="215"/>
    <col min="10497" max="10497" width="7.42578125" style="215" customWidth="1"/>
    <col min="10498" max="10498" width="41" style="215" customWidth="1"/>
    <col min="10499" max="10499" width="16" style="215" customWidth="1"/>
    <col min="10500" max="10500" width="16.140625" style="215" bestFit="1" customWidth="1"/>
    <col min="10501" max="10501" width="11.85546875" style="215" customWidth="1"/>
    <col min="10502" max="10502" width="12.42578125" style="215" bestFit="1" customWidth="1"/>
    <col min="10503" max="10504" width="13" style="215" bestFit="1" customWidth="1"/>
    <col min="10505" max="10505" width="12.5703125" style="215" bestFit="1" customWidth="1"/>
    <col min="10506" max="10506" width="13.42578125" style="215" bestFit="1" customWidth="1"/>
    <col min="10507" max="10507" width="13.5703125" style="215" bestFit="1" customWidth="1"/>
    <col min="10508" max="10508" width="14.5703125" style="215" bestFit="1" customWidth="1"/>
    <col min="10509" max="10509" width="14.85546875" style="215" bestFit="1" customWidth="1"/>
    <col min="10510" max="10510" width="17.140625" style="215" customWidth="1"/>
    <col min="10511" max="10511" width="16.42578125" style="215" bestFit="1" customWidth="1"/>
    <col min="10512" max="10512" width="17.140625" style="215" bestFit="1" customWidth="1"/>
    <col min="10513" max="10513" width="24.42578125" style="215" customWidth="1"/>
    <col min="10514" max="10514" width="18.42578125" style="215" bestFit="1" customWidth="1"/>
    <col min="10515" max="10515" width="18.5703125" style="215" bestFit="1" customWidth="1"/>
    <col min="10516" max="10516" width="19.42578125" style="215" bestFit="1" customWidth="1"/>
    <col min="10517" max="10517" width="20.42578125" style="215" bestFit="1" customWidth="1"/>
    <col min="10518" max="10518" width="20.85546875" style="215" bestFit="1" customWidth="1"/>
    <col min="10519" max="10519" width="21.42578125" style="215" bestFit="1" customWidth="1"/>
    <col min="10520" max="10521" width="22.42578125" style="215" bestFit="1" customWidth="1"/>
    <col min="10522" max="10523" width="23.85546875" style="215" bestFit="1" customWidth="1"/>
    <col min="10524" max="10525" width="24.85546875" style="215" bestFit="1" customWidth="1"/>
    <col min="10526" max="10530" width="11.42578125" style="215" bestFit="1" customWidth="1"/>
    <col min="10531" max="10535" width="12.42578125" style="215" bestFit="1" customWidth="1"/>
    <col min="10536" max="10536" width="12" style="215" bestFit="1" customWidth="1"/>
    <col min="10537" max="10752" width="8.85546875" style="215"/>
    <col min="10753" max="10753" width="7.42578125" style="215" customWidth="1"/>
    <col min="10754" max="10754" width="41" style="215" customWidth="1"/>
    <col min="10755" max="10755" width="16" style="215" customWidth="1"/>
    <col min="10756" max="10756" width="16.140625" style="215" bestFit="1" customWidth="1"/>
    <col min="10757" max="10757" width="11.85546875" style="215" customWidth="1"/>
    <col min="10758" max="10758" width="12.42578125" style="215" bestFit="1" customWidth="1"/>
    <col min="10759" max="10760" width="13" style="215" bestFit="1" customWidth="1"/>
    <col min="10761" max="10761" width="12.5703125" style="215" bestFit="1" customWidth="1"/>
    <col min="10762" max="10762" width="13.42578125" style="215" bestFit="1" customWidth="1"/>
    <col min="10763" max="10763" width="13.5703125" style="215" bestFit="1" customWidth="1"/>
    <col min="10764" max="10764" width="14.5703125" style="215" bestFit="1" customWidth="1"/>
    <col min="10765" max="10765" width="14.85546875" style="215" bestFit="1" customWidth="1"/>
    <col min="10766" max="10766" width="17.140625" style="215" customWidth="1"/>
    <col min="10767" max="10767" width="16.42578125" style="215" bestFit="1" customWidth="1"/>
    <col min="10768" max="10768" width="17.140625" style="215" bestFit="1" customWidth="1"/>
    <col min="10769" max="10769" width="24.42578125" style="215" customWidth="1"/>
    <col min="10770" max="10770" width="18.42578125" style="215" bestFit="1" customWidth="1"/>
    <col min="10771" max="10771" width="18.5703125" style="215" bestFit="1" customWidth="1"/>
    <col min="10772" max="10772" width="19.42578125" style="215" bestFit="1" customWidth="1"/>
    <col min="10773" max="10773" width="20.42578125" style="215" bestFit="1" customWidth="1"/>
    <col min="10774" max="10774" width="20.85546875" style="215" bestFit="1" customWidth="1"/>
    <col min="10775" max="10775" width="21.42578125" style="215" bestFit="1" customWidth="1"/>
    <col min="10776" max="10777" width="22.42578125" style="215" bestFit="1" customWidth="1"/>
    <col min="10778" max="10779" width="23.85546875" style="215" bestFit="1" customWidth="1"/>
    <col min="10780" max="10781" width="24.85546875" style="215" bestFit="1" customWidth="1"/>
    <col min="10782" max="10786" width="11.42578125" style="215" bestFit="1" customWidth="1"/>
    <col min="10787" max="10791" width="12.42578125" style="215" bestFit="1" customWidth="1"/>
    <col min="10792" max="10792" width="12" style="215" bestFit="1" customWidth="1"/>
    <col min="10793" max="11008" width="8.85546875" style="215"/>
    <col min="11009" max="11009" width="7.42578125" style="215" customWidth="1"/>
    <col min="11010" max="11010" width="41" style="215" customWidth="1"/>
    <col min="11011" max="11011" width="16" style="215" customWidth="1"/>
    <col min="11012" max="11012" width="16.140625" style="215" bestFit="1" customWidth="1"/>
    <col min="11013" max="11013" width="11.85546875" style="215" customWidth="1"/>
    <col min="11014" max="11014" width="12.42578125" style="215" bestFit="1" customWidth="1"/>
    <col min="11015" max="11016" width="13" style="215" bestFit="1" customWidth="1"/>
    <col min="11017" max="11017" width="12.5703125" style="215" bestFit="1" customWidth="1"/>
    <col min="11018" max="11018" width="13.42578125" style="215" bestFit="1" customWidth="1"/>
    <col min="11019" max="11019" width="13.5703125" style="215" bestFit="1" customWidth="1"/>
    <col min="11020" max="11020" width="14.5703125" style="215" bestFit="1" customWidth="1"/>
    <col min="11021" max="11021" width="14.85546875" style="215" bestFit="1" customWidth="1"/>
    <col min="11022" max="11022" width="17.140625" style="215" customWidth="1"/>
    <col min="11023" max="11023" width="16.42578125" style="215" bestFit="1" customWidth="1"/>
    <col min="11024" max="11024" width="17.140625" style="215" bestFit="1" customWidth="1"/>
    <col min="11025" max="11025" width="24.42578125" style="215" customWidth="1"/>
    <col min="11026" max="11026" width="18.42578125" style="215" bestFit="1" customWidth="1"/>
    <col min="11027" max="11027" width="18.5703125" style="215" bestFit="1" customWidth="1"/>
    <col min="11028" max="11028" width="19.42578125" style="215" bestFit="1" customWidth="1"/>
    <col min="11029" max="11029" width="20.42578125" style="215" bestFit="1" customWidth="1"/>
    <col min="11030" max="11030" width="20.85546875" style="215" bestFit="1" customWidth="1"/>
    <col min="11031" max="11031" width="21.42578125" style="215" bestFit="1" customWidth="1"/>
    <col min="11032" max="11033" width="22.42578125" style="215" bestFit="1" customWidth="1"/>
    <col min="11034" max="11035" width="23.85546875" style="215" bestFit="1" customWidth="1"/>
    <col min="11036" max="11037" width="24.85546875" style="215" bestFit="1" customWidth="1"/>
    <col min="11038" max="11042" width="11.42578125" style="215" bestFit="1" customWidth="1"/>
    <col min="11043" max="11047" width="12.42578125" style="215" bestFit="1" customWidth="1"/>
    <col min="11048" max="11048" width="12" style="215" bestFit="1" customWidth="1"/>
    <col min="11049" max="11264" width="8.85546875" style="215"/>
    <col min="11265" max="11265" width="7.42578125" style="215" customWidth="1"/>
    <col min="11266" max="11266" width="41" style="215" customWidth="1"/>
    <col min="11267" max="11267" width="16" style="215" customWidth="1"/>
    <col min="11268" max="11268" width="16.140625" style="215" bestFit="1" customWidth="1"/>
    <col min="11269" max="11269" width="11.85546875" style="215" customWidth="1"/>
    <col min="11270" max="11270" width="12.42578125" style="215" bestFit="1" customWidth="1"/>
    <col min="11271" max="11272" width="13" style="215" bestFit="1" customWidth="1"/>
    <col min="11273" max="11273" width="12.5703125" style="215" bestFit="1" customWidth="1"/>
    <col min="11274" max="11274" width="13.42578125" style="215" bestFit="1" customWidth="1"/>
    <col min="11275" max="11275" width="13.5703125" style="215" bestFit="1" customWidth="1"/>
    <col min="11276" max="11276" width="14.5703125" style="215" bestFit="1" customWidth="1"/>
    <col min="11277" max="11277" width="14.85546875" style="215" bestFit="1" customWidth="1"/>
    <col min="11278" max="11278" width="17.140625" style="215" customWidth="1"/>
    <col min="11279" max="11279" width="16.42578125" style="215" bestFit="1" customWidth="1"/>
    <col min="11280" max="11280" width="17.140625" style="215" bestFit="1" customWidth="1"/>
    <col min="11281" max="11281" width="24.42578125" style="215" customWidth="1"/>
    <col min="11282" max="11282" width="18.42578125" style="215" bestFit="1" customWidth="1"/>
    <col min="11283" max="11283" width="18.5703125" style="215" bestFit="1" customWidth="1"/>
    <col min="11284" max="11284" width="19.42578125" style="215" bestFit="1" customWidth="1"/>
    <col min="11285" max="11285" width="20.42578125" style="215" bestFit="1" customWidth="1"/>
    <col min="11286" max="11286" width="20.85546875" style="215" bestFit="1" customWidth="1"/>
    <col min="11287" max="11287" width="21.42578125" style="215" bestFit="1" customWidth="1"/>
    <col min="11288" max="11289" width="22.42578125" style="215" bestFit="1" customWidth="1"/>
    <col min="11290" max="11291" width="23.85546875" style="215" bestFit="1" customWidth="1"/>
    <col min="11292" max="11293" width="24.85546875" style="215" bestFit="1" customWidth="1"/>
    <col min="11294" max="11298" width="11.42578125" style="215" bestFit="1" customWidth="1"/>
    <col min="11299" max="11303" width="12.42578125" style="215" bestFit="1" customWidth="1"/>
    <col min="11304" max="11304" width="12" style="215" bestFit="1" customWidth="1"/>
    <col min="11305" max="11520" width="8.85546875" style="215"/>
    <col min="11521" max="11521" width="7.42578125" style="215" customWidth="1"/>
    <col min="11522" max="11522" width="41" style="215" customWidth="1"/>
    <col min="11523" max="11523" width="16" style="215" customWidth="1"/>
    <col min="11524" max="11524" width="16.140625" style="215" bestFit="1" customWidth="1"/>
    <col min="11525" max="11525" width="11.85546875" style="215" customWidth="1"/>
    <col min="11526" max="11526" width="12.42578125" style="215" bestFit="1" customWidth="1"/>
    <col min="11527" max="11528" width="13" style="215" bestFit="1" customWidth="1"/>
    <col min="11529" max="11529" width="12.5703125" style="215" bestFit="1" customWidth="1"/>
    <col min="11530" max="11530" width="13.42578125" style="215" bestFit="1" customWidth="1"/>
    <col min="11531" max="11531" width="13.5703125" style="215" bestFit="1" customWidth="1"/>
    <col min="11532" max="11532" width="14.5703125" style="215" bestFit="1" customWidth="1"/>
    <col min="11533" max="11533" width="14.85546875" style="215" bestFit="1" customWidth="1"/>
    <col min="11534" max="11534" width="17.140625" style="215" customWidth="1"/>
    <col min="11535" max="11535" width="16.42578125" style="215" bestFit="1" customWidth="1"/>
    <col min="11536" max="11536" width="17.140625" style="215" bestFit="1" customWidth="1"/>
    <col min="11537" max="11537" width="24.42578125" style="215" customWidth="1"/>
    <col min="11538" max="11538" width="18.42578125" style="215" bestFit="1" customWidth="1"/>
    <col min="11539" max="11539" width="18.5703125" style="215" bestFit="1" customWidth="1"/>
    <col min="11540" max="11540" width="19.42578125" style="215" bestFit="1" customWidth="1"/>
    <col min="11541" max="11541" width="20.42578125" style="215" bestFit="1" customWidth="1"/>
    <col min="11542" max="11542" width="20.85546875" style="215" bestFit="1" customWidth="1"/>
    <col min="11543" max="11543" width="21.42578125" style="215" bestFit="1" customWidth="1"/>
    <col min="11544" max="11545" width="22.42578125" style="215" bestFit="1" customWidth="1"/>
    <col min="11546" max="11547" width="23.85546875" style="215" bestFit="1" customWidth="1"/>
    <col min="11548" max="11549" width="24.85546875" style="215" bestFit="1" customWidth="1"/>
    <col min="11550" max="11554" width="11.42578125" style="215" bestFit="1" customWidth="1"/>
    <col min="11555" max="11559" width="12.42578125" style="215" bestFit="1" customWidth="1"/>
    <col min="11560" max="11560" width="12" style="215" bestFit="1" customWidth="1"/>
    <col min="11561" max="11776" width="8.85546875" style="215"/>
    <col min="11777" max="11777" width="7.42578125" style="215" customWidth="1"/>
    <col min="11778" max="11778" width="41" style="215" customWidth="1"/>
    <col min="11779" max="11779" width="16" style="215" customWidth="1"/>
    <col min="11780" max="11780" width="16.140625" style="215" bestFit="1" customWidth="1"/>
    <col min="11781" max="11781" width="11.85546875" style="215" customWidth="1"/>
    <col min="11782" max="11782" width="12.42578125" style="215" bestFit="1" customWidth="1"/>
    <col min="11783" max="11784" width="13" style="215" bestFit="1" customWidth="1"/>
    <col min="11785" max="11785" width="12.5703125" style="215" bestFit="1" customWidth="1"/>
    <col min="11786" max="11786" width="13.42578125" style="215" bestFit="1" customWidth="1"/>
    <col min="11787" max="11787" width="13.5703125" style="215" bestFit="1" customWidth="1"/>
    <col min="11788" max="11788" width="14.5703125" style="215" bestFit="1" customWidth="1"/>
    <col min="11789" max="11789" width="14.85546875" style="215" bestFit="1" customWidth="1"/>
    <col min="11790" max="11790" width="17.140625" style="215" customWidth="1"/>
    <col min="11791" max="11791" width="16.42578125" style="215" bestFit="1" customWidth="1"/>
    <col min="11792" max="11792" width="17.140625" style="215" bestFit="1" customWidth="1"/>
    <col min="11793" max="11793" width="24.42578125" style="215" customWidth="1"/>
    <col min="11794" max="11794" width="18.42578125" style="215" bestFit="1" customWidth="1"/>
    <col min="11795" max="11795" width="18.5703125" style="215" bestFit="1" customWidth="1"/>
    <col min="11796" max="11796" width="19.42578125" style="215" bestFit="1" customWidth="1"/>
    <col min="11797" max="11797" width="20.42578125" style="215" bestFit="1" customWidth="1"/>
    <col min="11798" max="11798" width="20.85546875" style="215" bestFit="1" customWidth="1"/>
    <col min="11799" max="11799" width="21.42578125" style="215" bestFit="1" customWidth="1"/>
    <col min="11800" max="11801" width="22.42578125" style="215" bestFit="1" customWidth="1"/>
    <col min="11802" max="11803" width="23.85546875" style="215" bestFit="1" customWidth="1"/>
    <col min="11804" max="11805" width="24.85546875" style="215" bestFit="1" customWidth="1"/>
    <col min="11806" max="11810" width="11.42578125" style="215" bestFit="1" customWidth="1"/>
    <col min="11811" max="11815" width="12.42578125" style="215" bestFit="1" customWidth="1"/>
    <col min="11816" max="11816" width="12" style="215" bestFit="1" customWidth="1"/>
    <col min="11817" max="12032" width="8.85546875" style="215"/>
    <col min="12033" max="12033" width="7.42578125" style="215" customWidth="1"/>
    <col min="12034" max="12034" width="41" style="215" customWidth="1"/>
    <col min="12035" max="12035" width="16" style="215" customWidth="1"/>
    <col min="12036" max="12036" width="16.140625" style="215" bestFit="1" customWidth="1"/>
    <col min="12037" max="12037" width="11.85546875" style="215" customWidth="1"/>
    <col min="12038" max="12038" width="12.42578125" style="215" bestFit="1" customWidth="1"/>
    <col min="12039" max="12040" width="13" style="215" bestFit="1" customWidth="1"/>
    <col min="12041" max="12041" width="12.5703125" style="215" bestFit="1" customWidth="1"/>
    <col min="12042" max="12042" width="13.42578125" style="215" bestFit="1" customWidth="1"/>
    <col min="12043" max="12043" width="13.5703125" style="215" bestFit="1" customWidth="1"/>
    <col min="12044" max="12044" width="14.5703125" style="215" bestFit="1" customWidth="1"/>
    <col min="12045" max="12045" width="14.85546875" style="215" bestFit="1" customWidth="1"/>
    <col min="12046" max="12046" width="17.140625" style="215" customWidth="1"/>
    <col min="12047" max="12047" width="16.42578125" style="215" bestFit="1" customWidth="1"/>
    <col min="12048" max="12048" width="17.140625" style="215" bestFit="1" customWidth="1"/>
    <col min="12049" max="12049" width="24.42578125" style="215" customWidth="1"/>
    <col min="12050" max="12050" width="18.42578125" style="215" bestFit="1" customWidth="1"/>
    <col min="12051" max="12051" width="18.5703125" style="215" bestFit="1" customWidth="1"/>
    <col min="12052" max="12052" width="19.42578125" style="215" bestFit="1" customWidth="1"/>
    <col min="12053" max="12053" width="20.42578125" style="215" bestFit="1" customWidth="1"/>
    <col min="12054" max="12054" width="20.85546875" style="215" bestFit="1" customWidth="1"/>
    <col min="12055" max="12055" width="21.42578125" style="215" bestFit="1" customWidth="1"/>
    <col min="12056" max="12057" width="22.42578125" style="215" bestFit="1" customWidth="1"/>
    <col min="12058" max="12059" width="23.85546875" style="215" bestFit="1" customWidth="1"/>
    <col min="12060" max="12061" width="24.85546875" style="215" bestFit="1" customWidth="1"/>
    <col min="12062" max="12066" width="11.42578125" style="215" bestFit="1" customWidth="1"/>
    <col min="12067" max="12071" width="12.42578125" style="215" bestFit="1" customWidth="1"/>
    <col min="12072" max="12072" width="12" style="215" bestFit="1" customWidth="1"/>
    <col min="12073" max="12288" width="8.85546875" style="215"/>
    <col min="12289" max="12289" width="7.42578125" style="215" customWidth="1"/>
    <col min="12290" max="12290" width="41" style="215" customWidth="1"/>
    <col min="12291" max="12291" width="16" style="215" customWidth="1"/>
    <col min="12292" max="12292" width="16.140625" style="215" bestFit="1" customWidth="1"/>
    <col min="12293" max="12293" width="11.85546875" style="215" customWidth="1"/>
    <col min="12294" max="12294" width="12.42578125" style="215" bestFit="1" customWidth="1"/>
    <col min="12295" max="12296" width="13" style="215" bestFit="1" customWidth="1"/>
    <col min="12297" max="12297" width="12.5703125" style="215" bestFit="1" customWidth="1"/>
    <col min="12298" max="12298" width="13.42578125" style="215" bestFit="1" customWidth="1"/>
    <col min="12299" max="12299" width="13.5703125" style="215" bestFit="1" customWidth="1"/>
    <col min="12300" max="12300" width="14.5703125" style="215" bestFit="1" customWidth="1"/>
    <col min="12301" max="12301" width="14.85546875" style="215" bestFit="1" customWidth="1"/>
    <col min="12302" max="12302" width="17.140625" style="215" customWidth="1"/>
    <col min="12303" max="12303" width="16.42578125" style="215" bestFit="1" customWidth="1"/>
    <col min="12304" max="12304" width="17.140625" style="215" bestFit="1" customWidth="1"/>
    <col min="12305" max="12305" width="24.42578125" style="215" customWidth="1"/>
    <col min="12306" max="12306" width="18.42578125" style="215" bestFit="1" customWidth="1"/>
    <col min="12307" max="12307" width="18.5703125" style="215" bestFit="1" customWidth="1"/>
    <col min="12308" max="12308" width="19.42578125" style="215" bestFit="1" customWidth="1"/>
    <col min="12309" max="12309" width="20.42578125" style="215" bestFit="1" customWidth="1"/>
    <col min="12310" max="12310" width="20.85546875" style="215" bestFit="1" customWidth="1"/>
    <col min="12311" max="12311" width="21.42578125" style="215" bestFit="1" customWidth="1"/>
    <col min="12312" max="12313" width="22.42578125" style="215" bestFit="1" customWidth="1"/>
    <col min="12314" max="12315" width="23.85546875" style="215" bestFit="1" customWidth="1"/>
    <col min="12316" max="12317" width="24.85546875" style="215" bestFit="1" customWidth="1"/>
    <col min="12318" max="12322" width="11.42578125" style="215" bestFit="1" customWidth="1"/>
    <col min="12323" max="12327" width="12.42578125" style="215" bestFit="1" customWidth="1"/>
    <col min="12328" max="12328" width="12" style="215" bestFit="1" customWidth="1"/>
    <col min="12329" max="12544" width="8.85546875" style="215"/>
    <col min="12545" max="12545" width="7.42578125" style="215" customWidth="1"/>
    <col min="12546" max="12546" width="41" style="215" customWidth="1"/>
    <col min="12547" max="12547" width="16" style="215" customWidth="1"/>
    <col min="12548" max="12548" width="16.140625" style="215" bestFit="1" customWidth="1"/>
    <col min="12549" max="12549" width="11.85546875" style="215" customWidth="1"/>
    <col min="12550" max="12550" width="12.42578125" style="215" bestFit="1" customWidth="1"/>
    <col min="12551" max="12552" width="13" style="215" bestFit="1" customWidth="1"/>
    <col min="12553" max="12553" width="12.5703125" style="215" bestFit="1" customWidth="1"/>
    <col min="12554" max="12554" width="13.42578125" style="215" bestFit="1" customWidth="1"/>
    <col min="12555" max="12555" width="13.5703125" style="215" bestFit="1" customWidth="1"/>
    <col min="12556" max="12556" width="14.5703125" style="215" bestFit="1" customWidth="1"/>
    <col min="12557" max="12557" width="14.85546875" style="215" bestFit="1" customWidth="1"/>
    <col min="12558" max="12558" width="17.140625" style="215" customWidth="1"/>
    <col min="12559" max="12559" width="16.42578125" style="215" bestFit="1" customWidth="1"/>
    <col min="12560" max="12560" width="17.140625" style="215" bestFit="1" customWidth="1"/>
    <col min="12561" max="12561" width="24.42578125" style="215" customWidth="1"/>
    <col min="12562" max="12562" width="18.42578125" style="215" bestFit="1" customWidth="1"/>
    <col min="12563" max="12563" width="18.5703125" style="215" bestFit="1" customWidth="1"/>
    <col min="12564" max="12564" width="19.42578125" style="215" bestFit="1" customWidth="1"/>
    <col min="12565" max="12565" width="20.42578125" style="215" bestFit="1" customWidth="1"/>
    <col min="12566" max="12566" width="20.85546875" style="215" bestFit="1" customWidth="1"/>
    <col min="12567" max="12567" width="21.42578125" style="215" bestFit="1" customWidth="1"/>
    <col min="12568" max="12569" width="22.42578125" style="215" bestFit="1" customWidth="1"/>
    <col min="12570" max="12571" width="23.85546875" style="215" bestFit="1" customWidth="1"/>
    <col min="12572" max="12573" width="24.85546875" style="215" bestFit="1" customWidth="1"/>
    <col min="12574" max="12578" width="11.42578125" style="215" bestFit="1" customWidth="1"/>
    <col min="12579" max="12583" width="12.42578125" style="215" bestFit="1" customWidth="1"/>
    <col min="12584" max="12584" width="12" style="215" bestFit="1" customWidth="1"/>
    <col min="12585" max="12800" width="8.85546875" style="215"/>
    <col min="12801" max="12801" width="7.42578125" style="215" customWidth="1"/>
    <col min="12802" max="12802" width="41" style="215" customWidth="1"/>
    <col min="12803" max="12803" width="16" style="215" customWidth="1"/>
    <col min="12804" max="12804" width="16.140625" style="215" bestFit="1" customWidth="1"/>
    <col min="12805" max="12805" width="11.85546875" style="215" customWidth="1"/>
    <col min="12806" max="12806" width="12.42578125" style="215" bestFit="1" customWidth="1"/>
    <col min="12807" max="12808" width="13" style="215" bestFit="1" customWidth="1"/>
    <col min="12809" max="12809" width="12.5703125" style="215" bestFit="1" customWidth="1"/>
    <col min="12810" max="12810" width="13.42578125" style="215" bestFit="1" customWidth="1"/>
    <col min="12811" max="12811" width="13.5703125" style="215" bestFit="1" customWidth="1"/>
    <col min="12812" max="12812" width="14.5703125" style="215" bestFit="1" customWidth="1"/>
    <col min="12813" max="12813" width="14.85546875" style="215" bestFit="1" customWidth="1"/>
    <col min="12814" max="12814" width="17.140625" style="215" customWidth="1"/>
    <col min="12815" max="12815" width="16.42578125" style="215" bestFit="1" customWidth="1"/>
    <col min="12816" max="12816" width="17.140625" style="215" bestFit="1" customWidth="1"/>
    <col min="12817" max="12817" width="24.42578125" style="215" customWidth="1"/>
    <col min="12818" max="12818" width="18.42578125" style="215" bestFit="1" customWidth="1"/>
    <col min="12819" max="12819" width="18.5703125" style="215" bestFit="1" customWidth="1"/>
    <col min="12820" max="12820" width="19.42578125" style="215" bestFit="1" customWidth="1"/>
    <col min="12821" max="12821" width="20.42578125" style="215" bestFit="1" customWidth="1"/>
    <col min="12822" max="12822" width="20.85546875" style="215" bestFit="1" customWidth="1"/>
    <col min="12823" max="12823" width="21.42578125" style="215" bestFit="1" customWidth="1"/>
    <col min="12824" max="12825" width="22.42578125" style="215" bestFit="1" customWidth="1"/>
    <col min="12826" max="12827" width="23.85546875" style="215" bestFit="1" customWidth="1"/>
    <col min="12828" max="12829" width="24.85546875" style="215" bestFit="1" customWidth="1"/>
    <col min="12830" max="12834" width="11.42578125" style="215" bestFit="1" customWidth="1"/>
    <col min="12835" max="12839" width="12.42578125" style="215" bestFit="1" customWidth="1"/>
    <col min="12840" max="12840" width="12" style="215" bestFit="1" customWidth="1"/>
    <col min="12841" max="13056" width="8.85546875" style="215"/>
    <col min="13057" max="13057" width="7.42578125" style="215" customWidth="1"/>
    <col min="13058" max="13058" width="41" style="215" customWidth="1"/>
    <col min="13059" max="13059" width="16" style="215" customWidth="1"/>
    <col min="13060" max="13060" width="16.140625" style="215" bestFit="1" customWidth="1"/>
    <col min="13061" max="13061" width="11.85546875" style="215" customWidth="1"/>
    <col min="13062" max="13062" width="12.42578125" style="215" bestFit="1" customWidth="1"/>
    <col min="13063" max="13064" width="13" style="215" bestFit="1" customWidth="1"/>
    <col min="13065" max="13065" width="12.5703125" style="215" bestFit="1" customWidth="1"/>
    <col min="13066" max="13066" width="13.42578125" style="215" bestFit="1" customWidth="1"/>
    <col min="13067" max="13067" width="13.5703125" style="215" bestFit="1" customWidth="1"/>
    <col min="13068" max="13068" width="14.5703125" style="215" bestFit="1" customWidth="1"/>
    <col min="13069" max="13069" width="14.85546875" style="215" bestFit="1" customWidth="1"/>
    <col min="13070" max="13070" width="17.140625" style="215" customWidth="1"/>
    <col min="13071" max="13071" width="16.42578125" style="215" bestFit="1" customWidth="1"/>
    <col min="13072" max="13072" width="17.140625" style="215" bestFit="1" customWidth="1"/>
    <col min="13073" max="13073" width="24.42578125" style="215" customWidth="1"/>
    <col min="13074" max="13074" width="18.42578125" style="215" bestFit="1" customWidth="1"/>
    <col min="13075" max="13075" width="18.5703125" style="215" bestFit="1" customWidth="1"/>
    <col min="13076" max="13076" width="19.42578125" style="215" bestFit="1" customWidth="1"/>
    <col min="13077" max="13077" width="20.42578125" style="215" bestFit="1" customWidth="1"/>
    <col min="13078" max="13078" width="20.85546875" style="215" bestFit="1" customWidth="1"/>
    <col min="13079" max="13079" width="21.42578125" style="215" bestFit="1" customWidth="1"/>
    <col min="13080" max="13081" width="22.42578125" style="215" bestFit="1" customWidth="1"/>
    <col min="13082" max="13083" width="23.85546875" style="215" bestFit="1" customWidth="1"/>
    <col min="13084" max="13085" width="24.85546875" style="215" bestFit="1" customWidth="1"/>
    <col min="13086" max="13090" width="11.42578125" style="215" bestFit="1" customWidth="1"/>
    <col min="13091" max="13095" width="12.42578125" style="215" bestFit="1" customWidth="1"/>
    <col min="13096" max="13096" width="12" style="215" bestFit="1" customWidth="1"/>
    <col min="13097" max="13312" width="8.85546875" style="215"/>
    <col min="13313" max="13313" width="7.42578125" style="215" customWidth="1"/>
    <col min="13314" max="13314" width="41" style="215" customWidth="1"/>
    <col min="13315" max="13315" width="16" style="215" customWidth="1"/>
    <col min="13316" max="13316" width="16.140625" style="215" bestFit="1" customWidth="1"/>
    <col min="13317" max="13317" width="11.85546875" style="215" customWidth="1"/>
    <col min="13318" max="13318" width="12.42578125" style="215" bestFit="1" customWidth="1"/>
    <col min="13319" max="13320" width="13" style="215" bestFit="1" customWidth="1"/>
    <col min="13321" max="13321" width="12.5703125" style="215" bestFit="1" customWidth="1"/>
    <col min="13322" max="13322" width="13.42578125" style="215" bestFit="1" customWidth="1"/>
    <col min="13323" max="13323" width="13.5703125" style="215" bestFit="1" customWidth="1"/>
    <col min="13324" max="13324" width="14.5703125" style="215" bestFit="1" customWidth="1"/>
    <col min="13325" max="13325" width="14.85546875" style="215" bestFit="1" customWidth="1"/>
    <col min="13326" max="13326" width="17.140625" style="215" customWidth="1"/>
    <col min="13327" max="13327" width="16.42578125" style="215" bestFit="1" customWidth="1"/>
    <col min="13328" max="13328" width="17.140625" style="215" bestFit="1" customWidth="1"/>
    <col min="13329" max="13329" width="24.42578125" style="215" customWidth="1"/>
    <col min="13330" max="13330" width="18.42578125" style="215" bestFit="1" customWidth="1"/>
    <col min="13331" max="13331" width="18.5703125" style="215" bestFit="1" customWidth="1"/>
    <col min="13332" max="13332" width="19.42578125" style="215" bestFit="1" customWidth="1"/>
    <col min="13333" max="13333" width="20.42578125" style="215" bestFit="1" customWidth="1"/>
    <col min="13334" max="13334" width="20.85546875" style="215" bestFit="1" customWidth="1"/>
    <col min="13335" max="13335" width="21.42578125" style="215" bestFit="1" customWidth="1"/>
    <col min="13336" max="13337" width="22.42578125" style="215" bestFit="1" customWidth="1"/>
    <col min="13338" max="13339" width="23.85546875" style="215" bestFit="1" customWidth="1"/>
    <col min="13340" max="13341" width="24.85546875" style="215" bestFit="1" customWidth="1"/>
    <col min="13342" max="13346" width="11.42578125" style="215" bestFit="1" customWidth="1"/>
    <col min="13347" max="13351" width="12.42578125" style="215" bestFit="1" customWidth="1"/>
    <col min="13352" max="13352" width="12" style="215" bestFit="1" customWidth="1"/>
    <col min="13353" max="13568" width="8.85546875" style="215"/>
    <col min="13569" max="13569" width="7.42578125" style="215" customWidth="1"/>
    <col min="13570" max="13570" width="41" style="215" customWidth="1"/>
    <col min="13571" max="13571" width="16" style="215" customWidth="1"/>
    <col min="13572" max="13572" width="16.140625" style="215" bestFit="1" customWidth="1"/>
    <col min="13573" max="13573" width="11.85546875" style="215" customWidth="1"/>
    <col min="13574" max="13574" width="12.42578125" style="215" bestFit="1" customWidth="1"/>
    <col min="13575" max="13576" width="13" style="215" bestFit="1" customWidth="1"/>
    <col min="13577" max="13577" width="12.5703125" style="215" bestFit="1" customWidth="1"/>
    <col min="13578" max="13578" width="13.42578125" style="215" bestFit="1" customWidth="1"/>
    <col min="13579" max="13579" width="13.5703125" style="215" bestFit="1" customWidth="1"/>
    <col min="13580" max="13580" width="14.5703125" style="215" bestFit="1" customWidth="1"/>
    <col min="13581" max="13581" width="14.85546875" style="215" bestFit="1" customWidth="1"/>
    <col min="13582" max="13582" width="17.140625" style="215" customWidth="1"/>
    <col min="13583" max="13583" width="16.42578125" style="215" bestFit="1" customWidth="1"/>
    <col min="13584" max="13584" width="17.140625" style="215" bestFit="1" customWidth="1"/>
    <col min="13585" max="13585" width="24.42578125" style="215" customWidth="1"/>
    <col min="13586" max="13586" width="18.42578125" style="215" bestFit="1" customWidth="1"/>
    <col min="13587" max="13587" width="18.5703125" style="215" bestFit="1" customWidth="1"/>
    <col min="13588" max="13588" width="19.42578125" style="215" bestFit="1" customWidth="1"/>
    <col min="13589" max="13589" width="20.42578125" style="215" bestFit="1" customWidth="1"/>
    <col min="13590" max="13590" width="20.85546875" style="215" bestFit="1" customWidth="1"/>
    <col min="13591" max="13591" width="21.42578125" style="215" bestFit="1" customWidth="1"/>
    <col min="13592" max="13593" width="22.42578125" style="215" bestFit="1" customWidth="1"/>
    <col min="13594" max="13595" width="23.85546875" style="215" bestFit="1" customWidth="1"/>
    <col min="13596" max="13597" width="24.85546875" style="215" bestFit="1" customWidth="1"/>
    <col min="13598" max="13602" width="11.42578125" style="215" bestFit="1" customWidth="1"/>
    <col min="13603" max="13607" width="12.42578125" style="215" bestFit="1" customWidth="1"/>
    <col min="13608" max="13608" width="12" style="215" bestFit="1" customWidth="1"/>
    <col min="13609" max="13824" width="8.85546875" style="215"/>
    <col min="13825" max="13825" width="7.42578125" style="215" customWidth="1"/>
    <col min="13826" max="13826" width="41" style="215" customWidth="1"/>
    <col min="13827" max="13827" width="16" style="215" customWidth="1"/>
    <col min="13828" max="13828" width="16.140625" style="215" bestFit="1" customWidth="1"/>
    <col min="13829" max="13829" width="11.85546875" style="215" customWidth="1"/>
    <col min="13830" max="13830" width="12.42578125" style="215" bestFit="1" customWidth="1"/>
    <col min="13831" max="13832" width="13" style="215" bestFit="1" customWidth="1"/>
    <col min="13833" max="13833" width="12.5703125" style="215" bestFit="1" customWidth="1"/>
    <col min="13834" max="13834" width="13.42578125" style="215" bestFit="1" customWidth="1"/>
    <col min="13835" max="13835" width="13.5703125" style="215" bestFit="1" customWidth="1"/>
    <col min="13836" max="13836" width="14.5703125" style="215" bestFit="1" customWidth="1"/>
    <col min="13837" max="13837" width="14.85546875" style="215" bestFit="1" customWidth="1"/>
    <col min="13838" max="13838" width="17.140625" style="215" customWidth="1"/>
    <col min="13839" max="13839" width="16.42578125" style="215" bestFit="1" customWidth="1"/>
    <col min="13840" max="13840" width="17.140625" style="215" bestFit="1" customWidth="1"/>
    <col min="13841" max="13841" width="24.42578125" style="215" customWidth="1"/>
    <col min="13842" max="13842" width="18.42578125" style="215" bestFit="1" customWidth="1"/>
    <col min="13843" max="13843" width="18.5703125" style="215" bestFit="1" customWidth="1"/>
    <col min="13844" max="13844" width="19.42578125" style="215" bestFit="1" customWidth="1"/>
    <col min="13845" max="13845" width="20.42578125" style="215" bestFit="1" customWidth="1"/>
    <col min="13846" max="13846" width="20.85546875" style="215" bestFit="1" customWidth="1"/>
    <col min="13847" max="13847" width="21.42578125" style="215" bestFit="1" customWidth="1"/>
    <col min="13848" max="13849" width="22.42578125" style="215" bestFit="1" customWidth="1"/>
    <col min="13850" max="13851" width="23.85546875" style="215" bestFit="1" customWidth="1"/>
    <col min="13852" max="13853" width="24.85546875" style="215" bestFit="1" customWidth="1"/>
    <col min="13854" max="13858" width="11.42578125" style="215" bestFit="1" customWidth="1"/>
    <col min="13859" max="13863" width="12.42578125" style="215" bestFit="1" customWidth="1"/>
    <col min="13864" max="13864" width="12" style="215" bestFit="1" customWidth="1"/>
    <col min="13865" max="14080" width="8.85546875" style="215"/>
    <col min="14081" max="14081" width="7.42578125" style="215" customWidth="1"/>
    <col min="14082" max="14082" width="41" style="215" customWidth="1"/>
    <col min="14083" max="14083" width="16" style="215" customWidth="1"/>
    <col min="14084" max="14084" width="16.140625" style="215" bestFit="1" customWidth="1"/>
    <col min="14085" max="14085" width="11.85546875" style="215" customWidth="1"/>
    <col min="14086" max="14086" width="12.42578125" style="215" bestFit="1" customWidth="1"/>
    <col min="14087" max="14088" width="13" style="215" bestFit="1" customWidth="1"/>
    <col min="14089" max="14089" width="12.5703125" style="215" bestFit="1" customWidth="1"/>
    <col min="14090" max="14090" width="13.42578125" style="215" bestFit="1" customWidth="1"/>
    <col min="14091" max="14091" width="13.5703125" style="215" bestFit="1" customWidth="1"/>
    <col min="14092" max="14092" width="14.5703125" style="215" bestFit="1" customWidth="1"/>
    <col min="14093" max="14093" width="14.85546875" style="215" bestFit="1" customWidth="1"/>
    <col min="14094" max="14094" width="17.140625" style="215" customWidth="1"/>
    <col min="14095" max="14095" width="16.42578125" style="215" bestFit="1" customWidth="1"/>
    <col min="14096" max="14096" width="17.140625" style="215" bestFit="1" customWidth="1"/>
    <col min="14097" max="14097" width="24.42578125" style="215" customWidth="1"/>
    <col min="14098" max="14098" width="18.42578125" style="215" bestFit="1" customWidth="1"/>
    <col min="14099" max="14099" width="18.5703125" style="215" bestFit="1" customWidth="1"/>
    <col min="14100" max="14100" width="19.42578125" style="215" bestFit="1" customWidth="1"/>
    <col min="14101" max="14101" width="20.42578125" style="215" bestFit="1" customWidth="1"/>
    <col min="14102" max="14102" width="20.85546875" style="215" bestFit="1" customWidth="1"/>
    <col min="14103" max="14103" width="21.42578125" style="215" bestFit="1" customWidth="1"/>
    <col min="14104" max="14105" width="22.42578125" style="215" bestFit="1" customWidth="1"/>
    <col min="14106" max="14107" width="23.85546875" style="215" bestFit="1" customWidth="1"/>
    <col min="14108" max="14109" width="24.85546875" style="215" bestFit="1" customWidth="1"/>
    <col min="14110" max="14114" width="11.42578125" style="215" bestFit="1" customWidth="1"/>
    <col min="14115" max="14119" width="12.42578125" style="215" bestFit="1" customWidth="1"/>
    <col min="14120" max="14120" width="12" style="215" bestFit="1" customWidth="1"/>
    <col min="14121" max="14336" width="8.85546875" style="215"/>
    <col min="14337" max="14337" width="7.42578125" style="215" customWidth="1"/>
    <col min="14338" max="14338" width="41" style="215" customWidth="1"/>
    <col min="14339" max="14339" width="16" style="215" customWidth="1"/>
    <col min="14340" max="14340" width="16.140625" style="215" bestFit="1" customWidth="1"/>
    <col min="14341" max="14341" width="11.85546875" style="215" customWidth="1"/>
    <col min="14342" max="14342" width="12.42578125" style="215" bestFit="1" customWidth="1"/>
    <col min="14343" max="14344" width="13" style="215" bestFit="1" customWidth="1"/>
    <col min="14345" max="14345" width="12.5703125" style="215" bestFit="1" customWidth="1"/>
    <col min="14346" max="14346" width="13.42578125" style="215" bestFit="1" customWidth="1"/>
    <col min="14347" max="14347" width="13.5703125" style="215" bestFit="1" customWidth="1"/>
    <col min="14348" max="14348" width="14.5703125" style="215" bestFit="1" customWidth="1"/>
    <col min="14349" max="14349" width="14.85546875" style="215" bestFit="1" customWidth="1"/>
    <col min="14350" max="14350" width="17.140625" style="215" customWidth="1"/>
    <col min="14351" max="14351" width="16.42578125" style="215" bestFit="1" customWidth="1"/>
    <col min="14352" max="14352" width="17.140625" style="215" bestFit="1" customWidth="1"/>
    <col min="14353" max="14353" width="24.42578125" style="215" customWidth="1"/>
    <col min="14354" max="14354" width="18.42578125" style="215" bestFit="1" customWidth="1"/>
    <col min="14355" max="14355" width="18.5703125" style="215" bestFit="1" customWidth="1"/>
    <col min="14356" max="14356" width="19.42578125" style="215" bestFit="1" customWidth="1"/>
    <col min="14357" max="14357" width="20.42578125" style="215" bestFit="1" customWidth="1"/>
    <col min="14358" max="14358" width="20.85546875" style="215" bestFit="1" customWidth="1"/>
    <col min="14359" max="14359" width="21.42578125" style="215" bestFit="1" customWidth="1"/>
    <col min="14360" max="14361" width="22.42578125" style="215" bestFit="1" customWidth="1"/>
    <col min="14362" max="14363" width="23.85546875" style="215" bestFit="1" customWidth="1"/>
    <col min="14364" max="14365" width="24.85546875" style="215" bestFit="1" customWidth="1"/>
    <col min="14366" max="14370" width="11.42578125" style="215" bestFit="1" customWidth="1"/>
    <col min="14371" max="14375" width="12.42578125" style="215" bestFit="1" customWidth="1"/>
    <col min="14376" max="14376" width="12" style="215" bestFit="1" customWidth="1"/>
    <col min="14377" max="14592" width="8.85546875" style="215"/>
    <col min="14593" max="14593" width="7.42578125" style="215" customWidth="1"/>
    <col min="14594" max="14594" width="41" style="215" customWidth="1"/>
    <col min="14595" max="14595" width="16" style="215" customWidth="1"/>
    <col min="14596" max="14596" width="16.140625" style="215" bestFit="1" customWidth="1"/>
    <col min="14597" max="14597" width="11.85546875" style="215" customWidth="1"/>
    <col min="14598" max="14598" width="12.42578125" style="215" bestFit="1" customWidth="1"/>
    <col min="14599" max="14600" width="13" style="215" bestFit="1" customWidth="1"/>
    <col min="14601" max="14601" width="12.5703125" style="215" bestFit="1" customWidth="1"/>
    <col min="14602" max="14602" width="13.42578125" style="215" bestFit="1" customWidth="1"/>
    <col min="14603" max="14603" width="13.5703125" style="215" bestFit="1" customWidth="1"/>
    <col min="14604" max="14604" width="14.5703125" style="215" bestFit="1" customWidth="1"/>
    <col min="14605" max="14605" width="14.85546875" style="215" bestFit="1" customWidth="1"/>
    <col min="14606" max="14606" width="17.140625" style="215" customWidth="1"/>
    <col min="14607" max="14607" width="16.42578125" style="215" bestFit="1" customWidth="1"/>
    <col min="14608" max="14608" width="17.140625" style="215" bestFit="1" customWidth="1"/>
    <col min="14609" max="14609" width="24.42578125" style="215" customWidth="1"/>
    <col min="14610" max="14610" width="18.42578125" style="215" bestFit="1" customWidth="1"/>
    <col min="14611" max="14611" width="18.5703125" style="215" bestFit="1" customWidth="1"/>
    <col min="14612" max="14612" width="19.42578125" style="215" bestFit="1" customWidth="1"/>
    <col min="14613" max="14613" width="20.42578125" style="215" bestFit="1" customWidth="1"/>
    <col min="14614" max="14614" width="20.85546875" style="215" bestFit="1" customWidth="1"/>
    <col min="14615" max="14615" width="21.42578125" style="215" bestFit="1" customWidth="1"/>
    <col min="14616" max="14617" width="22.42578125" style="215" bestFit="1" customWidth="1"/>
    <col min="14618" max="14619" width="23.85546875" style="215" bestFit="1" customWidth="1"/>
    <col min="14620" max="14621" width="24.85546875" style="215" bestFit="1" customWidth="1"/>
    <col min="14622" max="14626" width="11.42578125" style="215" bestFit="1" customWidth="1"/>
    <col min="14627" max="14631" width="12.42578125" style="215" bestFit="1" customWidth="1"/>
    <col min="14632" max="14632" width="12" style="215" bestFit="1" customWidth="1"/>
    <col min="14633" max="14848" width="8.85546875" style="215"/>
    <col min="14849" max="14849" width="7.42578125" style="215" customWidth="1"/>
    <col min="14850" max="14850" width="41" style="215" customWidth="1"/>
    <col min="14851" max="14851" width="16" style="215" customWidth="1"/>
    <col min="14852" max="14852" width="16.140625" style="215" bestFit="1" customWidth="1"/>
    <col min="14853" max="14853" width="11.85546875" style="215" customWidth="1"/>
    <col min="14854" max="14854" width="12.42578125" style="215" bestFit="1" customWidth="1"/>
    <col min="14855" max="14856" width="13" style="215" bestFit="1" customWidth="1"/>
    <col min="14857" max="14857" width="12.5703125" style="215" bestFit="1" customWidth="1"/>
    <col min="14858" max="14858" width="13.42578125" style="215" bestFit="1" customWidth="1"/>
    <col min="14859" max="14859" width="13.5703125" style="215" bestFit="1" customWidth="1"/>
    <col min="14860" max="14860" width="14.5703125" style="215" bestFit="1" customWidth="1"/>
    <col min="14861" max="14861" width="14.85546875" style="215" bestFit="1" customWidth="1"/>
    <col min="14862" max="14862" width="17.140625" style="215" customWidth="1"/>
    <col min="14863" max="14863" width="16.42578125" style="215" bestFit="1" customWidth="1"/>
    <col min="14864" max="14864" width="17.140625" style="215" bestFit="1" customWidth="1"/>
    <col min="14865" max="14865" width="24.42578125" style="215" customWidth="1"/>
    <col min="14866" max="14866" width="18.42578125" style="215" bestFit="1" customWidth="1"/>
    <col min="14867" max="14867" width="18.5703125" style="215" bestFit="1" customWidth="1"/>
    <col min="14868" max="14868" width="19.42578125" style="215" bestFit="1" customWidth="1"/>
    <col min="14869" max="14869" width="20.42578125" style="215" bestFit="1" customWidth="1"/>
    <col min="14870" max="14870" width="20.85546875" style="215" bestFit="1" customWidth="1"/>
    <col min="14871" max="14871" width="21.42578125" style="215" bestFit="1" customWidth="1"/>
    <col min="14872" max="14873" width="22.42578125" style="215" bestFit="1" customWidth="1"/>
    <col min="14874" max="14875" width="23.85546875" style="215" bestFit="1" customWidth="1"/>
    <col min="14876" max="14877" width="24.85546875" style="215" bestFit="1" customWidth="1"/>
    <col min="14878" max="14882" width="11.42578125" style="215" bestFit="1" customWidth="1"/>
    <col min="14883" max="14887" width="12.42578125" style="215" bestFit="1" customWidth="1"/>
    <col min="14888" max="14888" width="12" style="215" bestFit="1" customWidth="1"/>
    <col min="14889" max="15104" width="8.85546875" style="215"/>
    <col min="15105" max="15105" width="7.42578125" style="215" customWidth="1"/>
    <col min="15106" max="15106" width="41" style="215" customWidth="1"/>
    <col min="15107" max="15107" width="16" style="215" customWidth="1"/>
    <col min="15108" max="15108" width="16.140625" style="215" bestFit="1" customWidth="1"/>
    <col min="15109" max="15109" width="11.85546875" style="215" customWidth="1"/>
    <col min="15110" max="15110" width="12.42578125" style="215" bestFit="1" customWidth="1"/>
    <col min="15111" max="15112" width="13" style="215" bestFit="1" customWidth="1"/>
    <col min="15113" max="15113" width="12.5703125" style="215" bestFit="1" customWidth="1"/>
    <col min="15114" max="15114" width="13.42578125" style="215" bestFit="1" customWidth="1"/>
    <col min="15115" max="15115" width="13.5703125" style="215" bestFit="1" customWidth="1"/>
    <col min="15116" max="15116" width="14.5703125" style="215" bestFit="1" customWidth="1"/>
    <col min="15117" max="15117" width="14.85546875" style="215" bestFit="1" customWidth="1"/>
    <col min="15118" max="15118" width="17.140625" style="215" customWidth="1"/>
    <col min="15119" max="15119" width="16.42578125" style="215" bestFit="1" customWidth="1"/>
    <col min="15120" max="15120" width="17.140625" style="215" bestFit="1" customWidth="1"/>
    <col min="15121" max="15121" width="24.42578125" style="215" customWidth="1"/>
    <col min="15122" max="15122" width="18.42578125" style="215" bestFit="1" customWidth="1"/>
    <col min="15123" max="15123" width="18.5703125" style="215" bestFit="1" customWidth="1"/>
    <col min="15124" max="15124" width="19.42578125" style="215" bestFit="1" customWidth="1"/>
    <col min="15125" max="15125" width="20.42578125" style="215" bestFit="1" customWidth="1"/>
    <col min="15126" max="15126" width="20.85546875" style="215" bestFit="1" customWidth="1"/>
    <col min="15127" max="15127" width="21.42578125" style="215" bestFit="1" customWidth="1"/>
    <col min="15128" max="15129" width="22.42578125" style="215" bestFit="1" customWidth="1"/>
    <col min="15130" max="15131" width="23.85546875" style="215" bestFit="1" customWidth="1"/>
    <col min="15132" max="15133" width="24.85546875" style="215" bestFit="1" customWidth="1"/>
    <col min="15134" max="15138" width="11.42578125" style="215" bestFit="1" customWidth="1"/>
    <col min="15139" max="15143" width="12.42578125" style="215" bestFit="1" customWidth="1"/>
    <col min="15144" max="15144" width="12" style="215" bestFit="1" customWidth="1"/>
    <col min="15145" max="15360" width="8.85546875" style="215"/>
    <col min="15361" max="15361" width="7.42578125" style="215" customWidth="1"/>
    <col min="15362" max="15362" width="41" style="215" customWidth="1"/>
    <col min="15363" max="15363" width="16" style="215" customWidth="1"/>
    <col min="15364" max="15364" width="16.140625" style="215" bestFit="1" customWidth="1"/>
    <col min="15365" max="15365" width="11.85546875" style="215" customWidth="1"/>
    <col min="15366" max="15366" width="12.42578125" style="215" bestFit="1" customWidth="1"/>
    <col min="15367" max="15368" width="13" style="215" bestFit="1" customWidth="1"/>
    <col min="15369" max="15369" width="12.5703125" style="215" bestFit="1" customWidth="1"/>
    <col min="15370" max="15370" width="13.42578125" style="215" bestFit="1" customWidth="1"/>
    <col min="15371" max="15371" width="13.5703125" style="215" bestFit="1" customWidth="1"/>
    <col min="15372" max="15372" width="14.5703125" style="215" bestFit="1" customWidth="1"/>
    <col min="15373" max="15373" width="14.85546875" style="215" bestFit="1" customWidth="1"/>
    <col min="15374" max="15374" width="17.140625" style="215" customWidth="1"/>
    <col min="15375" max="15375" width="16.42578125" style="215" bestFit="1" customWidth="1"/>
    <col min="15376" max="15376" width="17.140625" style="215" bestFit="1" customWidth="1"/>
    <col min="15377" max="15377" width="24.42578125" style="215" customWidth="1"/>
    <col min="15378" max="15378" width="18.42578125" style="215" bestFit="1" customWidth="1"/>
    <col min="15379" max="15379" width="18.5703125" style="215" bestFit="1" customWidth="1"/>
    <col min="15380" max="15380" width="19.42578125" style="215" bestFit="1" customWidth="1"/>
    <col min="15381" max="15381" width="20.42578125" style="215" bestFit="1" customWidth="1"/>
    <col min="15382" max="15382" width="20.85546875" style="215" bestFit="1" customWidth="1"/>
    <col min="15383" max="15383" width="21.42578125" style="215" bestFit="1" customWidth="1"/>
    <col min="15384" max="15385" width="22.42578125" style="215" bestFit="1" customWidth="1"/>
    <col min="15386" max="15387" width="23.85546875" style="215" bestFit="1" customWidth="1"/>
    <col min="15388" max="15389" width="24.85546875" style="215" bestFit="1" customWidth="1"/>
    <col min="15390" max="15394" width="11.42578125" style="215" bestFit="1" customWidth="1"/>
    <col min="15395" max="15399" width="12.42578125" style="215" bestFit="1" customWidth="1"/>
    <col min="15400" max="15400" width="12" style="215" bestFit="1" customWidth="1"/>
    <col min="15401" max="15616" width="8.85546875" style="215"/>
    <col min="15617" max="15617" width="7.42578125" style="215" customWidth="1"/>
    <col min="15618" max="15618" width="41" style="215" customWidth="1"/>
    <col min="15619" max="15619" width="16" style="215" customWidth="1"/>
    <col min="15620" max="15620" width="16.140625" style="215" bestFit="1" customWidth="1"/>
    <col min="15621" max="15621" width="11.85546875" style="215" customWidth="1"/>
    <col min="15622" max="15622" width="12.42578125" style="215" bestFit="1" customWidth="1"/>
    <col min="15623" max="15624" width="13" style="215" bestFit="1" customWidth="1"/>
    <col min="15625" max="15625" width="12.5703125" style="215" bestFit="1" customWidth="1"/>
    <col min="15626" max="15626" width="13.42578125" style="215" bestFit="1" customWidth="1"/>
    <col min="15627" max="15627" width="13.5703125" style="215" bestFit="1" customWidth="1"/>
    <col min="15628" max="15628" width="14.5703125" style="215" bestFit="1" customWidth="1"/>
    <col min="15629" max="15629" width="14.85546875" style="215" bestFit="1" customWidth="1"/>
    <col min="15630" max="15630" width="17.140625" style="215" customWidth="1"/>
    <col min="15631" max="15631" width="16.42578125" style="215" bestFit="1" customWidth="1"/>
    <col min="15632" max="15632" width="17.140625" style="215" bestFit="1" customWidth="1"/>
    <col min="15633" max="15633" width="24.42578125" style="215" customWidth="1"/>
    <col min="15634" max="15634" width="18.42578125" style="215" bestFit="1" customWidth="1"/>
    <col min="15635" max="15635" width="18.5703125" style="215" bestFit="1" customWidth="1"/>
    <col min="15636" max="15636" width="19.42578125" style="215" bestFit="1" customWidth="1"/>
    <col min="15637" max="15637" width="20.42578125" style="215" bestFit="1" customWidth="1"/>
    <col min="15638" max="15638" width="20.85546875" style="215" bestFit="1" customWidth="1"/>
    <col min="15639" max="15639" width="21.42578125" style="215" bestFit="1" customWidth="1"/>
    <col min="15640" max="15641" width="22.42578125" style="215" bestFit="1" customWidth="1"/>
    <col min="15642" max="15643" width="23.85546875" style="215" bestFit="1" customWidth="1"/>
    <col min="15644" max="15645" width="24.85546875" style="215" bestFit="1" customWidth="1"/>
    <col min="15646" max="15650" width="11.42578125" style="215" bestFit="1" customWidth="1"/>
    <col min="15651" max="15655" width="12.42578125" style="215" bestFit="1" customWidth="1"/>
    <col min="15656" max="15656" width="12" style="215" bestFit="1" customWidth="1"/>
    <col min="15657" max="15872" width="8.85546875" style="215"/>
    <col min="15873" max="15873" width="7.42578125" style="215" customWidth="1"/>
    <col min="15874" max="15874" width="41" style="215" customWidth="1"/>
    <col min="15875" max="15875" width="16" style="215" customWidth="1"/>
    <col min="15876" max="15876" width="16.140625" style="215" bestFit="1" customWidth="1"/>
    <col min="15877" max="15877" width="11.85546875" style="215" customWidth="1"/>
    <col min="15878" max="15878" width="12.42578125" style="215" bestFit="1" customWidth="1"/>
    <col min="15879" max="15880" width="13" style="215" bestFit="1" customWidth="1"/>
    <col min="15881" max="15881" width="12.5703125" style="215" bestFit="1" customWidth="1"/>
    <col min="15882" max="15882" width="13.42578125" style="215" bestFit="1" customWidth="1"/>
    <col min="15883" max="15883" width="13.5703125" style="215" bestFit="1" customWidth="1"/>
    <col min="15884" max="15884" width="14.5703125" style="215" bestFit="1" customWidth="1"/>
    <col min="15885" max="15885" width="14.85546875" style="215" bestFit="1" customWidth="1"/>
    <col min="15886" max="15886" width="17.140625" style="215" customWidth="1"/>
    <col min="15887" max="15887" width="16.42578125" style="215" bestFit="1" customWidth="1"/>
    <col min="15888" max="15888" width="17.140625" style="215" bestFit="1" customWidth="1"/>
    <col min="15889" max="15889" width="24.42578125" style="215" customWidth="1"/>
    <col min="15890" max="15890" width="18.42578125" style="215" bestFit="1" customWidth="1"/>
    <col min="15891" max="15891" width="18.5703125" style="215" bestFit="1" customWidth="1"/>
    <col min="15892" max="15892" width="19.42578125" style="215" bestFit="1" customWidth="1"/>
    <col min="15893" max="15893" width="20.42578125" style="215" bestFit="1" customWidth="1"/>
    <col min="15894" max="15894" width="20.85546875" style="215" bestFit="1" customWidth="1"/>
    <col min="15895" max="15895" width="21.42578125" style="215" bestFit="1" customWidth="1"/>
    <col min="15896" max="15897" width="22.42578125" style="215" bestFit="1" customWidth="1"/>
    <col min="15898" max="15899" width="23.85546875" style="215" bestFit="1" customWidth="1"/>
    <col min="15900" max="15901" width="24.85546875" style="215" bestFit="1" customWidth="1"/>
    <col min="15902" max="15906" width="11.42578125" style="215" bestFit="1" customWidth="1"/>
    <col min="15907" max="15911" width="12.42578125" style="215" bestFit="1" customWidth="1"/>
    <col min="15912" max="15912" width="12" style="215" bestFit="1" customWidth="1"/>
    <col min="15913" max="16128" width="8.85546875" style="215"/>
    <col min="16129" max="16129" width="7.42578125" style="215" customWidth="1"/>
    <col min="16130" max="16130" width="41" style="215" customWidth="1"/>
    <col min="16131" max="16131" width="16" style="215" customWidth="1"/>
    <col min="16132" max="16132" width="16.140625" style="215" bestFit="1" customWidth="1"/>
    <col min="16133" max="16133" width="11.85546875" style="215" customWidth="1"/>
    <col min="16134" max="16134" width="12.42578125" style="215" bestFit="1" customWidth="1"/>
    <col min="16135" max="16136" width="13" style="215" bestFit="1" customWidth="1"/>
    <col min="16137" max="16137" width="12.5703125" style="215" bestFit="1" customWidth="1"/>
    <col min="16138" max="16138" width="13.42578125" style="215" bestFit="1" customWidth="1"/>
    <col min="16139" max="16139" width="13.5703125" style="215" bestFit="1" customWidth="1"/>
    <col min="16140" max="16140" width="14.5703125" style="215" bestFit="1" customWidth="1"/>
    <col min="16141" max="16141" width="14.85546875" style="215" bestFit="1" customWidth="1"/>
    <col min="16142" max="16142" width="17.140625" style="215" customWidth="1"/>
    <col min="16143" max="16143" width="16.42578125" style="215" bestFit="1" customWidth="1"/>
    <col min="16144" max="16144" width="17.140625" style="215" bestFit="1" customWidth="1"/>
    <col min="16145" max="16145" width="24.42578125" style="215" customWidth="1"/>
    <col min="16146" max="16146" width="18.42578125" style="215" bestFit="1" customWidth="1"/>
    <col min="16147" max="16147" width="18.5703125" style="215" bestFit="1" customWidth="1"/>
    <col min="16148" max="16148" width="19.42578125" style="215" bestFit="1" customWidth="1"/>
    <col min="16149" max="16149" width="20.42578125" style="215" bestFit="1" customWidth="1"/>
    <col min="16150" max="16150" width="20.85546875" style="215" bestFit="1" customWidth="1"/>
    <col min="16151" max="16151" width="21.42578125" style="215" bestFit="1" customWidth="1"/>
    <col min="16152" max="16153" width="22.42578125" style="215" bestFit="1" customWidth="1"/>
    <col min="16154" max="16155" width="23.85546875" style="215" bestFit="1" customWidth="1"/>
    <col min="16156" max="16157" width="24.85546875" style="215" bestFit="1" customWidth="1"/>
    <col min="16158" max="16162" width="11.42578125" style="215" bestFit="1" customWidth="1"/>
    <col min="16163" max="16167" width="12.42578125" style="215" bestFit="1" customWidth="1"/>
    <col min="16168" max="16168" width="12" style="215" bestFit="1" customWidth="1"/>
    <col min="16169" max="16384" width="8.85546875" style="215"/>
  </cols>
  <sheetData>
    <row r="1" spans="2:14" ht="12.95">
      <c r="B1" s="212" t="s">
        <v>293</v>
      </c>
      <c r="C1" s="213"/>
      <c r="D1" s="214"/>
    </row>
    <row r="2" spans="2:14" ht="12.95">
      <c r="B2" s="379" t="s">
        <v>476</v>
      </c>
      <c r="C2" s="378"/>
      <c r="D2" s="381">
        <f>EnergyDemand!F84</f>
        <v>1356.1858200000001</v>
      </c>
    </row>
    <row r="3" spans="2:14">
      <c r="B3" s="379" t="s">
        <v>108</v>
      </c>
      <c r="C3" s="217"/>
      <c r="D3" s="380">
        <f>EnergyDemand!D17</f>
        <v>20866.940534576923</v>
      </c>
    </row>
    <row r="4" spans="2:14" ht="12.95">
      <c r="B4" s="379" t="s">
        <v>477</v>
      </c>
      <c r="C4" s="217"/>
      <c r="D4" s="382">
        <f>SUM(D2:D3)</f>
        <v>22223.126354576922</v>
      </c>
    </row>
    <row r="5" spans="2:14">
      <c r="B5" s="216"/>
      <c r="C5" s="217"/>
      <c r="D5" s="218"/>
    </row>
    <row r="6" spans="2:14">
      <c r="B6" s="216" t="s">
        <v>478</v>
      </c>
      <c r="C6" s="217"/>
      <c r="D6" s="219">
        <f>1000*D4</f>
        <v>22223126.354576923</v>
      </c>
      <c r="F6" s="220"/>
    </row>
    <row r="7" spans="2:14">
      <c r="B7" s="216" t="s">
        <v>479</v>
      </c>
      <c r="C7" s="217"/>
      <c r="D7" s="386">
        <f>D2*500</f>
        <v>678092.91</v>
      </c>
      <c r="F7" s="220"/>
    </row>
    <row r="8" spans="2:14">
      <c r="B8" s="216"/>
      <c r="C8" s="217"/>
      <c r="D8" s="218"/>
    </row>
    <row r="9" spans="2:14">
      <c r="B9" s="216" t="s">
        <v>480</v>
      </c>
      <c r="C9" s="217" t="s">
        <v>301</v>
      </c>
      <c r="D9" s="221">
        <f>D6*0.1</f>
        <v>2222312.6354576922</v>
      </c>
      <c r="F9" s="220"/>
    </row>
    <row r="10" spans="2:14">
      <c r="B10" s="216" t="s">
        <v>481</v>
      </c>
      <c r="C10" s="217" t="s">
        <v>304</v>
      </c>
      <c r="D10" s="223">
        <v>0</v>
      </c>
      <c r="F10" s="222"/>
    </row>
    <row r="11" spans="2:14">
      <c r="B11" s="216"/>
      <c r="C11" s="217"/>
      <c r="D11" s="218"/>
      <c r="F11" s="224"/>
    </row>
    <row r="12" spans="2:14">
      <c r="B12" s="216" t="s">
        <v>482</v>
      </c>
      <c r="C12" s="225" t="s">
        <v>307</v>
      </c>
      <c r="D12" s="226">
        <v>0.2</v>
      </c>
      <c r="E12" s="215" t="s">
        <v>483</v>
      </c>
    </row>
    <row r="13" spans="2:14">
      <c r="B13" s="216" t="s">
        <v>310</v>
      </c>
      <c r="C13" s="225" t="s">
        <v>307</v>
      </c>
      <c r="D13" s="227">
        <v>0.44</v>
      </c>
      <c r="E13" s="215" t="s">
        <v>308</v>
      </c>
    </row>
    <row r="14" spans="2:14">
      <c r="B14" s="216" t="s">
        <v>484</v>
      </c>
      <c r="C14" s="225"/>
      <c r="D14" s="383">
        <f>5*365</f>
        <v>1825</v>
      </c>
    </row>
    <row r="15" spans="2:14" ht="17.25" customHeight="1">
      <c r="B15" s="216" t="s">
        <v>485</v>
      </c>
      <c r="C15" s="225" t="s">
        <v>313</v>
      </c>
      <c r="D15" s="228">
        <f>12*365</f>
        <v>4380</v>
      </c>
      <c r="N15" s="229"/>
    </row>
    <row r="16" spans="2:14">
      <c r="B16" s="216"/>
      <c r="C16" s="217"/>
      <c r="D16" s="218"/>
      <c r="N16" s="229"/>
    </row>
    <row r="17" spans="2:27">
      <c r="B17" s="216" t="s">
        <v>486</v>
      </c>
      <c r="C17" s="217" t="s">
        <v>304</v>
      </c>
      <c r="D17" s="230">
        <v>0.08</v>
      </c>
      <c r="E17" s="215" t="str">
        <f>'ProgrBiogas Electricity Fin Anl'!E16</f>
        <v>Assumption based on Trimble et. al/ World Bank 2016</v>
      </c>
    </row>
    <row r="18" spans="2:27" s="232" customFormat="1" ht="12.95">
      <c r="B18" s="216" t="s">
        <v>487</v>
      </c>
      <c r="C18" s="217" t="s">
        <v>304</v>
      </c>
      <c r="D18" s="231">
        <v>0.23</v>
      </c>
      <c r="E18" s="232" t="str">
        <f>'ProgrBiogas Electricity Fin Anl'!E17</f>
        <v>Assumption based on IEA 2020 for Countries with Diesel based power systems</v>
      </c>
      <c r="O18" s="233"/>
    </row>
    <row r="19" spans="2:27">
      <c r="B19" s="216" t="s">
        <v>488</v>
      </c>
      <c r="C19" s="217"/>
      <c r="D19" s="385">
        <f>D2*(1-D12)*D14</f>
        <v>1980031.2972000004</v>
      </c>
      <c r="U19" s="234"/>
      <c r="V19" s="234"/>
      <c r="Z19" s="235"/>
    </row>
    <row r="20" spans="2:27">
      <c r="B20" s="216" t="s">
        <v>489</v>
      </c>
      <c r="C20" s="217"/>
      <c r="D20" s="384">
        <f>D3*(1-D12)*D15</f>
        <v>73117759.633157551</v>
      </c>
      <c r="Q20" s="236"/>
      <c r="U20" s="234"/>
      <c r="V20" s="234"/>
      <c r="Z20" s="235"/>
    </row>
    <row r="21" spans="2:27">
      <c r="B21" s="216"/>
      <c r="C21" s="217"/>
      <c r="D21" s="218"/>
      <c r="F21" s="222"/>
      <c r="U21" s="234"/>
      <c r="V21" s="234"/>
      <c r="Z21" s="235"/>
    </row>
    <row r="22" spans="2:27">
      <c r="B22" s="216" t="s">
        <v>320</v>
      </c>
      <c r="C22" s="225" t="s">
        <v>490</v>
      </c>
      <c r="D22" s="237">
        <f>'EthBiogas Electricity Fin '!G6/1000</f>
        <v>1.6E-2</v>
      </c>
      <c r="E22" s="215" t="str">
        <f>'ProgrBiogas Electricity Fin Anl'!E21</f>
        <v>Average based on IFI Dataset</v>
      </c>
      <c r="U22" s="234"/>
      <c r="V22" s="234"/>
      <c r="Z22" s="235"/>
    </row>
    <row r="23" spans="2:27">
      <c r="B23" s="216" t="s">
        <v>327</v>
      </c>
      <c r="C23" s="225" t="s">
        <v>490</v>
      </c>
      <c r="D23" s="376">
        <f>+'Emissions CalculationsSCPZ'!C8</f>
        <v>0</v>
      </c>
      <c r="E23" s="215" t="str">
        <f>'ProgrBiogas Electricity Fin Anl'!E24</f>
        <v>Assumption based on AE GHG Tool</v>
      </c>
      <c r="P23" s="234"/>
      <c r="V23" s="234"/>
      <c r="Z23" s="235"/>
    </row>
    <row r="24" spans="2:27">
      <c r="B24" s="216" t="s">
        <v>329</v>
      </c>
      <c r="C24" s="225" t="s">
        <v>307</v>
      </c>
      <c r="D24" s="238">
        <v>0</v>
      </c>
      <c r="U24" s="234"/>
      <c r="V24" s="234"/>
      <c r="Z24" s="235"/>
    </row>
    <row r="25" spans="2:27">
      <c r="B25" s="216"/>
      <c r="C25" s="217"/>
      <c r="D25" s="218"/>
      <c r="U25" s="234"/>
      <c r="V25" s="234"/>
      <c r="Z25" s="235"/>
    </row>
    <row r="26" spans="2:27">
      <c r="B26" s="216"/>
      <c r="C26" s="217"/>
      <c r="D26" s="218"/>
      <c r="F26" s="728"/>
      <c r="U26" s="234"/>
      <c r="V26" s="234"/>
      <c r="Z26" s="235"/>
    </row>
    <row r="27" spans="2:27">
      <c r="B27" s="239" t="s">
        <v>492</v>
      </c>
      <c r="C27" s="240" t="s">
        <v>331</v>
      </c>
      <c r="D27" s="241">
        <f>D6+D7</f>
        <v>22901219.264576923</v>
      </c>
      <c r="F27" s="728"/>
      <c r="U27" s="234"/>
      <c r="V27" s="234"/>
      <c r="Z27" s="235"/>
    </row>
    <row r="28" spans="2:27">
      <c r="U28" s="234"/>
      <c r="V28" s="234"/>
      <c r="Z28" s="235"/>
    </row>
    <row r="29" spans="2:27">
      <c r="B29" s="242" t="s">
        <v>332</v>
      </c>
      <c r="C29" s="243">
        <v>1</v>
      </c>
      <c r="D29" s="244" t="s">
        <v>333</v>
      </c>
      <c r="M29" s="234"/>
      <c r="U29" s="234"/>
      <c r="V29" s="234"/>
      <c r="Z29" s="235"/>
    </row>
    <row r="30" spans="2:27">
      <c r="B30" s="245" t="s">
        <v>334</v>
      </c>
      <c r="C30" s="246">
        <v>1000</v>
      </c>
      <c r="D30" s="247" t="s">
        <v>335</v>
      </c>
      <c r="O30" s="234"/>
      <c r="P30" s="234"/>
      <c r="V30" s="234"/>
      <c r="W30" s="234"/>
      <c r="AA30" s="235"/>
    </row>
    <row r="31" spans="2:27">
      <c r="B31" s="245" t="s">
        <v>336</v>
      </c>
      <c r="C31" s="248">
        <v>3.5999999999999999E-3</v>
      </c>
      <c r="D31" s="247" t="s">
        <v>337</v>
      </c>
      <c r="O31" s="234"/>
      <c r="P31" s="234"/>
      <c r="V31" s="234"/>
      <c r="W31" s="234"/>
      <c r="AA31" s="235"/>
    </row>
    <row r="33" spans="2:4" ht="12.95">
      <c r="B33" s="887" t="s">
        <v>338</v>
      </c>
      <c r="C33" s="888"/>
      <c r="D33" s="889"/>
    </row>
    <row r="34" spans="2:4">
      <c r="B34" s="249" t="s">
        <v>339</v>
      </c>
      <c r="C34" s="250" t="s">
        <v>307</v>
      </c>
      <c r="D34" s="226">
        <v>1</v>
      </c>
    </row>
    <row r="35" spans="2:4">
      <c r="B35" s="245" t="s">
        <v>340</v>
      </c>
      <c r="C35" s="247" t="s">
        <v>307</v>
      </c>
      <c r="D35" s="238">
        <v>0</v>
      </c>
    </row>
    <row r="36" spans="2:4">
      <c r="B36" s="251" t="s">
        <v>341</v>
      </c>
      <c r="C36" s="252" t="s">
        <v>342</v>
      </c>
      <c r="D36" s="253">
        <v>25</v>
      </c>
    </row>
    <row r="37" spans="2:4">
      <c r="B37" s="245" t="s">
        <v>343</v>
      </c>
      <c r="C37" s="247" t="s">
        <v>342</v>
      </c>
      <c r="D37" s="254">
        <v>25</v>
      </c>
    </row>
    <row r="38" spans="2:4">
      <c r="B38" s="251" t="s">
        <v>344</v>
      </c>
      <c r="C38" s="252" t="s">
        <v>307</v>
      </c>
      <c r="D38" s="227">
        <v>0.14699999999999999</v>
      </c>
    </row>
    <row r="39" spans="2:4">
      <c r="B39" s="251" t="s">
        <v>493</v>
      </c>
      <c r="C39" s="252" t="s">
        <v>307</v>
      </c>
      <c r="D39" s="227">
        <f>0.0075</f>
        <v>7.4999999999999997E-3</v>
      </c>
    </row>
    <row r="40" spans="2:4">
      <c r="B40" s="251" t="s">
        <v>346</v>
      </c>
      <c r="C40" s="252" t="s">
        <v>307</v>
      </c>
      <c r="D40" s="227">
        <v>0.12</v>
      </c>
    </row>
    <row r="41" spans="2:4">
      <c r="B41" s="245" t="s">
        <v>104</v>
      </c>
      <c r="C41" s="247" t="s">
        <v>307</v>
      </c>
      <c r="D41" s="377">
        <v>0.2</v>
      </c>
    </row>
    <row r="43" spans="2:4" ht="13.5" thickBot="1">
      <c r="B43" s="890" t="s">
        <v>350</v>
      </c>
      <c r="C43" s="890"/>
      <c r="D43" s="890"/>
    </row>
    <row r="44" spans="2:4" ht="12.95" thickTop="1">
      <c r="B44" s="217" t="s">
        <v>351</v>
      </c>
      <c r="C44" s="255">
        <f>D99</f>
        <v>916048.77058307687</v>
      </c>
      <c r="D44" s="225" t="s">
        <v>331</v>
      </c>
    </row>
    <row r="45" spans="2:4">
      <c r="B45" s="217" t="s">
        <v>352</v>
      </c>
      <c r="C45" s="255">
        <f>SUM(D82:AB82)</f>
        <v>55557815.886442319</v>
      </c>
      <c r="D45" s="225" t="s">
        <v>331</v>
      </c>
    </row>
    <row r="46" spans="2:4" ht="13.5" thickBot="1">
      <c r="B46" s="256" t="s">
        <v>97</v>
      </c>
      <c r="C46" s="257">
        <f>C45+C44</f>
        <v>56473864.657025397</v>
      </c>
      <c r="D46" s="258" t="s">
        <v>331</v>
      </c>
    </row>
    <row r="47" spans="2:4">
      <c r="B47" s="217" t="s">
        <v>353</v>
      </c>
      <c r="C47" s="255">
        <f>D123</f>
        <v>76537096.352000237</v>
      </c>
      <c r="D47" s="225" t="s">
        <v>331</v>
      </c>
    </row>
    <row r="48" spans="2:4">
      <c r="B48" s="217" t="s">
        <v>354</v>
      </c>
      <c r="C48" s="255">
        <f>D129</f>
        <v>0</v>
      </c>
      <c r="D48" s="225" t="s">
        <v>331</v>
      </c>
    </row>
    <row r="49" spans="2:4" ht="13.5" thickBot="1">
      <c r="B49" s="256" t="s">
        <v>355</v>
      </c>
      <c r="C49" s="257">
        <f>C46-C47-C48</f>
        <v>-20063231.69497484</v>
      </c>
      <c r="D49" s="258" t="s">
        <v>331</v>
      </c>
    </row>
    <row r="51" spans="2:4" ht="13.5" thickBot="1">
      <c r="B51" s="890" t="s">
        <v>356</v>
      </c>
      <c r="C51" s="890"/>
      <c r="D51" s="890"/>
    </row>
    <row r="52" spans="2:4" ht="12.95" thickTop="1">
      <c r="B52" s="217" t="s">
        <v>351</v>
      </c>
      <c r="C52" s="504">
        <f>C44/D79</f>
        <v>4.8792315152523265E-4</v>
      </c>
      <c r="D52" s="225" t="s">
        <v>331</v>
      </c>
    </row>
    <row r="53" spans="2:4">
      <c r="B53" s="217" t="s">
        <v>352</v>
      </c>
      <c r="C53" s="255">
        <f>C45/D79</f>
        <v>2.9592250423432168E-2</v>
      </c>
      <c r="D53" s="225" t="s">
        <v>331</v>
      </c>
    </row>
    <row r="54" spans="2:4" ht="13.5" thickBot="1">
      <c r="B54" s="256" t="s">
        <v>97</v>
      </c>
      <c r="C54" s="257">
        <f>C53+C52</f>
        <v>3.0080173574957399E-2</v>
      </c>
      <c r="D54" s="258" t="s">
        <v>331</v>
      </c>
    </row>
    <row r="55" spans="2:4">
      <c r="B55" s="217" t="s">
        <v>353</v>
      </c>
      <c r="C55" s="255">
        <f>C47/D79</f>
        <v>4.0766629965441975E-2</v>
      </c>
      <c r="D55" s="225" t="s">
        <v>331</v>
      </c>
    </row>
    <row r="56" spans="2:4">
      <c r="B56" s="217" t="s">
        <v>354</v>
      </c>
      <c r="C56" s="255">
        <f>C48/D79</f>
        <v>0</v>
      </c>
      <c r="D56" s="225" t="s">
        <v>331</v>
      </c>
    </row>
    <row r="57" spans="2:4" ht="13.5" thickBot="1">
      <c r="B57" s="256" t="s">
        <v>355</v>
      </c>
      <c r="C57" s="257">
        <f>C54-C55-C56</f>
        <v>-1.0686456390484576E-2</v>
      </c>
      <c r="D57" s="258" t="s">
        <v>331</v>
      </c>
    </row>
    <row r="59" spans="2:4" ht="12.95">
      <c r="B59" s="887" t="s">
        <v>357</v>
      </c>
      <c r="C59" s="888"/>
      <c r="D59" s="889"/>
    </row>
    <row r="60" spans="2:4" ht="12.95">
      <c r="B60" s="242" t="s">
        <v>358</v>
      </c>
      <c r="C60" s="259" t="s">
        <v>359</v>
      </c>
      <c r="D60" s="231">
        <f>SUM(D109:AM109)/SUM(D108:AM108)</f>
        <v>4.1747644019326388E-2</v>
      </c>
    </row>
    <row r="61" spans="2:4" ht="12.95">
      <c r="B61" s="242" t="s">
        <v>360</v>
      </c>
      <c r="C61" s="259" t="s">
        <v>359</v>
      </c>
      <c r="D61" s="231">
        <f>SUM(D110:AD110)/SUM(D108:AD108)</f>
        <v>4.1747644019326388E-2</v>
      </c>
    </row>
    <row r="62" spans="2:4" ht="12.95">
      <c r="B62" s="242" t="s">
        <v>358</v>
      </c>
      <c r="C62" s="259" t="s">
        <v>361</v>
      </c>
      <c r="D62" s="260">
        <f>D60/$C$31</f>
        <v>11.596567783146218</v>
      </c>
    </row>
    <row r="63" spans="2:4" ht="12.95">
      <c r="B63" s="242" t="s">
        <v>362</v>
      </c>
      <c r="C63" s="259" t="s">
        <v>361</v>
      </c>
      <c r="D63" s="260">
        <f>D61/C31</f>
        <v>11.596567783146218</v>
      </c>
    </row>
    <row r="65" spans="1:39" ht="13.5" thickBot="1">
      <c r="B65" s="261" t="s">
        <v>363</v>
      </c>
      <c r="C65" s="262" t="s">
        <v>364</v>
      </c>
      <c r="D65" s="261"/>
    </row>
    <row r="66" spans="1:39" ht="12.95" thickTop="1">
      <c r="B66" s="263" t="s">
        <v>365</v>
      </c>
      <c r="C66" s="225" t="s">
        <v>331</v>
      </c>
      <c r="D66" s="264">
        <f>(D17-D60)*SUM(D78:AB78)</f>
        <v>71816685.800755963</v>
      </c>
    </row>
    <row r="67" spans="1:39">
      <c r="B67" s="263" t="s">
        <v>366</v>
      </c>
      <c r="C67" s="225" t="s">
        <v>331</v>
      </c>
      <c r="D67" s="264">
        <f>(D18-D60)*SUM(D78:AB78)</f>
        <v>353433401.78959674</v>
      </c>
    </row>
    <row r="68" spans="1:39">
      <c r="B68" s="263" t="s">
        <v>367</v>
      </c>
      <c r="C68" s="225" t="s">
        <v>368</v>
      </c>
      <c r="D68" s="265">
        <f>D22*SUM(D78:AB78)</f>
        <v>30039116.372143012</v>
      </c>
    </row>
    <row r="69" spans="1:39">
      <c r="B69" s="263" t="s">
        <v>369</v>
      </c>
      <c r="C69" s="225" t="s">
        <v>368</v>
      </c>
      <c r="D69" s="265">
        <f>D23*SUM(D78:AB78)</f>
        <v>0</v>
      </c>
    </row>
    <row r="71" spans="1:39">
      <c r="B71" s="217" t="s">
        <v>370</v>
      </c>
      <c r="C71" s="225" t="s">
        <v>371</v>
      </c>
      <c r="D71" s="265">
        <f>SUM(D78:AB78)</f>
        <v>1877444773.2589381</v>
      </c>
    </row>
    <row r="72" spans="1:39">
      <c r="B72" s="217" t="s">
        <v>372</v>
      </c>
      <c r="C72" s="266" t="s">
        <v>373</v>
      </c>
      <c r="D72" s="267">
        <f>D118</f>
        <v>0</v>
      </c>
    </row>
    <row r="75" spans="1:39" ht="12.95">
      <c r="B75" s="268" t="s">
        <v>67</v>
      </c>
      <c r="C75" s="269"/>
      <c r="D75" s="270" t="s">
        <v>374</v>
      </c>
      <c r="E75" s="270" t="s">
        <v>375</v>
      </c>
      <c r="F75" s="270" t="s">
        <v>376</v>
      </c>
      <c r="G75" s="270" t="s">
        <v>377</v>
      </c>
      <c r="H75" s="270" t="s">
        <v>378</v>
      </c>
      <c r="I75" s="270" t="s">
        <v>379</v>
      </c>
      <c r="J75" s="270" t="s">
        <v>380</v>
      </c>
      <c r="K75" s="270" t="s">
        <v>381</v>
      </c>
      <c r="L75" s="270" t="s">
        <v>382</v>
      </c>
      <c r="M75" s="270" t="s">
        <v>383</v>
      </c>
      <c r="N75" s="270" t="s">
        <v>384</v>
      </c>
      <c r="O75" s="270" t="s">
        <v>385</v>
      </c>
      <c r="P75" s="270" t="s">
        <v>386</v>
      </c>
      <c r="Q75" s="270" t="s">
        <v>387</v>
      </c>
      <c r="R75" s="270" t="s">
        <v>388</v>
      </c>
      <c r="S75" s="270" t="s">
        <v>389</v>
      </c>
      <c r="T75" s="270" t="s">
        <v>390</v>
      </c>
      <c r="U75" s="270" t="s">
        <v>391</v>
      </c>
      <c r="V75" s="270" t="s">
        <v>392</v>
      </c>
      <c r="W75" s="270" t="s">
        <v>393</v>
      </c>
      <c r="X75" s="270" t="s">
        <v>394</v>
      </c>
      <c r="Y75" s="270" t="s">
        <v>395</v>
      </c>
      <c r="Z75" s="270" t="s">
        <v>396</v>
      </c>
      <c r="AA75" s="270" t="s">
        <v>397</v>
      </c>
      <c r="AB75" s="270" t="s">
        <v>398</v>
      </c>
      <c r="AC75" s="270" t="s">
        <v>399</v>
      </c>
      <c r="AD75" s="270" t="s">
        <v>400</v>
      </c>
      <c r="AE75" s="270" t="s">
        <v>401</v>
      </c>
      <c r="AF75" s="270" t="s">
        <v>402</v>
      </c>
      <c r="AG75" s="270" t="s">
        <v>403</v>
      </c>
      <c r="AH75" s="270" t="s">
        <v>404</v>
      </c>
      <c r="AI75" s="270" t="s">
        <v>405</v>
      </c>
      <c r="AJ75" s="270" t="s">
        <v>406</v>
      </c>
      <c r="AK75" s="270" t="s">
        <v>407</v>
      </c>
      <c r="AL75" s="270" t="s">
        <v>408</v>
      </c>
      <c r="AM75" s="270" t="s">
        <v>409</v>
      </c>
    </row>
    <row r="76" spans="1:39">
      <c r="B76" s="271" t="s">
        <v>410</v>
      </c>
      <c r="C76" s="272"/>
      <c r="D76" s="273">
        <v>0</v>
      </c>
      <c r="E76" s="273">
        <v>1</v>
      </c>
      <c r="F76" s="273">
        <v>2</v>
      </c>
      <c r="G76" s="273">
        <v>3</v>
      </c>
      <c r="H76" s="273">
        <v>4</v>
      </c>
      <c r="I76" s="273">
        <v>5</v>
      </c>
      <c r="J76" s="273">
        <v>6</v>
      </c>
      <c r="K76" s="273">
        <v>7</v>
      </c>
      <c r="L76" s="273">
        <v>8</v>
      </c>
      <c r="M76" s="273">
        <v>9</v>
      </c>
      <c r="N76" s="273">
        <v>10</v>
      </c>
      <c r="O76" s="273">
        <v>11</v>
      </c>
      <c r="P76" s="273">
        <v>12</v>
      </c>
      <c r="Q76" s="273">
        <v>13</v>
      </c>
      <c r="R76" s="273">
        <v>14</v>
      </c>
      <c r="S76" s="273">
        <v>15</v>
      </c>
      <c r="T76" s="273">
        <v>16</v>
      </c>
      <c r="U76" s="273">
        <v>17</v>
      </c>
      <c r="V76" s="273">
        <v>18</v>
      </c>
      <c r="W76" s="273">
        <v>19</v>
      </c>
      <c r="X76" s="273">
        <v>20</v>
      </c>
      <c r="Y76" s="273">
        <v>21</v>
      </c>
      <c r="Z76" s="273">
        <v>22</v>
      </c>
      <c r="AA76" s="273">
        <v>23</v>
      </c>
      <c r="AB76" s="273">
        <v>24</v>
      </c>
      <c r="AC76" s="273">
        <v>25</v>
      </c>
      <c r="AD76" s="273">
        <v>26</v>
      </c>
      <c r="AE76" s="273">
        <v>27</v>
      </c>
      <c r="AF76" s="273">
        <v>28</v>
      </c>
      <c r="AG76" s="273">
        <v>29</v>
      </c>
      <c r="AH76" s="273">
        <v>30</v>
      </c>
      <c r="AI76" s="273">
        <v>31</v>
      </c>
      <c r="AJ76" s="273">
        <v>32</v>
      </c>
      <c r="AK76" s="273">
        <v>33</v>
      </c>
      <c r="AL76" s="273">
        <v>34</v>
      </c>
      <c r="AM76" s="274">
        <v>35</v>
      </c>
    </row>
    <row r="77" spans="1:39" ht="18" customHeight="1">
      <c r="B77" s="232"/>
      <c r="C77" s="275"/>
      <c r="D77" s="275"/>
    </row>
    <row r="78" spans="1:39">
      <c r="B78" s="276" t="s">
        <v>411</v>
      </c>
      <c r="C78" s="259" t="s">
        <v>412</v>
      </c>
      <c r="D78" s="277">
        <f>+D19+D20</f>
        <v>75097790.930357546</v>
      </c>
      <c r="E78" s="246">
        <f t="shared" ref="E78:AB78" si="0">$D$78</f>
        <v>75097790.930357546</v>
      </c>
      <c r="F78" s="246">
        <f t="shared" si="0"/>
        <v>75097790.930357546</v>
      </c>
      <c r="G78" s="246">
        <f t="shared" si="0"/>
        <v>75097790.930357546</v>
      </c>
      <c r="H78" s="246">
        <f t="shared" si="0"/>
        <v>75097790.930357546</v>
      </c>
      <c r="I78" s="246">
        <f t="shared" si="0"/>
        <v>75097790.930357546</v>
      </c>
      <c r="J78" s="246">
        <f t="shared" si="0"/>
        <v>75097790.930357546</v>
      </c>
      <c r="K78" s="246">
        <f t="shared" si="0"/>
        <v>75097790.930357546</v>
      </c>
      <c r="L78" s="246">
        <f t="shared" si="0"/>
        <v>75097790.930357546</v>
      </c>
      <c r="M78" s="246">
        <f t="shared" si="0"/>
        <v>75097790.930357546</v>
      </c>
      <c r="N78" s="246">
        <f t="shared" si="0"/>
        <v>75097790.930357546</v>
      </c>
      <c r="O78" s="246">
        <f t="shared" si="0"/>
        <v>75097790.930357546</v>
      </c>
      <c r="P78" s="246">
        <f t="shared" si="0"/>
        <v>75097790.930357546</v>
      </c>
      <c r="Q78" s="246">
        <f t="shared" si="0"/>
        <v>75097790.930357546</v>
      </c>
      <c r="R78" s="246">
        <f t="shared" si="0"/>
        <v>75097790.930357546</v>
      </c>
      <c r="S78" s="246">
        <f t="shared" si="0"/>
        <v>75097790.930357546</v>
      </c>
      <c r="T78" s="246">
        <f t="shared" si="0"/>
        <v>75097790.930357546</v>
      </c>
      <c r="U78" s="246">
        <f t="shared" si="0"/>
        <v>75097790.930357546</v>
      </c>
      <c r="V78" s="246">
        <f t="shared" si="0"/>
        <v>75097790.930357546</v>
      </c>
      <c r="W78" s="246">
        <f t="shared" si="0"/>
        <v>75097790.930357546</v>
      </c>
      <c r="X78" s="246">
        <f t="shared" si="0"/>
        <v>75097790.930357546</v>
      </c>
      <c r="Y78" s="246">
        <f t="shared" si="0"/>
        <v>75097790.930357546</v>
      </c>
      <c r="Z78" s="246">
        <f t="shared" si="0"/>
        <v>75097790.930357546</v>
      </c>
      <c r="AA78" s="246">
        <f t="shared" si="0"/>
        <v>75097790.930357546</v>
      </c>
      <c r="AB78" s="246">
        <f t="shared" si="0"/>
        <v>75097790.930357546</v>
      </c>
      <c r="AC78" s="246">
        <v>61700912.66573444</v>
      </c>
      <c r="AD78" s="246">
        <v>61700912.66573444</v>
      </c>
      <c r="AE78" s="246">
        <f>IF(AE76&lt;=$D$37,AD78*(1-'EthSolarPV Financial Analysis '!$D$24),0)</f>
        <v>0</v>
      </c>
      <c r="AF78" s="246">
        <f>IF(AF76&lt;=$D$37,AE78*(1-'EthSolarPV Financial Analysis '!$D$24),0)</f>
        <v>0</v>
      </c>
      <c r="AG78" s="246">
        <f>IF(AG76&lt;=$D$37,AF78*(1-'EthSolarPV Financial Analysis '!$D$24),0)</f>
        <v>0</v>
      </c>
      <c r="AH78" s="246">
        <f>IF(AH76&lt;=$D$37,AG78*(1-'EthSolarPV Financial Analysis '!$D$24),0)</f>
        <v>0</v>
      </c>
      <c r="AI78" s="246">
        <f>IF(AI76&lt;=$D$37,AH78*(1-'EthSolarPV Financial Analysis '!$D$24),0)</f>
        <v>0</v>
      </c>
      <c r="AJ78" s="246">
        <f>IF(AJ76&lt;=$D$37,AI78*(1-'EthSolarPV Financial Analysis '!$D$24),0)</f>
        <v>0</v>
      </c>
      <c r="AK78" s="246">
        <f>IF(AK76&lt;=$D$37,AJ78*(1-'EthSolarPV Financial Analysis '!$D$24),0)</f>
        <v>0</v>
      </c>
      <c r="AL78" s="246">
        <f>IF(AL76&lt;=$D$37,AK78*(1-'EthSolarPV Financial Analysis '!$D$24),0)</f>
        <v>0</v>
      </c>
      <c r="AM78" s="278">
        <f>IF(AM76&lt;=$D$37,AL78*(1-'EthSolarPV Financial Analysis '!$D$24),0)</f>
        <v>0</v>
      </c>
    </row>
    <row r="79" spans="1:39" s="281" customFormat="1">
      <c r="A79" s="215"/>
      <c r="B79" s="279" t="s">
        <v>413</v>
      </c>
      <c r="C79" s="259" t="s">
        <v>371</v>
      </c>
      <c r="D79" s="278">
        <f>SUM(D78:AB78)</f>
        <v>1877444773.2589381</v>
      </c>
      <c r="E79" s="280"/>
      <c r="F79" s="280"/>
      <c r="G79" s="280"/>
      <c r="H79" s="280"/>
      <c r="I79" s="280"/>
      <c r="J79" s="280"/>
      <c r="K79" s="280"/>
      <c r="L79" s="280"/>
      <c r="M79" s="280"/>
      <c r="N79" s="280"/>
      <c r="O79" s="280"/>
      <c r="P79" s="280"/>
      <c r="Q79" s="280"/>
      <c r="R79" s="280"/>
      <c r="S79" s="280"/>
      <c r="T79" s="280"/>
      <c r="U79" s="280"/>
      <c r="V79" s="280"/>
      <c r="W79" s="280"/>
      <c r="X79" s="280"/>
      <c r="Y79" s="280"/>
      <c r="Z79" s="280"/>
      <c r="AA79" s="280"/>
      <c r="AB79" s="280"/>
      <c r="AC79" s="280"/>
      <c r="AD79" s="280"/>
      <c r="AE79" s="280"/>
      <c r="AF79" s="280"/>
      <c r="AG79" s="280"/>
      <c r="AH79" s="280"/>
      <c r="AI79" s="280"/>
      <c r="AJ79" s="280"/>
      <c r="AK79" s="280"/>
      <c r="AL79" s="280"/>
      <c r="AM79" s="280"/>
    </row>
    <row r="80" spans="1:39">
      <c r="B80" s="232"/>
      <c r="C80" s="275"/>
      <c r="D80" s="282"/>
      <c r="E80" s="282"/>
      <c r="F80" s="282"/>
      <c r="G80" s="282"/>
      <c r="H80" s="282"/>
      <c r="I80" s="282"/>
      <c r="J80" s="282"/>
      <c r="K80" s="282"/>
      <c r="L80" s="282"/>
      <c r="M80" s="282"/>
      <c r="N80" s="282"/>
      <c r="O80" s="282"/>
      <c r="P80" s="282"/>
      <c r="Q80" s="282"/>
      <c r="R80" s="282"/>
      <c r="S80" s="282"/>
      <c r="T80" s="282"/>
      <c r="U80" s="282"/>
      <c r="V80" s="282"/>
      <c r="W80" s="282"/>
      <c r="X80" s="282"/>
      <c r="Y80" s="282"/>
      <c r="Z80" s="282"/>
      <c r="AA80" s="282"/>
      <c r="AB80" s="282"/>
      <c r="AC80" s="282"/>
      <c r="AD80" s="282"/>
      <c r="AE80" s="282"/>
      <c r="AF80" s="282"/>
      <c r="AG80" s="282"/>
      <c r="AH80" s="282"/>
      <c r="AI80" s="282"/>
      <c r="AJ80" s="282"/>
      <c r="AK80" s="282"/>
      <c r="AL80" s="282"/>
      <c r="AM80" s="282"/>
    </row>
    <row r="81" spans="2:39" ht="12.95">
      <c r="B81" s="283" t="s">
        <v>414</v>
      </c>
      <c r="C81" s="284" t="s">
        <v>364</v>
      </c>
      <c r="D81" s="275"/>
      <c r="E81" s="285"/>
      <c r="F81" s="285"/>
      <c r="G81" s="285"/>
      <c r="H81" s="285"/>
      <c r="I81" s="285"/>
      <c r="J81" s="285"/>
      <c r="K81" s="285"/>
      <c r="L81" s="285"/>
      <c r="M81" s="285"/>
      <c r="N81" s="285"/>
      <c r="O81" s="285"/>
      <c r="P81" s="285"/>
      <c r="Q81" s="285"/>
      <c r="R81" s="285"/>
      <c r="S81" s="285"/>
      <c r="T81" s="285"/>
      <c r="U81" s="285"/>
      <c r="V81" s="285"/>
      <c r="W81" s="285"/>
      <c r="X81" s="285"/>
      <c r="Y81" s="285"/>
      <c r="Z81" s="285"/>
      <c r="AA81" s="285"/>
      <c r="AB81" s="285"/>
      <c r="AC81" s="285"/>
      <c r="AD81" s="285"/>
      <c r="AE81" s="285"/>
      <c r="AF81" s="285"/>
      <c r="AG81" s="285"/>
      <c r="AH81" s="285"/>
      <c r="AI81" s="285"/>
      <c r="AJ81" s="285"/>
      <c r="AK81" s="285"/>
      <c r="AL81" s="285"/>
      <c r="AM81" s="285"/>
    </row>
    <row r="82" spans="2:39">
      <c r="B82" s="286" t="s">
        <v>494</v>
      </c>
      <c r="C82" s="287" t="s">
        <v>417</v>
      </c>
      <c r="D82" s="288">
        <f>D9</f>
        <v>2222312.6354576922</v>
      </c>
      <c r="E82" s="289">
        <f t="shared" ref="E82:AB82" si="1">$D$82</f>
        <v>2222312.6354576922</v>
      </c>
      <c r="F82" s="289">
        <f t="shared" si="1"/>
        <v>2222312.6354576922</v>
      </c>
      <c r="G82" s="289">
        <f t="shared" si="1"/>
        <v>2222312.6354576922</v>
      </c>
      <c r="H82" s="289">
        <f t="shared" si="1"/>
        <v>2222312.6354576922</v>
      </c>
      <c r="I82" s="289">
        <f t="shared" si="1"/>
        <v>2222312.6354576922</v>
      </c>
      <c r="J82" s="289">
        <f t="shared" si="1"/>
        <v>2222312.6354576922</v>
      </c>
      <c r="K82" s="289">
        <f t="shared" si="1"/>
        <v>2222312.6354576922</v>
      </c>
      <c r="L82" s="289">
        <f t="shared" si="1"/>
        <v>2222312.6354576922</v>
      </c>
      <c r="M82" s="289">
        <f t="shared" si="1"/>
        <v>2222312.6354576922</v>
      </c>
      <c r="N82" s="289">
        <f t="shared" si="1"/>
        <v>2222312.6354576922</v>
      </c>
      <c r="O82" s="289">
        <f t="shared" si="1"/>
        <v>2222312.6354576922</v>
      </c>
      <c r="P82" s="289">
        <f t="shared" si="1"/>
        <v>2222312.6354576922</v>
      </c>
      <c r="Q82" s="289">
        <f t="shared" si="1"/>
        <v>2222312.6354576922</v>
      </c>
      <c r="R82" s="289">
        <f t="shared" si="1"/>
        <v>2222312.6354576922</v>
      </c>
      <c r="S82" s="289">
        <f t="shared" si="1"/>
        <v>2222312.6354576922</v>
      </c>
      <c r="T82" s="289">
        <f t="shared" si="1"/>
        <v>2222312.6354576922</v>
      </c>
      <c r="U82" s="289">
        <f t="shared" si="1"/>
        <v>2222312.6354576922</v>
      </c>
      <c r="V82" s="289">
        <f t="shared" si="1"/>
        <v>2222312.6354576922</v>
      </c>
      <c r="W82" s="289">
        <f t="shared" si="1"/>
        <v>2222312.6354576922</v>
      </c>
      <c r="X82" s="289">
        <f t="shared" si="1"/>
        <v>2222312.6354576922</v>
      </c>
      <c r="Y82" s="289">
        <f t="shared" si="1"/>
        <v>2222312.6354576922</v>
      </c>
      <c r="Z82" s="289">
        <f t="shared" si="1"/>
        <v>2222312.6354576922</v>
      </c>
      <c r="AA82" s="289">
        <f t="shared" si="1"/>
        <v>2222312.6354576922</v>
      </c>
      <c r="AB82" s="289">
        <f t="shared" si="1"/>
        <v>2222312.6354576922</v>
      </c>
      <c r="AC82" s="289">
        <v>1990816.9347549786</v>
      </c>
      <c r="AD82" s="289">
        <v>1990816.9347549786</v>
      </c>
      <c r="AE82" s="289">
        <f>IF(AE76&lt;=$D$37,$D$9*$D$4*(1+#REF!)^(AE76-1),0)</f>
        <v>0</v>
      </c>
      <c r="AF82" s="289">
        <f>IF(AF76&lt;=$D$37,$D$9*$D$4*(1+#REF!)^(AF76-1),0)</f>
        <v>0</v>
      </c>
      <c r="AG82" s="289">
        <f>IF(AG76&lt;=$D$37,$D$9*$D$4*(1+#REF!)^(AG76-1),0)</f>
        <v>0</v>
      </c>
      <c r="AH82" s="289">
        <f>IF(AH76&lt;=$D$37,$D$9*$D$4*(1+#REF!)^(AH76-1),0)</f>
        <v>0</v>
      </c>
      <c r="AI82" s="289">
        <f>IF(AI76&lt;=$D$37,$D$9*$D$4*(1+#REF!)^(AI76-1),0)</f>
        <v>0</v>
      </c>
      <c r="AJ82" s="289">
        <f>IF(AJ76&lt;=$D$37,$D$9*$D$4*(1+#REF!)^(AJ76-1),0)</f>
        <v>0</v>
      </c>
      <c r="AK82" s="289">
        <f>IF(AK76&lt;=$D$37,$D$9*$D$4*(1+#REF!)^(AK76-1),0)</f>
        <v>0</v>
      </c>
      <c r="AL82" s="289">
        <f>IF(AL76&lt;=$D$37,$D$9*$D$4*(1+#REF!)^(AL76-1),0)</f>
        <v>0</v>
      </c>
      <c r="AM82" s="290">
        <f>IF(AM76&lt;=$D$37,$D$9*$D$4*(1+#REF!)^(AM76-1),0)</f>
        <v>0</v>
      </c>
    </row>
    <row r="83" spans="2:39">
      <c r="B83" s="294" t="s">
        <v>419</v>
      </c>
      <c r="C83" s="295" t="s">
        <v>417</v>
      </c>
      <c r="D83" s="296">
        <f>0</f>
        <v>0</v>
      </c>
      <c r="E83" s="297">
        <f>0</f>
        <v>0</v>
      </c>
      <c r="F83" s="297">
        <f>0</f>
        <v>0</v>
      </c>
      <c r="G83" s="297">
        <f>0</f>
        <v>0</v>
      </c>
      <c r="H83" s="297">
        <f>0</f>
        <v>0</v>
      </c>
      <c r="I83" s="297">
        <f>0</f>
        <v>0</v>
      </c>
      <c r="J83" s="297">
        <f>0</f>
        <v>0</v>
      </c>
      <c r="K83" s="297">
        <f>0</f>
        <v>0</v>
      </c>
      <c r="L83" s="297">
        <f>0</f>
        <v>0</v>
      </c>
      <c r="M83" s="297">
        <f>0</f>
        <v>0</v>
      </c>
      <c r="N83" s="297">
        <f>0</f>
        <v>0</v>
      </c>
      <c r="O83" s="297">
        <f>0</f>
        <v>0</v>
      </c>
      <c r="P83" s="297">
        <f>0</f>
        <v>0</v>
      </c>
      <c r="Q83" s="297">
        <f>0</f>
        <v>0</v>
      </c>
      <c r="R83" s="297">
        <f>0</f>
        <v>0</v>
      </c>
      <c r="S83" s="297">
        <f>0</f>
        <v>0</v>
      </c>
      <c r="T83" s="297">
        <f>0</f>
        <v>0</v>
      </c>
      <c r="U83" s="297">
        <f>0</f>
        <v>0</v>
      </c>
      <c r="V83" s="297">
        <f>0</f>
        <v>0</v>
      </c>
      <c r="W83" s="297">
        <f>0</f>
        <v>0</v>
      </c>
      <c r="X83" s="297">
        <f>0</f>
        <v>0</v>
      </c>
      <c r="Y83" s="297">
        <f>0</f>
        <v>0</v>
      </c>
      <c r="Z83" s="297">
        <f>0</f>
        <v>0</v>
      </c>
      <c r="AA83" s="297">
        <f>0</f>
        <v>0</v>
      </c>
      <c r="AB83" s="297">
        <f>0</f>
        <v>0</v>
      </c>
      <c r="AC83" s="297">
        <f>0</f>
        <v>0</v>
      </c>
      <c r="AD83" s="297">
        <f>0</f>
        <v>0</v>
      </c>
      <c r="AE83" s="297">
        <f>0</f>
        <v>0</v>
      </c>
      <c r="AF83" s="297">
        <f>0</f>
        <v>0</v>
      </c>
      <c r="AG83" s="297">
        <f>0</f>
        <v>0</v>
      </c>
      <c r="AH83" s="297">
        <f>0</f>
        <v>0</v>
      </c>
      <c r="AI83" s="297">
        <f>0</f>
        <v>0</v>
      </c>
      <c r="AJ83" s="297">
        <f>0</f>
        <v>0</v>
      </c>
      <c r="AK83" s="297">
        <f>0</f>
        <v>0</v>
      </c>
      <c r="AL83" s="297">
        <f>0</f>
        <v>0</v>
      </c>
      <c r="AM83" s="298">
        <f>0</f>
        <v>0</v>
      </c>
    </row>
    <row r="84" spans="2:39" ht="12.95">
      <c r="B84" s="299" t="s">
        <v>420</v>
      </c>
      <c r="C84" s="300" t="s">
        <v>417</v>
      </c>
      <c r="D84" s="301">
        <f t="shared" ref="D84:AM84" si="2">IF(D76&lt;=$D$37,SUM(D82:D82),0)</f>
        <v>2222312.6354576922</v>
      </c>
      <c r="E84" s="302">
        <f t="shared" si="2"/>
        <v>2222312.6354576922</v>
      </c>
      <c r="F84" s="302">
        <f t="shared" si="2"/>
        <v>2222312.6354576922</v>
      </c>
      <c r="G84" s="302">
        <f t="shared" si="2"/>
        <v>2222312.6354576922</v>
      </c>
      <c r="H84" s="302">
        <f t="shared" si="2"/>
        <v>2222312.6354576922</v>
      </c>
      <c r="I84" s="302">
        <f t="shared" si="2"/>
        <v>2222312.6354576922</v>
      </c>
      <c r="J84" s="302">
        <f t="shared" si="2"/>
        <v>2222312.6354576922</v>
      </c>
      <c r="K84" s="302">
        <f t="shared" si="2"/>
        <v>2222312.6354576922</v>
      </c>
      <c r="L84" s="302">
        <f t="shared" si="2"/>
        <v>2222312.6354576922</v>
      </c>
      <c r="M84" s="302">
        <f t="shared" si="2"/>
        <v>2222312.6354576922</v>
      </c>
      <c r="N84" s="302">
        <f t="shared" si="2"/>
        <v>2222312.6354576922</v>
      </c>
      <c r="O84" s="302">
        <f t="shared" si="2"/>
        <v>2222312.6354576922</v>
      </c>
      <c r="P84" s="302">
        <f t="shared" si="2"/>
        <v>2222312.6354576922</v>
      </c>
      <c r="Q84" s="302">
        <f t="shared" si="2"/>
        <v>2222312.6354576922</v>
      </c>
      <c r="R84" s="302">
        <f t="shared" si="2"/>
        <v>2222312.6354576922</v>
      </c>
      <c r="S84" s="302">
        <f t="shared" si="2"/>
        <v>2222312.6354576922</v>
      </c>
      <c r="T84" s="302">
        <f t="shared" si="2"/>
        <v>2222312.6354576922</v>
      </c>
      <c r="U84" s="302">
        <f t="shared" si="2"/>
        <v>2222312.6354576922</v>
      </c>
      <c r="V84" s="302">
        <f t="shared" si="2"/>
        <v>2222312.6354576922</v>
      </c>
      <c r="W84" s="302">
        <f t="shared" si="2"/>
        <v>2222312.6354576922</v>
      </c>
      <c r="X84" s="302">
        <f t="shared" si="2"/>
        <v>2222312.6354576922</v>
      </c>
      <c r="Y84" s="302">
        <f t="shared" si="2"/>
        <v>2222312.6354576922</v>
      </c>
      <c r="Z84" s="302">
        <f t="shared" si="2"/>
        <v>2222312.6354576922</v>
      </c>
      <c r="AA84" s="302">
        <f t="shared" si="2"/>
        <v>2222312.6354576922</v>
      </c>
      <c r="AB84" s="302">
        <f t="shared" si="2"/>
        <v>2222312.6354576922</v>
      </c>
      <c r="AC84" s="302">
        <f t="shared" si="2"/>
        <v>1990816.9347549786</v>
      </c>
      <c r="AD84" s="302">
        <f t="shared" si="2"/>
        <v>0</v>
      </c>
      <c r="AE84" s="302">
        <f t="shared" si="2"/>
        <v>0</v>
      </c>
      <c r="AF84" s="302">
        <f t="shared" si="2"/>
        <v>0</v>
      </c>
      <c r="AG84" s="302">
        <f t="shared" si="2"/>
        <v>0</v>
      </c>
      <c r="AH84" s="302">
        <f t="shared" si="2"/>
        <v>0</v>
      </c>
      <c r="AI84" s="302">
        <f t="shared" si="2"/>
        <v>0</v>
      </c>
      <c r="AJ84" s="302">
        <f t="shared" si="2"/>
        <v>0</v>
      </c>
      <c r="AK84" s="302">
        <f t="shared" si="2"/>
        <v>0</v>
      </c>
      <c r="AL84" s="302">
        <f t="shared" si="2"/>
        <v>0</v>
      </c>
      <c r="AM84" s="303">
        <f t="shared" si="2"/>
        <v>0</v>
      </c>
    </row>
    <row r="85" spans="2:39" ht="12.95">
      <c r="B85" s="233"/>
      <c r="C85" s="304"/>
      <c r="D85" s="304"/>
      <c r="E85" s="305"/>
      <c r="F85" s="305"/>
      <c r="G85" s="305"/>
      <c r="H85" s="305"/>
      <c r="I85" s="305"/>
      <c r="J85" s="305"/>
      <c r="K85" s="305"/>
      <c r="L85" s="305"/>
      <c r="M85" s="305"/>
      <c r="N85" s="305"/>
      <c r="O85" s="305"/>
      <c r="P85" s="305"/>
      <c r="Q85" s="305"/>
      <c r="R85" s="305"/>
      <c r="S85" s="305"/>
      <c r="T85" s="305"/>
      <c r="U85" s="305"/>
      <c r="V85" s="305"/>
      <c r="W85" s="305"/>
      <c r="X85" s="305"/>
      <c r="Y85" s="305"/>
      <c r="Z85" s="305"/>
      <c r="AA85" s="305"/>
      <c r="AB85" s="305"/>
      <c r="AC85" s="305"/>
      <c r="AD85" s="305"/>
      <c r="AE85" s="305"/>
      <c r="AF85" s="305"/>
      <c r="AG85" s="305"/>
      <c r="AH85" s="305"/>
      <c r="AI85" s="305"/>
      <c r="AJ85" s="305"/>
      <c r="AK85" s="305"/>
      <c r="AL85" s="305"/>
      <c r="AM85" s="305"/>
    </row>
    <row r="86" spans="2:39" ht="12.95">
      <c r="B86" s="233"/>
      <c r="C86" s="304"/>
      <c r="D86" s="304"/>
      <c r="E86" s="305"/>
      <c r="F86" s="305"/>
      <c r="G86" s="305"/>
      <c r="H86" s="305"/>
      <c r="I86" s="305"/>
      <c r="J86" s="305"/>
      <c r="K86" s="305"/>
      <c r="L86" s="305"/>
      <c r="M86" s="305"/>
      <c r="N86" s="305"/>
      <c r="O86" s="305"/>
      <c r="P86" s="305"/>
      <c r="Q86" s="305"/>
      <c r="R86" s="305"/>
      <c r="S86" s="305"/>
      <c r="T86" s="305"/>
      <c r="U86" s="305"/>
      <c r="V86" s="305"/>
      <c r="W86" s="305"/>
      <c r="X86" s="305"/>
      <c r="Y86" s="305"/>
      <c r="Z86" s="305"/>
      <c r="AA86" s="305"/>
      <c r="AB86" s="305"/>
      <c r="AC86" s="305"/>
      <c r="AD86" s="305"/>
      <c r="AE86" s="305"/>
      <c r="AF86" s="305"/>
      <c r="AG86" s="305"/>
      <c r="AH86" s="305"/>
      <c r="AI86" s="305"/>
      <c r="AJ86" s="305"/>
      <c r="AK86" s="305"/>
      <c r="AL86" s="305"/>
      <c r="AM86" s="305"/>
    </row>
    <row r="87" spans="2:39" ht="12.95">
      <c r="B87" s="283" t="s">
        <v>421</v>
      </c>
      <c r="C87" s="284" t="s">
        <v>364</v>
      </c>
      <c r="D87" s="304"/>
      <c r="E87" s="305"/>
      <c r="F87" s="305"/>
      <c r="G87" s="305"/>
      <c r="H87" s="305"/>
      <c r="I87" s="305"/>
      <c r="J87" s="305"/>
      <c r="K87" s="305"/>
      <c r="L87" s="305"/>
      <c r="M87" s="305"/>
      <c r="N87" s="305"/>
      <c r="O87" s="305"/>
      <c r="P87" s="305"/>
      <c r="Q87" s="305"/>
      <c r="R87" s="305"/>
      <c r="S87" s="305"/>
      <c r="T87" s="305"/>
      <c r="U87" s="305"/>
      <c r="V87" s="305"/>
      <c r="W87" s="305"/>
      <c r="X87" s="305"/>
      <c r="Y87" s="305"/>
      <c r="Z87" s="305"/>
      <c r="AA87" s="305"/>
      <c r="AB87" s="305"/>
      <c r="AC87" s="305"/>
      <c r="AD87" s="305"/>
      <c r="AE87" s="305"/>
      <c r="AF87" s="305"/>
      <c r="AG87" s="305"/>
      <c r="AH87" s="305"/>
      <c r="AI87" s="305"/>
      <c r="AJ87" s="305"/>
      <c r="AK87" s="305"/>
      <c r="AL87" s="305"/>
      <c r="AM87" s="305"/>
    </row>
    <row r="88" spans="2:39" ht="12.95">
      <c r="B88" s="286" t="s">
        <v>494</v>
      </c>
      <c r="C88" s="287" t="s">
        <v>331</v>
      </c>
      <c r="D88" s="306">
        <f>SUM(D82:AB82)</f>
        <v>55557815.886442319</v>
      </c>
      <c r="E88" s="305"/>
      <c r="F88" s="305"/>
      <c r="G88" s="305"/>
      <c r="H88" s="305"/>
      <c r="I88" s="305"/>
      <c r="J88" s="305"/>
      <c r="K88" s="305"/>
      <c r="L88" s="305"/>
      <c r="M88" s="305"/>
      <c r="N88" s="305"/>
      <c r="O88" s="305"/>
      <c r="P88" s="305"/>
      <c r="Q88" s="305"/>
      <c r="R88" s="305"/>
      <c r="S88" s="305"/>
      <c r="T88" s="305"/>
      <c r="U88" s="305"/>
      <c r="V88" s="305"/>
      <c r="W88" s="305"/>
      <c r="X88" s="305"/>
      <c r="Y88" s="305"/>
      <c r="Z88" s="305"/>
      <c r="AA88" s="305"/>
      <c r="AB88" s="305"/>
      <c r="AC88" s="305"/>
      <c r="AD88" s="305"/>
      <c r="AE88" s="305"/>
      <c r="AF88" s="305"/>
      <c r="AG88" s="305"/>
      <c r="AH88" s="305"/>
      <c r="AI88" s="305"/>
      <c r="AJ88" s="305"/>
      <c r="AK88" s="305"/>
      <c r="AL88" s="305"/>
      <c r="AM88" s="305"/>
    </row>
    <row r="89" spans="2:39" ht="12.95">
      <c r="B89" s="294" t="s">
        <v>481</v>
      </c>
      <c r="C89" s="295" t="s">
        <v>331</v>
      </c>
      <c r="D89" s="307">
        <v>0</v>
      </c>
      <c r="E89" s="305"/>
      <c r="F89" s="305"/>
      <c r="G89" s="305"/>
      <c r="H89" s="305"/>
      <c r="I89" s="305"/>
      <c r="J89" s="305"/>
      <c r="K89" s="305"/>
      <c r="L89" s="305"/>
      <c r="M89" s="305"/>
      <c r="N89" s="305"/>
      <c r="O89" s="305"/>
      <c r="P89" s="305"/>
      <c r="Q89" s="305"/>
      <c r="R89" s="305"/>
      <c r="S89" s="305"/>
      <c r="T89" s="305"/>
      <c r="U89" s="305"/>
      <c r="V89" s="305"/>
      <c r="W89" s="305"/>
      <c r="X89" s="305"/>
      <c r="Y89" s="305"/>
      <c r="Z89" s="305"/>
      <c r="AA89" s="305"/>
      <c r="AB89" s="305"/>
      <c r="AC89" s="305"/>
      <c r="AD89" s="305"/>
      <c r="AE89" s="305"/>
      <c r="AF89" s="305"/>
      <c r="AG89" s="305"/>
      <c r="AH89" s="305"/>
      <c r="AI89" s="305"/>
      <c r="AJ89" s="305"/>
      <c r="AK89" s="305"/>
      <c r="AL89" s="305"/>
      <c r="AM89" s="305"/>
    </row>
    <row r="90" spans="2:39" ht="12.95">
      <c r="B90" s="308" t="s">
        <v>423</v>
      </c>
      <c r="C90" s="300" t="s">
        <v>331</v>
      </c>
      <c r="D90" s="309">
        <f>SUM(D88:D89)</f>
        <v>55557815.886442319</v>
      </c>
      <c r="E90" s="305"/>
      <c r="F90" s="305"/>
      <c r="G90" s="305"/>
      <c r="H90" s="305"/>
      <c r="I90" s="305"/>
      <c r="J90" s="305"/>
      <c r="K90" s="305"/>
      <c r="L90" s="305"/>
      <c r="M90" s="305"/>
      <c r="N90" s="305"/>
      <c r="O90" s="305"/>
      <c r="P90" s="305"/>
      <c r="Q90" s="305"/>
      <c r="R90" s="305"/>
      <c r="S90" s="305"/>
      <c r="T90" s="305"/>
      <c r="U90" s="305"/>
      <c r="V90" s="305"/>
      <c r="W90" s="305"/>
      <c r="X90" s="305"/>
      <c r="Y90" s="305"/>
      <c r="Z90" s="305"/>
      <c r="AA90" s="305"/>
      <c r="AB90" s="305"/>
      <c r="AC90" s="305"/>
      <c r="AD90" s="305"/>
      <c r="AE90" s="305"/>
      <c r="AF90" s="305"/>
      <c r="AG90" s="305"/>
      <c r="AH90" s="305"/>
      <c r="AI90" s="305"/>
      <c r="AJ90" s="305"/>
      <c r="AK90" s="305"/>
      <c r="AL90" s="305"/>
      <c r="AM90" s="305"/>
    </row>
    <row r="91" spans="2:39">
      <c r="B91" s="232"/>
      <c r="C91" s="275"/>
      <c r="D91" s="275"/>
      <c r="E91" s="285"/>
      <c r="F91" s="285"/>
      <c r="G91" s="285"/>
      <c r="H91" s="285"/>
      <c r="I91" s="285"/>
      <c r="J91" s="285"/>
      <c r="K91" s="285"/>
      <c r="L91" s="285"/>
      <c r="M91" s="285"/>
      <c r="N91" s="285"/>
      <c r="O91" s="285"/>
      <c r="P91" s="285"/>
      <c r="Q91" s="285"/>
      <c r="R91" s="285"/>
      <c r="S91" s="285"/>
      <c r="T91" s="285"/>
      <c r="U91" s="285"/>
      <c r="V91" s="285"/>
      <c r="W91" s="285"/>
      <c r="X91" s="285"/>
      <c r="Y91" s="285"/>
      <c r="Z91" s="285"/>
      <c r="AA91" s="285"/>
      <c r="AB91" s="285"/>
      <c r="AC91" s="285"/>
      <c r="AD91" s="285"/>
      <c r="AE91" s="285"/>
      <c r="AF91" s="285"/>
      <c r="AG91" s="285"/>
      <c r="AH91" s="285"/>
      <c r="AI91" s="285"/>
      <c r="AJ91" s="285"/>
      <c r="AK91" s="285"/>
      <c r="AL91" s="285"/>
      <c r="AM91" s="285"/>
    </row>
    <row r="92" spans="2:39" ht="12.95">
      <c r="B92" s="283" t="s">
        <v>424</v>
      </c>
      <c r="C92" s="284" t="s">
        <v>364</v>
      </c>
      <c r="D92" s="310">
        <v>1</v>
      </c>
      <c r="E92" s="273">
        <v>2</v>
      </c>
      <c r="F92" s="273">
        <v>3</v>
      </c>
      <c r="G92" s="273">
        <v>4</v>
      </c>
      <c r="H92" s="273">
        <v>5</v>
      </c>
      <c r="I92" s="273">
        <v>6</v>
      </c>
      <c r="J92" s="273">
        <v>7</v>
      </c>
      <c r="K92" s="273">
        <v>8</v>
      </c>
      <c r="L92" s="273">
        <v>9</v>
      </c>
      <c r="M92" s="311">
        <v>10</v>
      </c>
      <c r="N92" s="311"/>
      <c r="O92" s="311"/>
      <c r="P92" s="311"/>
      <c r="Q92" s="311"/>
      <c r="R92" s="311"/>
      <c r="S92" s="285"/>
      <c r="T92" s="285"/>
      <c r="U92" s="285"/>
      <c r="V92" s="285"/>
      <c r="W92" s="285"/>
      <c r="X92" s="285"/>
      <c r="Y92" s="285"/>
      <c r="Z92" s="285"/>
      <c r="AA92" s="285"/>
      <c r="AB92" s="285"/>
      <c r="AC92" s="285"/>
      <c r="AD92" s="285"/>
      <c r="AE92" s="285"/>
      <c r="AF92" s="285"/>
      <c r="AG92" s="285"/>
      <c r="AH92" s="285"/>
      <c r="AI92" s="285"/>
      <c r="AJ92" s="285"/>
      <c r="AK92" s="285"/>
      <c r="AL92" s="285"/>
      <c r="AM92" s="285"/>
    </row>
    <row r="93" spans="2:39" ht="12.95">
      <c r="B93" s="283" t="s">
        <v>425</v>
      </c>
      <c r="C93" s="312" t="s">
        <v>67</v>
      </c>
      <c r="D93" s="313">
        <v>1</v>
      </c>
      <c r="E93" s="285"/>
      <c r="F93" s="285"/>
      <c r="G93" s="285"/>
      <c r="H93" s="285"/>
      <c r="I93" s="285"/>
      <c r="J93" s="285"/>
      <c r="K93" s="285"/>
      <c r="L93" s="285"/>
      <c r="M93" s="314"/>
      <c r="N93" s="314"/>
      <c r="O93" s="314"/>
      <c r="P93" s="314"/>
      <c r="Q93" s="314"/>
      <c r="R93" s="314"/>
      <c r="S93" s="285"/>
      <c r="T93" s="285"/>
      <c r="U93" s="285"/>
      <c r="V93" s="285"/>
      <c r="W93" s="285"/>
      <c r="X93" s="285"/>
      <c r="Y93" s="285"/>
      <c r="Z93" s="285"/>
      <c r="AA93" s="285"/>
      <c r="AB93" s="285"/>
      <c r="AC93" s="285"/>
      <c r="AD93" s="285"/>
      <c r="AE93" s="285"/>
      <c r="AF93" s="285"/>
      <c r="AG93" s="285"/>
      <c r="AH93" s="285"/>
      <c r="AI93" s="285"/>
      <c r="AJ93" s="285"/>
      <c r="AK93" s="285"/>
      <c r="AL93" s="285"/>
      <c r="AM93" s="285"/>
    </row>
    <row r="94" spans="2:39">
      <c r="B94" s="276" t="s">
        <v>495</v>
      </c>
      <c r="C94" s="315" t="s">
        <v>417</v>
      </c>
      <c r="D94" s="316">
        <f>IF($D$93&gt;=D92,$D$27/$D$93,0)</f>
        <v>22901219.264576923</v>
      </c>
      <c r="E94" s="317">
        <f t="shared" ref="E94:M94" si="3">IF($D$93&gt;=E92,$D$27/$D$93,0)</f>
        <v>0</v>
      </c>
      <c r="F94" s="317">
        <f t="shared" si="3"/>
        <v>0</v>
      </c>
      <c r="G94" s="317">
        <f t="shared" si="3"/>
        <v>0</v>
      </c>
      <c r="H94" s="317">
        <f t="shared" si="3"/>
        <v>0</v>
      </c>
      <c r="I94" s="317">
        <f t="shared" si="3"/>
        <v>0</v>
      </c>
      <c r="J94" s="317">
        <f t="shared" si="3"/>
        <v>0</v>
      </c>
      <c r="K94" s="317">
        <f t="shared" si="3"/>
        <v>0</v>
      </c>
      <c r="L94" s="317">
        <f t="shared" si="3"/>
        <v>0</v>
      </c>
      <c r="M94" s="318">
        <f t="shared" si="3"/>
        <v>0</v>
      </c>
      <c r="N94" s="318"/>
      <c r="O94" s="318"/>
      <c r="P94" s="318"/>
      <c r="Q94" s="318"/>
      <c r="R94" s="318"/>
      <c r="S94" s="285"/>
      <c r="T94" s="285"/>
      <c r="U94" s="285"/>
      <c r="V94" s="285"/>
      <c r="W94" s="285"/>
      <c r="X94" s="285"/>
      <c r="Y94" s="285"/>
      <c r="Z94" s="285"/>
      <c r="AA94" s="285"/>
      <c r="AB94" s="285"/>
      <c r="AC94" s="285"/>
      <c r="AD94" s="285"/>
      <c r="AE94" s="285"/>
      <c r="AF94" s="285"/>
      <c r="AG94" s="285"/>
      <c r="AH94" s="285"/>
      <c r="AI94" s="285"/>
      <c r="AJ94" s="285"/>
      <c r="AK94" s="285"/>
      <c r="AL94" s="285"/>
      <c r="AM94" s="285"/>
    </row>
    <row r="95" spans="2:39">
      <c r="B95" s="232"/>
      <c r="C95" s="275"/>
      <c r="D95" s="275"/>
      <c r="E95" s="285"/>
      <c r="F95" s="285"/>
      <c r="G95" s="285"/>
      <c r="H95" s="285"/>
      <c r="I95" s="285"/>
      <c r="J95" s="285"/>
      <c r="K95" s="285"/>
      <c r="L95" s="285"/>
      <c r="M95" s="285"/>
      <c r="N95" s="285"/>
      <c r="O95" s="285"/>
      <c r="P95" s="285"/>
      <c r="Q95" s="285"/>
      <c r="R95" s="285"/>
      <c r="S95" s="285"/>
      <c r="T95" s="285"/>
      <c r="U95" s="285"/>
      <c r="V95" s="285"/>
      <c r="W95" s="285"/>
      <c r="X95" s="285"/>
      <c r="Y95" s="285"/>
      <c r="Z95" s="285"/>
      <c r="AA95" s="285"/>
      <c r="AB95" s="285"/>
      <c r="AC95" s="285"/>
      <c r="AD95" s="285"/>
      <c r="AE95" s="285"/>
      <c r="AF95" s="285"/>
      <c r="AG95" s="285"/>
      <c r="AH95" s="285"/>
      <c r="AI95" s="285"/>
      <c r="AJ95" s="285"/>
      <c r="AK95" s="285"/>
      <c r="AL95" s="285"/>
      <c r="AM95" s="285"/>
    </row>
    <row r="96" spans="2:39" ht="12.95">
      <c r="B96" s="283" t="s">
        <v>427</v>
      </c>
      <c r="C96" s="312" t="s">
        <v>364</v>
      </c>
      <c r="D96" s="275"/>
      <c r="E96" s="285"/>
      <c r="F96" s="285"/>
      <c r="G96" s="285"/>
      <c r="H96" s="285"/>
      <c r="I96" s="285"/>
      <c r="J96" s="285"/>
      <c r="K96" s="285"/>
      <c r="L96" s="285"/>
      <c r="M96" s="285"/>
      <c r="N96" s="285"/>
      <c r="O96" s="285"/>
      <c r="P96" s="285"/>
      <c r="Q96" s="285"/>
      <c r="R96" s="285"/>
      <c r="S96" s="285"/>
      <c r="T96" s="285"/>
      <c r="U96" s="285"/>
      <c r="V96" s="285"/>
      <c r="W96" s="285"/>
      <c r="X96" s="285"/>
      <c r="Y96" s="285"/>
      <c r="Z96" s="285"/>
      <c r="AA96" s="285"/>
      <c r="AB96" s="285"/>
      <c r="AC96" s="285"/>
      <c r="AD96" s="285"/>
      <c r="AE96" s="285"/>
      <c r="AF96" s="285"/>
      <c r="AG96" s="285"/>
      <c r="AH96" s="285"/>
      <c r="AI96" s="285"/>
      <c r="AJ96" s="285"/>
      <c r="AK96" s="285"/>
      <c r="AL96" s="285"/>
      <c r="AM96" s="285"/>
    </row>
    <row r="97" spans="2:39">
      <c r="B97" s="286" t="s">
        <v>428</v>
      </c>
      <c r="C97" s="292" t="s">
        <v>417</v>
      </c>
      <c r="D97" s="288"/>
      <c r="E97" s="289">
        <f>IF(E76&lt;=$D$36,-IPMT($D$35,E76,$D$36,'EthSolarPV Financial Analysis '!$D$27*$D$34),0)</f>
        <v>0</v>
      </c>
      <c r="F97" s="289">
        <f>IF(F76&lt;=$D$36,-IPMT($D$35,F76,$D$36,'EthSolarPV Financial Analysis '!$D$27*$D$34),0)</f>
        <v>0</v>
      </c>
      <c r="G97" s="289">
        <f>IF(G76&lt;=$D$36,-IPMT($D$35,G76,$D$36,'EthSolarPV Financial Analysis '!$D$27*$D$34),0)</f>
        <v>0</v>
      </c>
      <c r="H97" s="289">
        <f>IF(H76&lt;=$D$36,-IPMT($D$35,H76,$D$36,'EthSolarPV Financial Analysis '!$D$27*$D$34),0)</f>
        <v>0</v>
      </c>
      <c r="I97" s="289">
        <f>IF(I76&lt;=$D$36,-IPMT($D$35,I76,$D$36,'EthSolarPV Financial Analysis '!$D$27*$D$34),0)</f>
        <v>0</v>
      </c>
      <c r="J97" s="289">
        <f>IF(J76&lt;=$D$36,-IPMT($D$35,J76,$D$36,'EthSolarPV Financial Analysis '!$D$27*$D$34),0)</f>
        <v>0</v>
      </c>
      <c r="K97" s="289">
        <f>IF(K76&lt;=$D$36,-IPMT($D$35,K76,$D$36,'EthSolarPV Financial Analysis '!$D$27*$D$34),0)</f>
        <v>0</v>
      </c>
      <c r="L97" s="289">
        <f>IF(L76&lt;=$D$36,-IPMT($D$35,L76,$D$36,'EthSolarPV Financial Analysis '!$D$27*$D$34),0)</f>
        <v>0</v>
      </c>
      <c r="M97" s="289">
        <f>IF(M76&lt;=$D$36,-IPMT($D$35,M76,$D$36,'EthSolarPV Financial Analysis '!$D$27*$D$34),0)</f>
        <v>0</v>
      </c>
      <c r="N97" s="289">
        <f>IF(N76&lt;=$D$36,-IPMT($D$35,N76,$D$36,'EthSolarPV Financial Analysis '!$D$27*$D$34),0)</f>
        <v>0</v>
      </c>
      <c r="O97" s="289">
        <f>IF(O76&lt;=$D$36,-IPMT($D$35,O76,$D$36,'EthSolarPV Financial Analysis '!$D$27*$D$34),0)</f>
        <v>0</v>
      </c>
      <c r="P97" s="289">
        <f>IF(P76&lt;=$D$36,-IPMT($D$35,P76,$D$36,'EthSolarPV Financial Analysis '!$D$27*$D$34),0)</f>
        <v>0</v>
      </c>
      <c r="Q97" s="289">
        <f>IF(Q76&lt;=$D$36,-IPMT($D$35,Q76,$D$36,'EthSolarPV Financial Analysis '!$D$27*$D$34),0)</f>
        <v>0</v>
      </c>
      <c r="R97" s="289">
        <f>IF(R76&lt;=$D$36,-IPMT($D$35,R76,$D$36,'EthSolarPV Financial Analysis '!$D$27*$D$34),0)</f>
        <v>0</v>
      </c>
      <c r="S97" s="289">
        <f>IF(S76&lt;=$D$36,-IPMT($D$35,S76,$D$36,'EthSolarPV Financial Analysis '!$D$27*$D$34),0)</f>
        <v>0</v>
      </c>
      <c r="T97" s="289">
        <f>IF(T76&lt;=$D$36,-IPMT($D$35,T76,$D$36,'EthSolarPV Financial Analysis '!$D$27*$D$34),0)</f>
        <v>0</v>
      </c>
      <c r="U97" s="289">
        <f>IF(U76&lt;=$D$36,-IPMT($D$35,U76,$D$36,'EthSolarPV Financial Analysis '!$D$27*$D$34),0)</f>
        <v>0</v>
      </c>
      <c r="V97" s="289">
        <f>IF(V76&lt;=$D$36,-IPMT($D$35,V76,$D$36,'EthSolarPV Financial Analysis '!$D$27*$D$34),0)</f>
        <v>0</v>
      </c>
      <c r="W97" s="289">
        <f>IF(W76&lt;=$D$36,-IPMT($D$35,W76,$D$36,'EthSolarPV Financial Analysis '!$D$27*$D$34),0)</f>
        <v>0</v>
      </c>
      <c r="X97" s="289">
        <f>IF(X76&lt;=$D$36,-IPMT($D$35,X76,$D$36,'EthSolarPV Financial Analysis '!$D$27*$D$34),0)</f>
        <v>0</v>
      </c>
      <c r="Y97" s="289">
        <f>IF(Y76&lt;=$D$36,-IPMT($D$35,Y76,$D$36,'EthSolarPV Financial Analysis '!$D$27*$D$34),0)</f>
        <v>0</v>
      </c>
      <c r="Z97" s="289">
        <f>IF(Z76&lt;=$D$36,-IPMT($D$35,Z76,$D$36,'EthSolarPV Financial Analysis '!$D$27*$D$34),0)</f>
        <v>0</v>
      </c>
      <c r="AA97" s="289">
        <f>IF(AA76&lt;=$D$36,-IPMT($D$35,AA76,$D$36,'EthSolarPV Financial Analysis '!$D$27*$D$34),0)</f>
        <v>0</v>
      </c>
      <c r="AB97" s="289">
        <f>IF(AB76&lt;=$D$36,-IPMT($D$35,AB76,$D$36,'EthSolarPV Financial Analysis '!$D$27*$D$34),0)</f>
        <v>0</v>
      </c>
      <c r="AC97" s="289">
        <f>IF(AC76&lt;=$D$36,-IPMT($D$35,AC76,$D$36,'EthSolarPV Financial Analysis '!$D$27*$D$34),0)</f>
        <v>0</v>
      </c>
      <c r="AD97" s="289">
        <f>IF(AD76&lt;=$D$36,-IPMT($D$35,AD76,$D$36,'EthSolarPV Financial Analysis '!$D$27*$D$34),0)</f>
        <v>0</v>
      </c>
      <c r="AE97" s="289">
        <f>IF(AE76&lt;=$D$36,-IPMT($D$35,AE76,$D$36,'EthSolarPV Financial Analysis '!$D$27*$D$34),0)</f>
        <v>0</v>
      </c>
      <c r="AF97" s="289">
        <f>IF(AF76&lt;=$D$36,-IPMT($D$35,AF76,$D$36,'EthSolarPV Financial Analysis '!$D$27*$D$34),0)</f>
        <v>0</v>
      </c>
      <c r="AG97" s="289">
        <f>IF(AG76&lt;=$D$36,-IPMT($D$35,AG76,$D$36,'EthSolarPV Financial Analysis '!$D$27*$D$34),0)</f>
        <v>0</v>
      </c>
      <c r="AH97" s="289">
        <f>IF(AH76&lt;=$D$36,-IPMT($D$35,AH76,$D$36,'EthSolarPV Financial Analysis '!$D$27*$D$34),0)</f>
        <v>0</v>
      </c>
      <c r="AI97" s="289">
        <f>IF(AI76&lt;=$D$36,-IPMT($D$35,AI76,$D$36,'EthSolarPV Financial Analysis '!$D$27*$D$34),0)</f>
        <v>0</v>
      </c>
      <c r="AJ97" s="289">
        <f>IF(AJ76&lt;=$D$36,-IPMT($D$35,AJ76,$D$36,'EthSolarPV Financial Analysis '!$D$27*$D$34),0)</f>
        <v>0</v>
      </c>
      <c r="AK97" s="289">
        <f>IF(AK76&lt;=$D$36,-IPMT($D$35,AK76,$D$36,'EthSolarPV Financial Analysis '!$D$27*$D$34),0)</f>
        <v>0</v>
      </c>
      <c r="AL97" s="289">
        <f>IF(AL76&lt;=$D$36,-IPMT($D$35,AL76,$D$36,'EthSolarPV Financial Analysis '!$D$27*$D$34),0)</f>
        <v>0</v>
      </c>
      <c r="AM97" s="290">
        <f>IF(AM76&lt;=$D$36,-IPMT($D$35,AM76,$D$36,'EthSolarPV Financial Analysis '!$D$27*$D$34),0)</f>
        <v>0</v>
      </c>
    </row>
    <row r="98" spans="2:39">
      <c r="B98" s="291" t="s">
        <v>429</v>
      </c>
      <c r="C98" s="295" t="s">
        <v>417</v>
      </c>
      <c r="D98" s="296"/>
      <c r="E98" s="297">
        <f>IF(E76&lt;=$D$36,-PPMT($D$35,E76,$D$36,'EthSolarPV Financial Analysis '!$D$27*$D$34),0)</f>
        <v>916048.77058307687</v>
      </c>
      <c r="F98" s="297">
        <f>IF(F76&lt;=$D$36,-PPMT($D$35,F76,$D$36,'EthSolarPV Financial Analysis '!$D$27*$D$34),0)</f>
        <v>916048.77058307687</v>
      </c>
      <c r="G98" s="297">
        <f>IF(G76&lt;=$D$36,-PPMT($D$35,G76,$D$36,'EthSolarPV Financial Analysis '!$D$27*$D$34),0)</f>
        <v>916048.77058307687</v>
      </c>
      <c r="H98" s="297">
        <f>IF(H76&lt;=$D$36,-PPMT($D$35,H76,$D$36,'EthSolarPV Financial Analysis '!$D$27*$D$34),0)</f>
        <v>916048.77058307687</v>
      </c>
      <c r="I98" s="297">
        <f>IF(I76&lt;=$D$36,-PPMT($D$35,I76,$D$36,'EthSolarPV Financial Analysis '!$D$27*$D$34),0)</f>
        <v>916048.77058307687</v>
      </c>
      <c r="J98" s="297">
        <f>IF(J76&lt;=$D$36,-PPMT($D$35,J76,$D$36,'EthSolarPV Financial Analysis '!$D$27*$D$34),0)</f>
        <v>916048.77058307687</v>
      </c>
      <c r="K98" s="297">
        <f>IF(K76&lt;=$D$36,-PPMT($D$35,K76,$D$36,'EthSolarPV Financial Analysis '!$D$27*$D$34),0)</f>
        <v>916048.77058307687</v>
      </c>
      <c r="L98" s="297">
        <f>IF(L76&lt;=$D$36,-PPMT($D$35,L76,$D$36,'EthSolarPV Financial Analysis '!$D$27*$D$34),0)</f>
        <v>916048.77058307687</v>
      </c>
      <c r="M98" s="297">
        <f>IF(M76&lt;=$D$36,-PPMT($D$35,M76,$D$36,'EthSolarPV Financial Analysis '!$D$27*$D$34),0)</f>
        <v>916048.77058307687</v>
      </c>
      <c r="N98" s="297">
        <f>IF(N76&lt;=$D$36,-PPMT($D$35,N76,$D$36,'EthSolarPV Financial Analysis '!$D$27*$D$34),0)</f>
        <v>916048.77058307687</v>
      </c>
      <c r="O98" s="297">
        <f>IF(O76&lt;=$D$36,-PPMT($D$35,O76,$D$36,'EthSolarPV Financial Analysis '!$D$27*$D$34),0)</f>
        <v>916048.77058307687</v>
      </c>
      <c r="P98" s="297">
        <f>IF(P76&lt;=$D$36,-PPMT($D$35,P76,$D$36,'EthSolarPV Financial Analysis '!$D$27*$D$34),0)</f>
        <v>916048.77058307687</v>
      </c>
      <c r="Q98" s="297">
        <f>IF(Q76&lt;=$D$36,-PPMT($D$35,Q76,$D$36,'EthSolarPV Financial Analysis '!$D$27*$D$34),0)</f>
        <v>916048.77058307687</v>
      </c>
      <c r="R98" s="297">
        <f>IF(R76&lt;=$D$36,-PPMT($D$35,R76,$D$36,'EthSolarPV Financial Analysis '!$D$27*$D$34),0)</f>
        <v>916048.77058307687</v>
      </c>
      <c r="S98" s="297">
        <f>IF(S76&lt;=$D$36,-PPMT($D$35,S76,$D$36,'EthSolarPV Financial Analysis '!$D$27*$D$34),0)</f>
        <v>916048.77058307687</v>
      </c>
      <c r="T98" s="297">
        <f>IF(T76&lt;=$D$36,-PPMT($D$35,T76,$D$36,'EthSolarPV Financial Analysis '!$D$27*$D$34),0)</f>
        <v>916048.77058307687</v>
      </c>
      <c r="U98" s="297">
        <f>IF(U76&lt;=$D$36,-PPMT($D$35,U76,$D$36,'EthSolarPV Financial Analysis '!$D$27*$D$34),0)</f>
        <v>916048.77058307687</v>
      </c>
      <c r="V98" s="297">
        <f>IF(V76&lt;=$D$36,-PPMT($D$35,V76,$D$36,'EthSolarPV Financial Analysis '!$D$27*$D$34),0)</f>
        <v>916048.77058307687</v>
      </c>
      <c r="W98" s="297">
        <f>IF(W76&lt;=$D$36,-PPMT($D$35,W76,$D$36,'EthSolarPV Financial Analysis '!$D$27*$D$34),0)</f>
        <v>916048.77058307687</v>
      </c>
      <c r="X98" s="297">
        <f>IF(X76&lt;=$D$36,-PPMT($D$35,X76,$D$36,'EthSolarPV Financial Analysis '!$D$27*$D$34),0)</f>
        <v>916048.77058307687</v>
      </c>
      <c r="Y98" s="297">
        <f>IF(Y76&lt;=$D$36,-PPMT($D$35,Y76,$D$36,'EthSolarPV Financial Analysis '!$D$27*$D$34),0)</f>
        <v>916048.77058307687</v>
      </c>
      <c r="Z98" s="297">
        <f>IF(Z76&lt;=$D$36,-PPMT($D$35,Z76,$D$36,'EthSolarPV Financial Analysis '!$D$27*$D$34),0)</f>
        <v>916048.77058307687</v>
      </c>
      <c r="AA98" s="297">
        <f>IF(AA76&lt;=$D$36,-PPMT($D$35,AA76,$D$36,'EthSolarPV Financial Analysis '!$D$27*$D$34),0)</f>
        <v>916048.77058307687</v>
      </c>
      <c r="AB98" s="297">
        <f>IF(AB76&lt;=$D$36,-PPMT($D$35,AB76,$D$36,'EthSolarPV Financial Analysis '!$D$27*$D$34),0)</f>
        <v>916048.77058307687</v>
      </c>
      <c r="AC98" s="297">
        <f>IF(AC76&lt;=$D$36,-PPMT($D$35,AC76,$D$36,'EthSolarPV Financial Analysis '!$D$27*$D$34),0)</f>
        <v>916048.77058307687</v>
      </c>
      <c r="AD98" s="297">
        <f>IF(AD76&lt;=$D$36,-PPMT($D$35,AD76,$D$36,'EthSolarPV Financial Analysis '!$D$27*$D$34),0)</f>
        <v>0</v>
      </c>
      <c r="AE98" s="297">
        <f>IF(AE76&lt;=$D$36,-PPMT($D$35,AE76,$D$36,'EthSolarPV Financial Analysis '!$D$27*$D$34),0)</f>
        <v>0</v>
      </c>
      <c r="AF98" s="297">
        <f>IF(AF76&lt;=$D$36,-PPMT($D$35,AF76,$D$36,'EthSolarPV Financial Analysis '!$D$27*$D$34),0)</f>
        <v>0</v>
      </c>
      <c r="AG98" s="297">
        <f>IF(AG76&lt;=$D$36,-PPMT($D$35,AG76,$D$36,'EthSolarPV Financial Analysis '!$D$27*$D$34),0)</f>
        <v>0</v>
      </c>
      <c r="AH98" s="297">
        <f>IF(AH76&lt;=$D$36,-PPMT($D$35,AH76,$D$36,'EthSolarPV Financial Analysis '!$D$27*$D$34),0)</f>
        <v>0</v>
      </c>
      <c r="AI98" s="297">
        <f>IF(AI76&lt;=$D$36,-PPMT($D$35,AI76,$D$36,'EthSolarPV Financial Analysis '!$D$27*$D$34),0)</f>
        <v>0</v>
      </c>
      <c r="AJ98" s="297">
        <f>IF(AJ76&lt;=$D$36,-PPMT($D$35,AJ76,$D$36,'EthSolarPV Financial Analysis '!$D$27*$D$34),0)</f>
        <v>0</v>
      </c>
      <c r="AK98" s="297">
        <f>IF(AK76&lt;=$D$36,-PPMT($D$35,AK76,$D$36,'EthSolarPV Financial Analysis '!$D$27*$D$34),0)</f>
        <v>0</v>
      </c>
      <c r="AL98" s="297">
        <f>IF(AL76&lt;=$D$36,-PPMT($D$35,AL76,$D$36,'EthSolarPV Financial Analysis '!$D$27*$D$34),0)</f>
        <v>0</v>
      </c>
      <c r="AM98" s="298">
        <f>IF(AM76&lt;=$D$36,-PPMT($D$35,AM76,$D$36,'EthSolarPV Financial Analysis '!$D$27*$D$34),0)</f>
        <v>0</v>
      </c>
    </row>
    <row r="99" spans="2:39" ht="12.95">
      <c r="B99" s="319" t="s">
        <v>430</v>
      </c>
      <c r="C99" s="300" t="s">
        <v>417</v>
      </c>
      <c r="D99" s="320">
        <f>E99</f>
        <v>916048.77058307687</v>
      </c>
      <c r="E99" s="321">
        <f>SUM(E97:E98)+E94</f>
        <v>916048.77058307687</v>
      </c>
      <c r="F99" s="321">
        <f t="shared" ref="F99:M99" si="4">SUM(F97:F98)+F94</f>
        <v>916048.77058307687</v>
      </c>
      <c r="G99" s="321">
        <f t="shared" si="4"/>
        <v>916048.77058307687</v>
      </c>
      <c r="H99" s="321">
        <f t="shared" si="4"/>
        <v>916048.77058307687</v>
      </c>
      <c r="I99" s="321">
        <f t="shared" si="4"/>
        <v>916048.77058307687</v>
      </c>
      <c r="J99" s="321">
        <f t="shared" si="4"/>
        <v>916048.77058307687</v>
      </c>
      <c r="K99" s="321">
        <f t="shared" si="4"/>
        <v>916048.77058307687</v>
      </c>
      <c r="L99" s="321">
        <f t="shared" si="4"/>
        <v>916048.77058307687</v>
      </c>
      <c r="M99" s="321">
        <f t="shared" si="4"/>
        <v>916048.77058307687</v>
      </c>
      <c r="N99" s="321">
        <f>SUM(N97:N98)</f>
        <v>916048.77058307687</v>
      </c>
      <c r="O99" s="321">
        <f t="shared" ref="O99:AM99" si="5">SUM(O97:O98)</f>
        <v>916048.77058307687</v>
      </c>
      <c r="P99" s="321">
        <f t="shared" si="5"/>
        <v>916048.77058307687</v>
      </c>
      <c r="Q99" s="321">
        <f t="shared" si="5"/>
        <v>916048.77058307687</v>
      </c>
      <c r="R99" s="321">
        <f t="shared" si="5"/>
        <v>916048.77058307687</v>
      </c>
      <c r="S99" s="321">
        <f t="shared" si="5"/>
        <v>916048.77058307687</v>
      </c>
      <c r="T99" s="321">
        <f t="shared" si="5"/>
        <v>916048.77058307687</v>
      </c>
      <c r="U99" s="321">
        <f t="shared" si="5"/>
        <v>916048.77058307687</v>
      </c>
      <c r="V99" s="321">
        <f t="shared" si="5"/>
        <v>916048.77058307687</v>
      </c>
      <c r="W99" s="321">
        <f t="shared" si="5"/>
        <v>916048.77058307687</v>
      </c>
      <c r="X99" s="321">
        <f t="shared" si="5"/>
        <v>916048.77058307687</v>
      </c>
      <c r="Y99" s="321">
        <f t="shared" si="5"/>
        <v>916048.77058307687</v>
      </c>
      <c r="Z99" s="321">
        <f t="shared" si="5"/>
        <v>916048.77058307687</v>
      </c>
      <c r="AA99" s="321">
        <f t="shared" si="5"/>
        <v>916048.77058307687</v>
      </c>
      <c r="AB99" s="321">
        <f t="shared" si="5"/>
        <v>916048.77058307687</v>
      </c>
      <c r="AC99" s="321">
        <f t="shared" si="5"/>
        <v>916048.77058307687</v>
      </c>
      <c r="AD99" s="321">
        <f t="shared" si="5"/>
        <v>0</v>
      </c>
      <c r="AE99" s="321">
        <f t="shared" si="5"/>
        <v>0</v>
      </c>
      <c r="AF99" s="321">
        <f t="shared" si="5"/>
        <v>0</v>
      </c>
      <c r="AG99" s="321">
        <f t="shared" si="5"/>
        <v>0</v>
      </c>
      <c r="AH99" s="321">
        <f t="shared" si="5"/>
        <v>0</v>
      </c>
      <c r="AI99" s="321">
        <f t="shared" si="5"/>
        <v>0</v>
      </c>
      <c r="AJ99" s="321">
        <f t="shared" si="5"/>
        <v>0</v>
      </c>
      <c r="AK99" s="321">
        <f t="shared" si="5"/>
        <v>0</v>
      </c>
      <c r="AL99" s="321">
        <f t="shared" si="5"/>
        <v>0</v>
      </c>
      <c r="AM99" s="322">
        <f t="shared" si="5"/>
        <v>0</v>
      </c>
    </row>
    <row r="100" spans="2:39" ht="12.95">
      <c r="B100" s="233"/>
      <c r="C100" s="233"/>
      <c r="D100" s="323"/>
      <c r="E100" s="323"/>
      <c r="F100" s="323"/>
      <c r="G100" s="323"/>
      <c r="H100" s="323"/>
      <c r="I100" s="323"/>
      <c r="J100" s="323"/>
      <c r="K100" s="323"/>
      <c r="L100" s="323"/>
      <c r="M100" s="323"/>
      <c r="N100" s="323"/>
      <c r="O100" s="323"/>
      <c r="P100" s="323"/>
      <c r="Q100" s="323"/>
      <c r="R100" s="323"/>
      <c r="S100" s="323"/>
      <c r="T100" s="323"/>
      <c r="U100" s="323"/>
      <c r="V100" s="323"/>
      <c r="W100" s="323"/>
      <c r="X100" s="323"/>
      <c r="Y100" s="323"/>
      <c r="Z100" s="323"/>
      <c r="AA100" s="323"/>
      <c r="AB100" s="323"/>
      <c r="AC100" s="323"/>
      <c r="AD100" s="323"/>
      <c r="AE100" s="323"/>
      <c r="AF100" s="323"/>
      <c r="AG100" s="323"/>
      <c r="AH100" s="323"/>
      <c r="AI100" s="323"/>
      <c r="AJ100" s="323"/>
      <c r="AK100" s="323"/>
      <c r="AL100" s="323"/>
      <c r="AM100" s="323"/>
    </row>
    <row r="101" spans="2:39" ht="12.95">
      <c r="B101" s="319" t="s">
        <v>431</v>
      </c>
      <c r="C101" s="324" t="s">
        <v>417</v>
      </c>
      <c r="D101" s="320">
        <f>D99+D84+D106</f>
        <v>3138361.4060407691</v>
      </c>
      <c r="E101" s="321">
        <f>E99+E84+E105</f>
        <v>3138361.4060407691</v>
      </c>
      <c r="F101" s="321">
        <f t="shared" ref="F101:AM101" si="6">F99+F84+F105</f>
        <v>3138361.4060407691</v>
      </c>
      <c r="G101" s="321">
        <f t="shared" si="6"/>
        <v>3138361.4060407691</v>
      </c>
      <c r="H101" s="321">
        <f t="shared" si="6"/>
        <v>3138361.4060407691</v>
      </c>
      <c r="I101" s="321">
        <f t="shared" si="6"/>
        <v>3138361.4060407691</v>
      </c>
      <c r="J101" s="321">
        <f t="shared" si="6"/>
        <v>3138361.4060407691</v>
      </c>
      <c r="K101" s="321">
        <f t="shared" si="6"/>
        <v>3138361.4060407691</v>
      </c>
      <c r="L101" s="321">
        <f t="shared" si="6"/>
        <v>3138361.4060407691</v>
      </c>
      <c r="M101" s="321">
        <f t="shared" si="6"/>
        <v>3138361.4060407691</v>
      </c>
      <c r="N101" s="321">
        <f t="shared" si="6"/>
        <v>3138361.4060407691</v>
      </c>
      <c r="O101" s="321">
        <f t="shared" si="6"/>
        <v>3138361.4060407691</v>
      </c>
      <c r="P101" s="321">
        <f t="shared" si="6"/>
        <v>3138361.4060407691</v>
      </c>
      <c r="Q101" s="321">
        <f t="shared" si="6"/>
        <v>3138361.4060407691</v>
      </c>
      <c r="R101" s="321">
        <f t="shared" si="6"/>
        <v>3138361.4060407691</v>
      </c>
      <c r="S101" s="321">
        <f t="shared" si="6"/>
        <v>3138361.4060407691</v>
      </c>
      <c r="T101" s="321">
        <f t="shared" si="6"/>
        <v>3138361.4060407691</v>
      </c>
      <c r="U101" s="321">
        <f t="shared" si="6"/>
        <v>3138361.4060407691</v>
      </c>
      <c r="V101" s="321">
        <f t="shared" si="6"/>
        <v>3138361.4060407691</v>
      </c>
      <c r="W101" s="321">
        <f t="shared" si="6"/>
        <v>3138361.4060407691</v>
      </c>
      <c r="X101" s="321">
        <f t="shared" si="6"/>
        <v>3138361.4060407691</v>
      </c>
      <c r="Y101" s="321">
        <f t="shared" si="6"/>
        <v>3138361.4060407691</v>
      </c>
      <c r="Z101" s="321">
        <f t="shared" si="6"/>
        <v>3138361.4060407691</v>
      </c>
      <c r="AA101" s="321">
        <f t="shared" si="6"/>
        <v>3138361.4060407691</v>
      </c>
      <c r="AB101" s="321">
        <f t="shared" si="6"/>
        <v>3138361.4060407691</v>
      </c>
      <c r="AC101" s="321">
        <f t="shared" si="6"/>
        <v>2906865.7053380553</v>
      </c>
      <c r="AD101" s="321">
        <f t="shared" si="6"/>
        <v>0</v>
      </c>
      <c r="AE101" s="321">
        <f t="shared" si="6"/>
        <v>0</v>
      </c>
      <c r="AF101" s="321">
        <f t="shared" si="6"/>
        <v>0</v>
      </c>
      <c r="AG101" s="321">
        <f t="shared" si="6"/>
        <v>0</v>
      </c>
      <c r="AH101" s="321">
        <f t="shared" si="6"/>
        <v>0</v>
      </c>
      <c r="AI101" s="321">
        <f t="shared" si="6"/>
        <v>0</v>
      </c>
      <c r="AJ101" s="321">
        <f t="shared" si="6"/>
        <v>0</v>
      </c>
      <c r="AK101" s="321">
        <f t="shared" si="6"/>
        <v>0</v>
      </c>
      <c r="AL101" s="321">
        <f t="shared" si="6"/>
        <v>0</v>
      </c>
      <c r="AM101" s="322">
        <f t="shared" si="6"/>
        <v>0</v>
      </c>
    </row>
    <row r="102" spans="2:39">
      <c r="B102" s="232"/>
      <c r="C102" s="275"/>
      <c r="D102" s="220"/>
      <c r="E102" s="220"/>
      <c r="F102" s="220"/>
      <c r="G102" s="220"/>
      <c r="H102" s="220"/>
      <c r="I102" s="220"/>
      <c r="J102" s="220"/>
      <c r="K102" s="220"/>
      <c r="L102" s="220"/>
      <c r="M102" s="220"/>
      <c r="N102" s="220"/>
      <c r="O102" s="220"/>
      <c r="P102" s="220"/>
      <c r="Q102" s="220"/>
      <c r="R102" s="220"/>
      <c r="S102" s="220"/>
      <c r="T102" s="220"/>
      <c r="U102" s="220"/>
      <c r="V102" s="220"/>
      <c r="W102" s="220"/>
      <c r="X102" s="220"/>
      <c r="Y102" s="220"/>
      <c r="Z102" s="220"/>
      <c r="AA102" s="220"/>
      <c r="AB102" s="220"/>
      <c r="AC102" s="220"/>
      <c r="AD102" s="220"/>
      <c r="AE102" s="220"/>
      <c r="AF102" s="220"/>
      <c r="AG102" s="220"/>
      <c r="AH102" s="220"/>
      <c r="AI102" s="220"/>
      <c r="AJ102" s="220"/>
      <c r="AK102" s="220"/>
      <c r="AL102" s="220"/>
      <c r="AM102" s="220"/>
    </row>
    <row r="103" spans="2:39" ht="12.95">
      <c r="B103" s="325"/>
      <c r="D103" s="326" t="s">
        <v>432</v>
      </c>
      <c r="E103" s="326" t="s">
        <v>433</v>
      </c>
    </row>
    <row r="105" spans="2:39" s="326" customFormat="1" ht="12.95">
      <c r="B105" s="283" t="s">
        <v>434</v>
      </c>
      <c r="C105" s="312" t="s">
        <v>417</v>
      </c>
      <c r="D105" s="320"/>
      <c r="E105" s="321">
        <f t="shared" ref="E105:AM105" si="7">IF(E76&lt;=$D37,$D106*$D38,0)</f>
        <v>0</v>
      </c>
      <c r="F105" s="321">
        <f t="shared" si="7"/>
        <v>0</v>
      </c>
      <c r="G105" s="321">
        <f t="shared" si="7"/>
        <v>0</v>
      </c>
      <c r="H105" s="321">
        <f t="shared" si="7"/>
        <v>0</v>
      </c>
      <c r="I105" s="321">
        <f t="shared" si="7"/>
        <v>0</v>
      </c>
      <c r="J105" s="321">
        <f t="shared" si="7"/>
        <v>0</v>
      </c>
      <c r="K105" s="321">
        <f t="shared" si="7"/>
        <v>0</v>
      </c>
      <c r="L105" s="321">
        <f t="shared" si="7"/>
        <v>0</v>
      </c>
      <c r="M105" s="321">
        <f t="shared" si="7"/>
        <v>0</v>
      </c>
      <c r="N105" s="321">
        <f t="shared" si="7"/>
        <v>0</v>
      </c>
      <c r="O105" s="321">
        <f t="shared" si="7"/>
        <v>0</v>
      </c>
      <c r="P105" s="321">
        <f t="shared" si="7"/>
        <v>0</v>
      </c>
      <c r="Q105" s="321">
        <f t="shared" si="7"/>
        <v>0</v>
      </c>
      <c r="R105" s="321">
        <f t="shared" si="7"/>
        <v>0</v>
      </c>
      <c r="S105" s="321">
        <f t="shared" si="7"/>
        <v>0</v>
      </c>
      <c r="T105" s="321">
        <f t="shared" si="7"/>
        <v>0</v>
      </c>
      <c r="U105" s="321">
        <f t="shared" si="7"/>
        <v>0</v>
      </c>
      <c r="V105" s="321">
        <f t="shared" si="7"/>
        <v>0</v>
      </c>
      <c r="W105" s="321">
        <f t="shared" si="7"/>
        <v>0</v>
      </c>
      <c r="X105" s="321">
        <f t="shared" si="7"/>
        <v>0</v>
      </c>
      <c r="Y105" s="321">
        <f t="shared" si="7"/>
        <v>0</v>
      </c>
      <c r="Z105" s="321">
        <f t="shared" si="7"/>
        <v>0</v>
      </c>
      <c r="AA105" s="321">
        <f t="shared" si="7"/>
        <v>0</v>
      </c>
      <c r="AB105" s="321">
        <f t="shared" si="7"/>
        <v>0</v>
      </c>
      <c r="AC105" s="321">
        <f t="shared" si="7"/>
        <v>0</v>
      </c>
      <c r="AD105" s="321">
        <f t="shared" si="7"/>
        <v>0</v>
      </c>
      <c r="AE105" s="321">
        <f t="shared" si="7"/>
        <v>0</v>
      </c>
      <c r="AF105" s="321">
        <f t="shared" si="7"/>
        <v>0</v>
      </c>
      <c r="AG105" s="321">
        <f t="shared" si="7"/>
        <v>0</v>
      </c>
      <c r="AH105" s="321">
        <f t="shared" si="7"/>
        <v>0</v>
      </c>
      <c r="AI105" s="321">
        <f t="shared" si="7"/>
        <v>0</v>
      </c>
      <c r="AJ105" s="321">
        <f t="shared" si="7"/>
        <v>0</v>
      </c>
      <c r="AK105" s="321">
        <f t="shared" si="7"/>
        <v>0</v>
      </c>
      <c r="AL105" s="321">
        <f t="shared" si="7"/>
        <v>0</v>
      </c>
      <c r="AM105" s="322">
        <f t="shared" si="7"/>
        <v>0</v>
      </c>
    </row>
    <row r="106" spans="2:39">
      <c r="B106" s="276" t="s">
        <v>435</v>
      </c>
      <c r="C106" s="259" t="s">
        <v>331</v>
      </c>
      <c r="D106" s="327">
        <f>'EthSolarPV Financial Analysis '!D27*(1-D34)</f>
        <v>0</v>
      </c>
    </row>
    <row r="107" spans="2:39">
      <c r="D107" s="281"/>
    </row>
    <row r="108" spans="2:39" s="331" customFormat="1" ht="12.95">
      <c r="B108" s="276" t="s">
        <v>436</v>
      </c>
      <c r="C108" s="259" t="s">
        <v>437</v>
      </c>
      <c r="D108" s="328">
        <f t="shared" ref="D108:AM108" si="8">D78/((1+$D41)^D76)</f>
        <v>75097790.930357546</v>
      </c>
      <c r="E108" s="329">
        <f t="shared" si="8"/>
        <v>62581492.441964626</v>
      </c>
      <c r="F108" s="329">
        <f t="shared" si="8"/>
        <v>52151243.701637186</v>
      </c>
      <c r="G108" s="329">
        <f t="shared" si="8"/>
        <v>43459369.751364321</v>
      </c>
      <c r="H108" s="329">
        <f t="shared" si="8"/>
        <v>36216141.459470272</v>
      </c>
      <c r="I108" s="329">
        <f t="shared" si="8"/>
        <v>30180117.88289189</v>
      </c>
      <c r="J108" s="329">
        <f t="shared" si="8"/>
        <v>25150098.235743243</v>
      </c>
      <c r="K108" s="329">
        <f t="shared" si="8"/>
        <v>20958415.196452703</v>
      </c>
      <c r="L108" s="329">
        <f t="shared" si="8"/>
        <v>17465345.997043919</v>
      </c>
      <c r="M108" s="329">
        <f t="shared" si="8"/>
        <v>14554454.9975366</v>
      </c>
      <c r="N108" s="329">
        <f t="shared" si="8"/>
        <v>12128712.497947166</v>
      </c>
      <c r="O108" s="329">
        <f t="shared" si="8"/>
        <v>10107260.414955972</v>
      </c>
      <c r="P108" s="329">
        <f t="shared" si="8"/>
        <v>8422717.0124633107</v>
      </c>
      <c r="Q108" s="329">
        <f t="shared" si="8"/>
        <v>7018930.8437194256</v>
      </c>
      <c r="R108" s="329">
        <f t="shared" si="8"/>
        <v>5849109.0364328548</v>
      </c>
      <c r="S108" s="329">
        <f t="shared" si="8"/>
        <v>4874257.5303607127</v>
      </c>
      <c r="T108" s="329">
        <f t="shared" si="8"/>
        <v>4061881.275300594</v>
      </c>
      <c r="U108" s="329">
        <f t="shared" si="8"/>
        <v>3384901.062750495</v>
      </c>
      <c r="V108" s="329">
        <f t="shared" si="8"/>
        <v>2820750.8856254127</v>
      </c>
      <c r="W108" s="329">
        <f t="shared" si="8"/>
        <v>2350625.7380211772</v>
      </c>
      <c r="X108" s="329">
        <f t="shared" si="8"/>
        <v>1958854.7816843144</v>
      </c>
      <c r="Y108" s="329">
        <f t="shared" si="8"/>
        <v>1632378.9847369287</v>
      </c>
      <c r="Z108" s="329">
        <f t="shared" si="8"/>
        <v>1360315.8206141074</v>
      </c>
      <c r="AA108" s="329">
        <f t="shared" si="8"/>
        <v>1133596.5171784228</v>
      </c>
      <c r="AB108" s="329">
        <f t="shared" si="8"/>
        <v>944663.76431535231</v>
      </c>
      <c r="AC108" s="329">
        <f t="shared" si="8"/>
        <v>646785.74094762641</v>
      </c>
      <c r="AD108" s="329">
        <f t="shared" si="8"/>
        <v>538988.11745635536</v>
      </c>
      <c r="AE108" s="329">
        <f t="shared" si="8"/>
        <v>0</v>
      </c>
      <c r="AF108" s="329">
        <f t="shared" si="8"/>
        <v>0</v>
      </c>
      <c r="AG108" s="329">
        <f t="shared" si="8"/>
        <v>0</v>
      </c>
      <c r="AH108" s="329">
        <f t="shared" si="8"/>
        <v>0</v>
      </c>
      <c r="AI108" s="329">
        <f t="shared" si="8"/>
        <v>0</v>
      </c>
      <c r="AJ108" s="329">
        <f t="shared" si="8"/>
        <v>0</v>
      </c>
      <c r="AK108" s="329">
        <f t="shared" si="8"/>
        <v>0</v>
      </c>
      <c r="AL108" s="329">
        <f t="shared" si="8"/>
        <v>0</v>
      </c>
      <c r="AM108" s="330">
        <f t="shared" si="8"/>
        <v>0</v>
      </c>
    </row>
    <row r="109" spans="2:39" s="331" customFormat="1" ht="12.95">
      <c r="B109" s="294" t="s">
        <v>438</v>
      </c>
      <c r="C109" s="332" t="s">
        <v>439</v>
      </c>
      <c r="D109" s="296">
        <f>D101/(1+$D41)^D76</f>
        <v>3138361.4060407691</v>
      </c>
      <c r="E109" s="297">
        <f>E101/(1+$D41)^E76</f>
        <v>2615301.171700641</v>
      </c>
      <c r="F109" s="297">
        <f t="shared" ref="F109:AM109" si="9">F101/(1+$D41)^F76</f>
        <v>2179417.6430838676</v>
      </c>
      <c r="G109" s="297">
        <f t="shared" si="9"/>
        <v>1816181.3692365561</v>
      </c>
      <c r="H109" s="297">
        <f t="shared" si="9"/>
        <v>1513484.4743637969</v>
      </c>
      <c r="I109" s="297">
        <f t="shared" si="9"/>
        <v>1261237.0619698307</v>
      </c>
      <c r="J109" s="297">
        <f t="shared" si="9"/>
        <v>1051030.884974859</v>
      </c>
      <c r="K109" s="297">
        <f t="shared" si="9"/>
        <v>875859.0708123825</v>
      </c>
      <c r="L109" s="297">
        <f t="shared" si="9"/>
        <v>729882.55901031883</v>
      </c>
      <c r="M109" s="297">
        <f t="shared" si="9"/>
        <v>608235.46584193234</v>
      </c>
      <c r="N109" s="297">
        <f t="shared" si="9"/>
        <v>506862.88820161024</v>
      </c>
      <c r="O109" s="297">
        <f t="shared" si="9"/>
        <v>422385.74016800855</v>
      </c>
      <c r="P109" s="297">
        <f t="shared" si="9"/>
        <v>351988.11680667382</v>
      </c>
      <c r="Q109" s="297">
        <f t="shared" si="9"/>
        <v>293323.43067222816</v>
      </c>
      <c r="R109" s="297">
        <f t="shared" si="9"/>
        <v>244436.19222685683</v>
      </c>
      <c r="S109" s="297">
        <f t="shared" si="9"/>
        <v>203696.82685571403</v>
      </c>
      <c r="T109" s="297">
        <f t="shared" si="9"/>
        <v>169747.35571309505</v>
      </c>
      <c r="U109" s="297">
        <f t="shared" si="9"/>
        <v>141456.12976091253</v>
      </c>
      <c r="V109" s="297">
        <f t="shared" si="9"/>
        <v>117880.10813409378</v>
      </c>
      <c r="W109" s="297">
        <f t="shared" si="9"/>
        <v>98233.423445078151</v>
      </c>
      <c r="X109" s="297">
        <f t="shared" si="9"/>
        <v>81861.186204231795</v>
      </c>
      <c r="Y109" s="297">
        <f t="shared" si="9"/>
        <v>68217.65517019316</v>
      </c>
      <c r="Z109" s="297">
        <f t="shared" si="9"/>
        <v>56848.045975160974</v>
      </c>
      <c r="AA109" s="297">
        <f t="shared" si="9"/>
        <v>47373.371645967476</v>
      </c>
      <c r="AB109" s="297">
        <f t="shared" si="9"/>
        <v>39477.809704972897</v>
      </c>
      <c r="AC109" s="297">
        <f t="shared" si="9"/>
        <v>30471.498845533959</v>
      </c>
      <c r="AD109" s="297">
        <f t="shared" si="9"/>
        <v>0</v>
      </c>
      <c r="AE109" s="297">
        <f t="shared" si="9"/>
        <v>0</v>
      </c>
      <c r="AF109" s="297">
        <f t="shared" si="9"/>
        <v>0</v>
      </c>
      <c r="AG109" s="297">
        <f t="shared" si="9"/>
        <v>0</v>
      </c>
      <c r="AH109" s="297">
        <f t="shared" si="9"/>
        <v>0</v>
      </c>
      <c r="AI109" s="297">
        <f t="shared" si="9"/>
        <v>0</v>
      </c>
      <c r="AJ109" s="297">
        <f t="shared" si="9"/>
        <v>0</v>
      </c>
      <c r="AK109" s="297">
        <f t="shared" si="9"/>
        <v>0</v>
      </c>
      <c r="AL109" s="297">
        <f t="shared" si="9"/>
        <v>0</v>
      </c>
      <c r="AM109" s="298">
        <f t="shared" si="9"/>
        <v>0</v>
      </c>
    </row>
    <row r="110" spans="2:39" s="331" customFormat="1" ht="12.95">
      <c r="B110" s="333" t="s">
        <v>440</v>
      </c>
      <c r="C110" s="334" t="s">
        <v>441</v>
      </c>
      <c r="D110" s="335">
        <f>(D101-D128)/(1+$D41)^D76</f>
        <v>3138361.4060407691</v>
      </c>
      <c r="E110" s="336">
        <f t="shared" ref="E110:AM110" si="10">(E101-E128)/(1+$D41)^E76</f>
        <v>2615301.171700641</v>
      </c>
      <c r="F110" s="336">
        <f t="shared" si="10"/>
        <v>2179417.6430838676</v>
      </c>
      <c r="G110" s="336">
        <f t="shared" si="10"/>
        <v>1816181.3692365561</v>
      </c>
      <c r="H110" s="336">
        <f t="shared" si="10"/>
        <v>1513484.4743637969</v>
      </c>
      <c r="I110" s="336">
        <f t="shared" si="10"/>
        <v>1261237.0619698307</v>
      </c>
      <c r="J110" s="336">
        <f t="shared" si="10"/>
        <v>1051030.884974859</v>
      </c>
      <c r="K110" s="336">
        <f t="shared" si="10"/>
        <v>875859.0708123825</v>
      </c>
      <c r="L110" s="336">
        <f t="shared" si="10"/>
        <v>729882.55901031883</v>
      </c>
      <c r="M110" s="336">
        <f t="shared" si="10"/>
        <v>608235.46584193234</v>
      </c>
      <c r="N110" s="336">
        <f t="shared" si="10"/>
        <v>506862.88820161024</v>
      </c>
      <c r="O110" s="336">
        <f t="shared" si="10"/>
        <v>422385.74016800855</v>
      </c>
      <c r="P110" s="336">
        <f t="shared" si="10"/>
        <v>351988.11680667382</v>
      </c>
      <c r="Q110" s="336">
        <f t="shared" si="10"/>
        <v>293323.43067222816</v>
      </c>
      <c r="R110" s="336">
        <f t="shared" si="10"/>
        <v>244436.19222685683</v>
      </c>
      <c r="S110" s="336">
        <f t="shared" si="10"/>
        <v>203696.82685571403</v>
      </c>
      <c r="T110" s="336">
        <f t="shared" si="10"/>
        <v>169747.35571309505</v>
      </c>
      <c r="U110" s="336">
        <f t="shared" si="10"/>
        <v>141456.12976091253</v>
      </c>
      <c r="V110" s="336">
        <f t="shared" si="10"/>
        <v>117880.10813409378</v>
      </c>
      <c r="W110" s="336">
        <f t="shared" si="10"/>
        <v>98233.423445078151</v>
      </c>
      <c r="X110" s="336">
        <f t="shared" si="10"/>
        <v>81861.186204231795</v>
      </c>
      <c r="Y110" s="336">
        <f t="shared" si="10"/>
        <v>68217.65517019316</v>
      </c>
      <c r="Z110" s="336">
        <f t="shared" si="10"/>
        <v>56848.045975160974</v>
      </c>
      <c r="AA110" s="336">
        <f t="shared" si="10"/>
        <v>47373.371645967476</v>
      </c>
      <c r="AB110" s="336">
        <f t="shared" si="10"/>
        <v>39477.809704972897</v>
      </c>
      <c r="AC110" s="336">
        <f t="shared" si="10"/>
        <v>30471.498845533959</v>
      </c>
      <c r="AD110" s="336">
        <f t="shared" si="10"/>
        <v>0</v>
      </c>
      <c r="AE110" s="336">
        <f t="shared" si="10"/>
        <v>0</v>
      </c>
      <c r="AF110" s="336">
        <f t="shared" si="10"/>
        <v>0</v>
      </c>
      <c r="AG110" s="336">
        <f t="shared" si="10"/>
        <v>0</v>
      </c>
      <c r="AH110" s="336">
        <f t="shared" si="10"/>
        <v>0</v>
      </c>
      <c r="AI110" s="336">
        <f t="shared" si="10"/>
        <v>0</v>
      </c>
      <c r="AJ110" s="336">
        <f t="shared" si="10"/>
        <v>0</v>
      </c>
      <c r="AK110" s="336">
        <f t="shared" si="10"/>
        <v>0</v>
      </c>
      <c r="AL110" s="336">
        <f t="shared" si="10"/>
        <v>0</v>
      </c>
      <c r="AM110" s="337">
        <f t="shared" si="10"/>
        <v>0</v>
      </c>
    </row>
    <row r="111" spans="2:39" s="331" customFormat="1" ht="12.95">
      <c r="B111" s="294" t="s">
        <v>442</v>
      </c>
      <c r="C111" s="332" t="s">
        <v>439</v>
      </c>
      <c r="D111" s="296">
        <f t="shared" ref="D111:AM111" si="11">(D147)/(1+$D41)^D76</f>
        <v>6007823.2744286042</v>
      </c>
      <c r="E111" s="297">
        <f t="shared" si="11"/>
        <v>5006519.3953571701</v>
      </c>
      <c r="F111" s="297">
        <f t="shared" si="11"/>
        <v>4172099.4961309754</v>
      </c>
      <c r="G111" s="297">
        <f t="shared" si="11"/>
        <v>3476749.580109146</v>
      </c>
      <c r="H111" s="297">
        <f t="shared" si="11"/>
        <v>2897291.3167576217</v>
      </c>
      <c r="I111" s="297">
        <f t="shared" si="11"/>
        <v>2414409.4306313517</v>
      </c>
      <c r="J111" s="297">
        <f t="shared" si="11"/>
        <v>2012007.8588594596</v>
      </c>
      <c r="K111" s="297">
        <f t="shared" si="11"/>
        <v>1676673.2157162165</v>
      </c>
      <c r="L111" s="297">
        <f t="shared" si="11"/>
        <v>1397227.6797635136</v>
      </c>
      <c r="M111" s="297">
        <f t="shared" si="11"/>
        <v>1164356.3998029281</v>
      </c>
      <c r="N111" s="297">
        <f t="shared" si="11"/>
        <v>970296.99983577337</v>
      </c>
      <c r="O111" s="297">
        <f t="shared" si="11"/>
        <v>808580.83319647785</v>
      </c>
      <c r="P111" s="297">
        <f t="shared" si="11"/>
        <v>673817.36099706497</v>
      </c>
      <c r="Q111" s="297">
        <f t="shared" si="11"/>
        <v>561514.46749755403</v>
      </c>
      <c r="R111" s="297">
        <f t="shared" si="11"/>
        <v>467928.72291462845</v>
      </c>
      <c r="S111" s="297">
        <f t="shared" si="11"/>
        <v>389940.602428857</v>
      </c>
      <c r="T111" s="297">
        <f t="shared" si="11"/>
        <v>324950.50202404754</v>
      </c>
      <c r="U111" s="297">
        <f t="shared" si="11"/>
        <v>270792.08502003964</v>
      </c>
      <c r="V111" s="297">
        <f t="shared" si="11"/>
        <v>225660.07085003302</v>
      </c>
      <c r="W111" s="297">
        <f t="shared" si="11"/>
        <v>188050.05904169418</v>
      </c>
      <c r="X111" s="297">
        <f t="shared" si="11"/>
        <v>156708.38253474515</v>
      </c>
      <c r="Y111" s="297">
        <f t="shared" si="11"/>
        <v>130590.3187789543</v>
      </c>
      <c r="Z111" s="297">
        <f t="shared" si="11"/>
        <v>108825.2656491286</v>
      </c>
      <c r="AA111" s="297">
        <f t="shared" si="11"/>
        <v>90687.721374273839</v>
      </c>
      <c r="AB111" s="297">
        <f t="shared" si="11"/>
        <v>75573.101145228196</v>
      </c>
      <c r="AC111" s="297">
        <f t="shared" si="11"/>
        <v>51742.859275810115</v>
      </c>
      <c r="AD111" s="297">
        <f t="shared" si="11"/>
        <v>43119.049396508432</v>
      </c>
      <c r="AE111" s="297">
        <f t="shared" si="11"/>
        <v>0</v>
      </c>
      <c r="AF111" s="297">
        <f t="shared" si="11"/>
        <v>0</v>
      </c>
      <c r="AG111" s="297">
        <f t="shared" si="11"/>
        <v>0</v>
      </c>
      <c r="AH111" s="297">
        <f t="shared" si="11"/>
        <v>0</v>
      </c>
      <c r="AI111" s="297">
        <f t="shared" si="11"/>
        <v>0</v>
      </c>
      <c r="AJ111" s="297">
        <f t="shared" si="11"/>
        <v>0</v>
      </c>
      <c r="AK111" s="297">
        <f t="shared" si="11"/>
        <v>0</v>
      </c>
      <c r="AL111" s="297">
        <f t="shared" si="11"/>
        <v>0</v>
      </c>
      <c r="AM111" s="298">
        <f t="shared" si="11"/>
        <v>0</v>
      </c>
    </row>
    <row r="112" spans="2:39" s="331" customFormat="1" ht="12.95">
      <c r="B112" s="294" t="s">
        <v>443</v>
      </c>
      <c r="C112" s="332" t="s">
        <v>439</v>
      </c>
      <c r="D112" s="296">
        <f t="shared" ref="D112:AM112" si="12">(D122)/(1+$D41)^D76</f>
        <v>2872667.4320302391</v>
      </c>
      <c r="E112" s="297">
        <f t="shared" si="12"/>
        <v>2393889.5266918661</v>
      </c>
      <c r="F112" s="297">
        <f t="shared" si="12"/>
        <v>1994907.9389098883</v>
      </c>
      <c r="G112" s="297">
        <f t="shared" si="12"/>
        <v>1662423.282424907</v>
      </c>
      <c r="H112" s="297">
        <f t="shared" si="12"/>
        <v>1385352.7353540892</v>
      </c>
      <c r="I112" s="297">
        <f t="shared" si="12"/>
        <v>1154460.6127950742</v>
      </c>
      <c r="J112" s="297">
        <f t="shared" si="12"/>
        <v>962050.51066256198</v>
      </c>
      <c r="K112" s="297">
        <f t="shared" si="12"/>
        <v>801708.75888546836</v>
      </c>
      <c r="L112" s="297">
        <f t="shared" si="12"/>
        <v>668090.63240455696</v>
      </c>
      <c r="M112" s="297">
        <f t="shared" si="12"/>
        <v>556742.1936704641</v>
      </c>
      <c r="N112" s="297">
        <f t="shared" si="12"/>
        <v>463951.8280587201</v>
      </c>
      <c r="O112" s="297">
        <f t="shared" si="12"/>
        <v>386626.52338226675</v>
      </c>
      <c r="P112" s="297">
        <f t="shared" si="12"/>
        <v>322188.76948522235</v>
      </c>
      <c r="Q112" s="297">
        <f t="shared" si="12"/>
        <v>268490.64123768528</v>
      </c>
      <c r="R112" s="297">
        <f t="shared" si="12"/>
        <v>223742.2010314044</v>
      </c>
      <c r="S112" s="297">
        <f t="shared" si="12"/>
        <v>186451.83419283698</v>
      </c>
      <c r="T112" s="297">
        <f t="shared" si="12"/>
        <v>155376.52849403085</v>
      </c>
      <c r="U112" s="297">
        <f t="shared" si="12"/>
        <v>129480.44041169237</v>
      </c>
      <c r="V112" s="297">
        <f t="shared" si="12"/>
        <v>107900.36700974364</v>
      </c>
      <c r="W112" s="297">
        <f t="shared" si="12"/>
        <v>89916.972508119696</v>
      </c>
      <c r="X112" s="297">
        <f t="shared" si="12"/>
        <v>74930.810423433082</v>
      </c>
      <c r="Y112" s="297">
        <f t="shared" si="12"/>
        <v>62442.342019527576</v>
      </c>
      <c r="Z112" s="297">
        <f t="shared" si="12"/>
        <v>52035.285016272981</v>
      </c>
      <c r="AA112" s="297">
        <f t="shared" si="12"/>
        <v>43362.737513560824</v>
      </c>
      <c r="AB112" s="297">
        <f t="shared" si="12"/>
        <v>36135.614594634018</v>
      </c>
      <c r="AC112" s="297">
        <f t="shared" si="12"/>
        <v>24741.07840595235</v>
      </c>
      <c r="AD112" s="297">
        <f t="shared" si="12"/>
        <v>20617.565338293629</v>
      </c>
      <c r="AE112" s="297">
        <f t="shared" si="12"/>
        <v>0</v>
      </c>
      <c r="AF112" s="297">
        <f t="shared" si="12"/>
        <v>0</v>
      </c>
      <c r="AG112" s="297">
        <f t="shared" si="12"/>
        <v>0</v>
      </c>
      <c r="AH112" s="297">
        <f t="shared" si="12"/>
        <v>0</v>
      </c>
      <c r="AI112" s="297">
        <f t="shared" si="12"/>
        <v>0</v>
      </c>
      <c r="AJ112" s="297">
        <f t="shared" si="12"/>
        <v>0</v>
      </c>
      <c r="AK112" s="297">
        <f t="shared" si="12"/>
        <v>0</v>
      </c>
      <c r="AL112" s="297">
        <f t="shared" si="12"/>
        <v>0</v>
      </c>
      <c r="AM112" s="298">
        <f t="shared" si="12"/>
        <v>0</v>
      </c>
    </row>
    <row r="113" spans="1:39" s="331" customFormat="1" ht="12.95">
      <c r="B113" s="294" t="s">
        <v>444</v>
      </c>
      <c r="C113" s="332" t="s">
        <v>439</v>
      </c>
      <c r="D113" s="296">
        <f t="shared" ref="D113:AM113" si="13">(D128)/(1+$D41)^D76</f>
        <v>0</v>
      </c>
      <c r="E113" s="297">
        <f t="shared" si="13"/>
        <v>0</v>
      </c>
      <c r="F113" s="297">
        <f t="shared" si="13"/>
        <v>0</v>
      </c>
      <c r="G113" s="297">
        <f t="shared" si="13"/>
        <v>0</v>
      </c>
      <c r="H113" s="297">
        <f t="shared" si="13"/>
        <v>0</v>
      </c>
      <c r="I113" s="297">
        <f t="shared" si="13"/>
        <v>0</v>
      </c>
      <c r="J113" s="297">
        <f t="shared" si="13"/>
        <v>0</v>
      </c>
      <c r="K113" s="297">
        <f t="shared" si="13"/>
        <v>0</v>
      </c>
      <c r="L113" s="297">
        <f t="shared" si="13"/>
        <v>0</v>
      </c>
      <c r="M113" s="297">
        <f t="shared" si="13"/>
        <v>0</v>
      </c>
      <c r="N113" s="297">
        <f t="shared" si="13"/>
        <v>0</v>
      </c>
      <c r="O113" s="297">
        <f t="shared" si="13"/>
        <v>0</v>
      </c>
      <c r="P113" s="297">
        <f t="shared" si="13"/>
        <v>0</v>
      </c>
      <c r="Q113" s="297">
        <f t="shared" si="13"/>
        <v>0</v>
      </c>
      <c r="R113" s="297">
        <f t="shared" si="13"/>
        <v>0</v>
      </c>
      <c r="S113" s="297">
        <f t="shared" si="13"/>
        <v>0</v>
      </c>
      <c r="T113" s="297">
        <f t="shared" si="13"/>
        <v>0</v>
      </c>
      <c r="U113" s="297">
        <f t="shared" si="13"/>
        <v>0</v>
      </c>
      <c r="V113" s="297">
        <f t="shared" si="13"/>
        <v>0</v>
      </c>
      <c r="W113" s="297">
        <f t="shared" si="13"/>
        <v>0</v>
      </c>
      <c r="X113" s="297">
        <f t="shared" si="13"/>
        <v>0</v>
      </c>
      <c r="Y113" s="297">
        <f t="shared" si="13"/>
        <v>0</v>
      </c>
      <c r="Z113" s="297">
        <f t="shared" si="13"/>
        <v>0</v>
      </c>
      <c r="AA113" s="297">
        <f t="shared" si="13"/>
        <v>0</v>
      </c>
      <c r="AB113" s="297">
        <f t="shared" si="13"/>
        <v>0</v>
      </c>
      <c r="AC113" s="297">
        <f t="shared" si="13"/>
        <v>0</v>
      </c>
      <c r="AD113" s="297">
        <f t="shared" si="13"/>
        <v>0</v>
      </c>
      <c r="AE113" s="297">
        <f t="shared" si="13"/>
        <v>0</v>
      </c>
      <c r="AF113" s="297">
        <f t="shared" si="13"/>
        <v>0</v>
      </c>
      <c r="AG113" s="297">
        <f t="shared" si="13"/>
        <v>0</v>
      </c>
      <c r="AH113" s="297">
        <f t="shared" si="13"/>
        <v>0</v>
      </c>
      <c r="AI113" s="297">
        <f t="shared" si="13"/>
        <v>0</v>
      </c>
      <c r="AJ113" s="297">
        <f t="shared" si="13"/>
        <v>0</v>
      </c>
      <c r="AK113" s="297">
        <f t="shared" si="13"/>
        <v>0</v>
      </c>
      <c r="AL113" s="297">
        <f t="shared" si="13"/>
        <v>0</v>
      </c>
      <c r="AM113" s="298">
        <f t="shared" si="13"/>
        <v>0</v>
      </c>
    </row>
    <row r="114" spans="1:39" s="331" customFormat="1" ht="12.95">
      <c r="B114" s="338"/>
      <c r="C114" s="339"/>
      <c r="D114" s="340"/>
      <c r="E114" s="340"/>
      <c r="F114" s="340"/>
      <c r="G114" s="340"/>
      <c r="H114" s="340"/>
      <c r="I114" s="340"/>
      <c r="J114" s="340"/>
      <c r="K114" s="340"/>
      <c r="L114" s="340"/>
      <c r="M114" s="340"/>
      <c r="N114" s="340"/>
      <c r="O114" s="340"/>
      <c r="P114" s="340"/>
      <c r="Q114" s="340"/>
      <c r="R114" s="340"/>
      <c r="S114" s="340"/>
      <c r="T114" s="340"/>
      <c r="U114" s="340"/>
      <c r="V114" s="340"/>
      <c r="W114" s="340"/>
      <c r="X114" s="340"/>
      <c r="Y114" s="340"/>
      <c r="Z114" s="340"/>
      <c r="AA114" s="340"/>
      <c r="AB114" s="340"/>
      <c r="AC114" s="340"/>
      <c r="AD114" s="340"/>
      <c r="AE114" s="340"/>
      <c r="AF114" s="340"/>
      <c r="AG114" s="340"/>
      <c r="AH114" s="340"/>
      <c r="AI114" s="340"/>
      <c r="AJ114" s="340"/>
      <c r="AK114" s="340"/>
      <c r="AL114" s="340"/>
      <c r="AM114" s="340"/>
    </row>
    <row r="116" spans="1:39" ht="12.95">
      <c r="B116" s="283" t="s">
        <v>445</v>
      </c>
      <c r="C116" s="312" t="s">
        <v>364</v>
      </c>
    </row>
    <row r="117" spans="1:39">
      <c r="B117" s="276" t="s">
        <v>496</v>
      </c>
      <c r="C117" s="315" t="s">
        <v>446</v>
      </c>
      <c r="D117" s="341">
        <f>D78*(0-$D$23)/$C$30</f>
        <v>0</v>
      </c>
      <c r="E117" s="341">
        <f t="shared" ref="E117:AD117" si="14">E78*(0-$D$23)/$C$30</f>
        <v>0</v>
      </c>
      <c r="F117" s="341">
        <f t="shared" si="14"/>
        <v>0</v>
      </c>
      <c r="G117" s="341">
        <f t="shared" si="14"/>
        <v>0</v>
      </c>
      <c r="H117" s="341">
        <f t="shared" si="14"/>
        <v>0</v>
      </c>
      <c r="I117" s="341">
        <f t="shared" si="14"/>
        <v>0</v>
      </c>
      <c r="J117" s="341">
        <f t="shared" si="14"/>
        <v>0</v>
      </c>
      <c r="K117" s="341">
        <f t="shared" si="14"/>
        <v>0</v>
      </c>
      <c r="L117" s="341">
        <f t="shared" si="14"/>
        <v>0</v>
      </c>
      <c r="M117" s="341">
        <f t="shared" si="14"/>
        <v>0</v>
      </c>
      <c r="N117" s="341">
        <f t="shared" si="14"/>
        <v>0</v>
      </c>
      <c r="O117" s="341">
        <f t="shared" si="14"/>
        <v>0</v>
      </c>
      <c r="P117" s="341">
        <f t="shared" si="14"/>
        <v>0</v>
      </c>
      <c r="Q117" s="341">
        <f t="shared" si="14"/>
        <v>0</v>
      </c>
      <c r="R117" s="341">
        <f t="shared" si="14"/>
        <v>0</v>
      </c>
      <c r="S117" s="341">
        <f t="shared" si="14"/>
        <v>0</v>
      </c>
      <c r="T117" s="341">
        <f t="shared" si="14"/>
        <v>0</v>
      </c>
      <c r="U117" s="341">
        <f t="shared" si="14"/>
        <v>0</v>
      </c>
      <c r="V117" s="341">
        <f t="shared" si="14"/>
        <v>0</v>
      </c>
      <c r="W117" s="341">
        <f t="shared" si="14"/>
        <v>0</v>
      </c>
      <c r="X117" s="341">
        <f t="shared" si="14"/>
        <v>0</v>
      </c>
      <c r="Y117" s="341">
        <f t="shared" si="14"/>
        <v>0</v>
      </c>
      <c r="Z117" s="341">
        <f t="shared" si="14"/>
        <v>0</v>
      </c>
      <c r="AA117" s="341">
        <f t="shared" si="14"/>
        <v>0</v>
      </c>
      <c r="AB117" s="341">
        <f t="shared" si="14"/>
        <v>0</v>
      </c>
      <c r="AC117" s="341">
        <f t="shared" si="14"/>
        <v>0</v>
      </c>
      <c r="AD117" s="341">
        <f t="shared" si="14"/>
        <v>0</v>
      </c>
      <c r="AE117" s="342">
        <f t="shared" ref="AE117:AM117" si="15">AE78*(0-$D$22)/$C$30</f>
        <v>0</v>
      </c>
      <c r="AF117" s="342">
        <f t="shared" si="15"/>
        <v>0</v>
      </c>
      <c r="AG117" s="342">
        <f t="shared" si="15"/>
        <v>0</v>
      </c>
      <c r="AH117" s="342">
        <f t="shared" si="15"/>
        <v>0</v>
      </c>
      <c r="AI117" s="342">
        <f t="shared" si="15"/>
        <v>0</v>
      </c>
      <c r="AJ117" s="342">
        <f t="shared" si="15"/>
        <v>0</v>
      </c>
      <c r="AK117" s="342">
        <f t="shared" si="15"/>
        <v>0</v>
      </c>
      <c r="AL117" s="342">
        <f t="shared" si="15"/>
        <v>0</v>
      </c>
      <c r="AM117" s="343">
        <f t="shared" si="15"/>
        <v>0</v>
      </c>
    </row>
    <row r="118" spans="1:39">
      <c r="B118" s="276" t="s">
        <v>497</v>
      </c>
      <c r="C118" s="259" t="s">
        <v>373</v>
      </c>
      <c r="D118" s="344">
        <f>SUM(D117:AD117)</f>
        <v>0</v>
      </c>
    </row>
    <row r="119" spans="1:39">
      <c r="D119" s="345"/>
    </row>
    <row r="120" spans="1:39">
      <c r="D120" s="345"/>
    </row>
    <row r="121" spans="1:39" ht="12.95">
      <c r="B121" s="346" t="s">
        <v>447</v>
      </c>
      <c r="C121" s="312" t="s">
        <v>364</v>
      </c>
      <c r="D121" s="345"/>
    </row>
    <row r="122" spans="1:39">
      <c r="B122" s="294" t="s">
        <v>448</v>
      </c>
      <c r="C122" s="295" t="s">
        <v>417</v>
      </c>
      <c r="D122" s="347">
        <f>D78*($D$17-$D$60)</f>
        <v>2872667.4320302391</v>
      </c>
      <c r="E122" s="348">
        <f t="shared" ref="E122:AM122" si="16">E78*($D$17-$D$60)</f>
        <v>2872667.4320302391</v>
      </c>
      <c r="F122" s="348">
        <f t="shared" si="16"/>
        <v>2872667.4320302391</v>
      </c>
      <c r="G122" s="348">
        <f t="shared" si="16"/>
        <v>2872667.4320302391</v>
      </c>
      <c r="H122" s="348">
        <f t="shared" si="16"/>
        <v>2872667.4320302391</v>
      </c>
      <c r="I122" s="348">
        <f t="shared" si="16"/>
        <v>2872667.4320302391</v>
      </c>
      <c r="J122" s="348">
        <f t="shared" si="16"/>
        <v>2872667.4320302391</v>
      </c>
      <c r="K122" s="348">
        <f t="shared" si="16"/>
        <v>2872667.4320302391</v>
      </c>
      <c r="L122" s="348">
        <f t="shared" si="16"/>
        <v>2872667.4320302391</v>
      </c>
      <c r="M122" s="348">
        <f t="shared" si="16"/>
        <v>2872667.4320302391</v>
      </c>
      <c r="N122" s="348">
        <f t="shared" si="16"/>
        <v>2872667.4320302391</v>
      </c>
      <c r="O122" s="348">
        <f t="shared" si="16"/>
        <v>2872667.4320302391</v>
      </c>
      <c r="P122" s="348">
        <f t="shared" si="16"/>
        <v>2872667.4320302391</v>
      </c>
      <c r="Q122" s="348">
        <f t="shared" si="16"/>
        <v>2872667.4320302391</v>
      </c>
      <c r="R122" s="348">
        <f t="shared" si="16"/>
        <v>2872667.4320302391</v>
      </c>
      <c r="S122" s="348">
        <f t="shared" si="16"/>
        <v>2872667.4320302391</v>
      </c>
      <c r="T122" s="348">
        <f t="shared" si="16"/>
        <v>2872667.4320302391</v>
      </c>
      <c r="U122" s="348">
        <f t="shared" si="16"/>
        <v>2872667.4320302391</v>
      </c>
      <c r="V122" s="348">
        <f t="shared" si="16"/>
        <v>2872667.4320302391</v>
      </c>
      <c r="W122" s="348">
        <f t="shared" si="16"/>
        <v>2872667.4320302391</v>
      </c>
      <c r="X122" s="348">
        <f t="shared" si="16"/>
        <v>2872667.4320302391</v>
      </c>
      <c r="Y122" s="348">
        <f t="shared" si="16"/>
        <v>2872667.4320302391</v>
      </c>
      <c r="Z122" s="348">
        <f t="shared" si="16"/>
        <v>2872667.4320302391</v>
      </c>
      <c r="AA122" s="348">
        <f t="shared" si="16"/>
        <v>2872667.4320302391</v>
      </c>
      <c r="AB122" s="348">
        <f t="shared" si="16"/>
        <v>2872667.4320302391</v>
      </c>
      <c r="AC122" s="348">
        <f t="shared" si="16"/>
        <v>2360205.2756221271</v>
      </c>
      <c r="AD122" s="348">
        <f t="shared" si="16"/>
        <v>2360205.2756221271</v>
      </c>
      <c r="AE122" s="348">
        <f t="shared" si="16"/>
        <v>0</v>
      </c>
      <c r="AF122" s="348">
        <f t="shared" si="16"/>
        <v>0</v>
      </c>
      <c r="AG122" s="348">
        <f t="shared" si="16"/>
        <v>0</v>
      </c>
      <c r="AH122" s="348">
        <f t="shared" si="16"/>
        <v>0</v>
      </c>
      <c r="AI122" s="348">
        <f t="shared" si="16"/>
        <v>0</v>
      </c>
      <c r="AJ122" s="348">
        <f t="shared" si="16"/>
        <v>0</v>
      </c>
      <c r="AK122" s="348">
        <f t="shared" si="16"/>
        <v>0</v>
      </c>
      <c r="AL122" s="348">
        <f t="shared" si="16"/>
        <v>0</v>
      </c>
      <c r="AM122" s="349">
        <f t="shared" si="16"/>
        <v>0</v>
      </c>
    </row>
    <row r="123" spans="1:39" s="281" customFormat="1" ht="12.95">
      <c r="A123" s="215"/>
      <c r="B123" s="350" t="s">
        <v>449</v>
      </c>
      <c r="C123" s="312" t="s">
        <v>331</v>
      </c>
      <c r="D123" s="351">
        <f>SUM(D122:AM122)</f>
        <v>76537096.352000237</v>
      </c>
      <c r="E123" s="352"/>
      <c r="F123" s="352"/>
      <c r="G123" s="352"/>
      <c r="H123" s="352"/>
      <c r="I123" s="352"/>
      <c r="J123" s="352"/>
      <c r="K123" s="352"/>
      <c r="L123" s="352"/>
      <c r="M123" s="352"/>
      <c r="N123" s="352"/>
      <c r="O123" s="352"/>
      <c r="P123" s="352"/>
      <c r="Q123" s="352"/>
      <c r="R123" s="352"/>
      <c r="S123" s="352"/>
      <c r="T123" s="352"/>
      <c r="U123" s="352"/>
      <c r="V123" s="352"/>
      <c r="W123" s="352"/>
      <c r="X123" s="352"/>
      <c r="Y123" s="352"/>
      <c r="Z123" s="352"/>
      <c r="AA123" s="352"/>
      <c r="AB123" s="352"/>
      <c r="AC123" s="352"/>
      <c r="AD123" s="352"/>
      <c r="AE123" s="352"/>
      <c r="AF123" s="352"/>
      <c r="AG123" s="352"/>
      <c r="AH123" s="352"/>
      <c r="AI123" s="352"/>
      <c r="AJ123" s="352"/>
      <c r="AK123" s="352"/>
      <c r="AL123" s="352"/>
      <c r="AM123" s="352"/>
    </row>
    <row r="124" spans="1:39" s="281" customFormat="1">
      <c r="A124" s="215"/>
      <c r="B124" s="345"/>
      <c r="C124" s="345"/>
      <c r="D124" s="345"/>
      <c r="E124" s="352"/>
      <c r="F124" s="352"/>
      <c r="G124" s="352"/>
      <c r="H124" s="352"/>
      <c r="I124" s="352"/>
      <c r="J124" s="352"/>
      <c r="K124" s="352"/>
      <c r="L124" s="352"/>
      <c r="M124" s="352"/>
      <c r="N124" s="352"/>
      <c r="O124" s="352"/>
      <c r="P124" s="352"/>
      <c r="Q124" s="352"/>
      <c r="R124" s="352"/>
      <c r="S124" s="352"/>
      <c r="T124" s="352"/>
      <c r="U124" s="352"/>
      <c r="V124" s="352"/>
      <c r="W124" s="352"/>
      <c r="X124" s="352"/>
      <c r="Y124" s="352"/>
      <c r="Z124" s="352"/>
      <c r="AA124" s="352"/>
      <c r="AB124" s="352"/>
      <c r="AC124" s="352"/>
      <c r="AD124" s="352"/>
      <c r="AE124" s="352"/>
      <c r="AF124" s="352"/>
      <c r="AG124" s="352"/>
      <c r="AH124" s="352"/>
      <c r="AI124" s="352"/>
      <c r="AJ124" s="352"/>
      <c r="AK124" s="352"/>
      <c r="AL124" s="352"/>
      <c r="AM124" s="352"/>
    </row>
    <row r="125" spans="1:39" ht="12.95">
      <c r="B125" s="346" t="s">
        <v>450</v>
      </c>
      <c r="C125" s="345"/>
      <c r="D125" s="345"/>
    </row>
    <row r="126" spans="1:39" s="281" customFormat="1" ht="12.95">
      <c r="A126" s="215"/>
      <c r="B126" s="353" t="s">
        <v>451</v>
      </c>
      <c r="C126" s="312" t="s">
        <v>364</v>
      </c>
      <c r="D126" s="345"/>
      <c r="E126" s="352"/>
      <c r="F126" s="352"/>
      <c r="G126" s="352"/>
      <c r="H126" s="352"/>
      <c r="I126" s="352"/>
      <c r="J126" s="352"/>
      <c r="K126" s="352"/>
      <c r="L126" s="352"/>
      <c r="M126" s="352"/>
      <c r="N126" s="352"/>
      <c r="O126" s="352"/>
      <c r="P126" s="352"/>
      <c r="Q126" s="352"/>
      <c r="R126" s="352"/>
      <c r="S126" s="352"/>
      <c r="T126" s="352"/>
      <c r="U126" s="352"/>
      <c r="V126" s="352"/>
      <c r="W126" s="352"/>
      <c r="X126" s="352"/>
      <c r="Y126" s="352"/>
      <c r="Z126" s="352"/>
      <c r="AA126" s="352"/>
      <c r="AB126" s="352"/>
      <c r="AC126" s="352"/>
      <c r="AD126" s="352"/>
      <c r="AE126" s="352"/>
      <c r="AF126" s="352"/>
      <c r="AG126" s="352"/>
      <c r="AH126" s="352"/>
      <c r="AI126" s="352"/>
      <c r="AJ126" s="352"/>
      <c r="AK126" s="352"/>
      <c r="AL126" s="352"/>
      <c r="AM126" s="352"/>
    </row>
    <row r="127" spans="1:39">
      <c r="B127" s="354" t="s">
        <v>452</v>
      </c>
      <c r="C127" s="355" t="s">
        <v>453</v>
      </c>
      <c r="D127" s="356">
        <v>31</v>
      </c>
    </row>
    <row r="128" spans="1:39">
      <c r="B128" s="286" t="s">
        <v>79</v>
      </c>
      <c r="C128" s="292" t="s">
        <v>417</v>
      </c>
      <c r="D128" s="347">
        <f>$D$127*D117</f>
        <v>0</v>
      </c>
      <c r="E128" s="348">
        <f t="shared" ref="E128:AM128" si="17">$D$127*E117</f>
        <v>0</v>
      </c>
      <c r="F128" s="348">
        <f t="shared" si="17"/>
        <v>0</v>
      </c>
      <c r="G128" s="348">
        <f t="shared" si="17"/>
        <v>0</v>
      </c>
      <c r="H128" s="348">
        <f t="shared" si="17"/>
        <v>0</v>
      </c>
      <c r="I128" s="348">
        <f t="shared" si="17"/>
        <v>0</v>
      </c>
      <c r="J128" s="348">
        <f t="shared" si="17"/>
        <v>0</v>
      </c>
      <c r="K128" s="348">
        <f t="shared" si="17"/>
        <v>0</v>
      </c>
      <c r="L128" s="348">
        <f t="shared" si="17"/>
        <v>0</v>
      </c>
      <c r="M128" s="348">
        <f t="shared" si="17"/>
        <v>0</v>
      </c>
      <c r="N128" s="348">
        <f t="shared" si="17"/>
        <v>0</v>
      </c>
      <c r="O128" s="348">
        <f t="shared" si="17"/>
        <v>0</v>
      </c>
      <c r="P128" s="348">
        <f t="shared" si="17"/>
        <v>0</v>
      </c>
      <c r="Q128" s="348">
        <f t="shared" si="17"/>
        <v>0</v>
      </c>
      <c r="R128" s="348">
        <f t="shared" si="17"/>
        <v>0</v>
      </c>
      <c r="S128" s="348">
        <f t="shared" si="17"/>
        <v>0</v>
      </c>
      <c r="T128" s="348">
        <f t="shared" si="17"/>
        <v>0</v>
      </c>
      <c r="U128" s="348">
        <f t="shared" si="17"/>
        <v>0</v>
      </c>
      <c r="V128" s="348">
        <f t="shared" si="17"/>
        <v>0</v>
      </c>
      <c r="W128" s="348">
        <f t="shared" si="17"/>
        <v>0</v>
      </c>
      <c r="X128" s="348">
        <f t="shared" si="17"/>
        <v>0</v>
      </c>
      <c r="Y128" s="348">
        <f t="shared" si="17"/>
        <v>0</v>
      </c>
      <c r="Z128" s="348">
        <f t="shared" si="17"/>
        <v>0</v>
      </c>
      <c r="AA128" s="348">
        <f t="shared" si="17"/>
        <v>0</v>
      </c>
      <c r="AB128" s="348">
        <f t="shared" si="17"/>
        <v>0</v>
      </c>
      <c r="AC128" s="348">
        <f t="shared" si="17"/>
        <v>0</v>
      </c>
      <c r="AD128" s="348">
        <f t="shared" si="17"/>
        <v>0</v>
      </c>
      <c r="AE128" s="348">
        <f t="shared" si="17"/>
        <v>0</v>
      </c>
      <c r="AF128" s="348">
        <f t="shared" si="17"/>
        <v>0</v>
      </c>
      <c r="AG128" s="348">
        <f t="shared" si="17"/>
        <v>0</v>
      </c>
      <c r="AH128" s="348">
        <f t="shared" si="17"/>
        <v>0</v>
      </c>
      <c r="AI128" s="348">
        <f t="shared" si="17"/>
        <v>0</v>
      </c>
      <c r="AJ128" s="348">
        <f t="shared" si="17"/>
        <v>0</v>
      </c>
      <c r="AK128" s="348">
        <f t="shared" si="17"/>
        <v>0</v>
      </c>
      <c r="AL128" s="348">
        <f t="shared" si="17"/>
        <v>0</v>
      </c>
      <c r="AM128" s="349">
        <f t="shared" si="17"/>
        <v>0</v>
      </c>
    </row>
    <row r="129" spans="2:39" ht="12.95">
      <c r="B129" s="350" t="s">
        <v>454</v>
      </c>
      <c r="C129" s="312" t="s">
        <v>331</v>
      </c>
      <c r="D129" s="309">
        <f>SUM(D128:AM128)</f>
        <v>0</v>
      </c>
    </row>
    <row r="130" spans="2:39">
      <c r="B130" s="286" t="s">
        <v>455</v>
      </c>
      <c r="C130" s="292" t="s">
        <v>417</v>
      </c>
      <c r="D130" s="347">
        <f t="shared" ref="D130:AM130" si="18">(0-$D$22)*D78*$D$127/$C$30</f>
        <v>-37248.504301457338</v>
      </c>
      <c r="E130" s="348">
        <f t="shared" si="18"/>
        <v>-37248.504301457338</v>
      </c>
      <c r="F130" s="348">
        <f t="shared" si="18"/>
        <v>-37248.504301457338</v>
      </c>
      <c r="G130" s="348">
        <f t="shared" si="18"/>
        <v>-37248.504301457338</v>
      </c>
      <c r="H130" s="348">
        <f t="shared" si="18"/>
        <v>-37248.504301457338</v>
      </c>
      <c r="I130" s="348">
        <f t="shared" si="18"/>
        <v>-37248.504301457338</v>
      </c>
      <c r="J130" s="348">
        <f t="shared" si="18"/>
        <v>-37248.504301457338</v>
      </c>
      <c r="K130" s="348">
        <f t="shared" si="18"/>
        <v>-37248.504301457338</v>
      </c>
      <c r="L130" s="348">
        <f t="shared" si="18"/>
        <v>-37248.504301457338</v>
      </c>
      <c r="M130" s="348">
        <f t="shared" si="18"/>
        <v>-37248.504301457338</v>
      </c>
      <c r="N130" s="348">
        <f t="shared" si="18"/>
        <v>-37248.504301457338</v>
      </c>
      <c r="O130" s="348">
        <f t="shared" si="18"/>
        <v>-37248.504301457338</v>
      </c>
      <c r="P130" s="348">
        <f t="shared" si="18"/>
        <v>-37248.504301457338</v>
      </c>
      <c r="Q130" s="348">
        <f t="shared" si="18"/>
        <v>-37248.504301457338</v>
      </c>
      <c r="R130" s="348">
        <f t="shared" si="18"/>
        <v>-37248.504301457338</v>
      </c>
      <c r="S130" s="348">
        <f t="shared" si="18"/>
        <v>-37248.504301457338</v>
      </c>
      <c r="T130" s="348">
        <f t="shared" si="18"/>
        <v>-37248.504301457338</v>
      </c>
      <c r="U130" s="348">
        <f t="shared" si="18"/>
        <v>-37248.504301457338</v>
      </c>
      <c r="V130" s="348">
        <f t="shared" si="18"/>
        <v>-37248.504301457338</v>
      </c>
      <c r="W130" s="348">
        <f t="shared" si="18"/>
        <v>-37248.504301457338</v>
      </c>
      <c r="X130" s="348">
        <f t="shared" si="18"/>
        <v>-37248.504301457338</v>
      </c>
      <c r="Y130" s="348">
        <f t="shared" si="18"/>
        <v>-37248.504301457338</v>
      </c>
      <c r="Z130" s="348">
        <f t="shared" si="18"/>
        <v>-37248.504301457338</v>
      </c>
      <c r="AA130" s="348">
        <f t="shared" si="18"/>
        <v>-37248.504301457338</v>
      </c>
      <c r="AB130" s="348">
        <f t="shared" si="18"/>
        <v>-37248.504301457338</v>
      </c>
      <c r="AC130" s="348">
        <f t="shared" si="18"/>
        <v>-30603.65268220428</v>
      </c>
      <c r="AD130" s="348">
        <f t="shared" si="18"/>
        <v>-30603.65268220428</v>
      </c>
      <c r="AE130" s="348">
        <f t="shared" si="18"/>
        <v>0</v>
      </c>
      <c r="AF130" s="348">
        <f t="shared" si="18"/>
        <v>0</v>
      </c>
      <c r="AG130" s="348">
        <f t="shared" si="18"/>
        <v>0</v>
      </c>
      <c r="AH130" s="348">
        <f t="shared" si="18"/>
        <v>0</v>
      </c>
      <c r="AI130" s="348">
        <f t="shared" si="18"/>
        <v>0</v>
      </c>
      <c r="AJ130" s="348">
        <f t="shared" si="18"/>
        <v>0</v>
      </c>
      <c r="AK130" s="348">
        <f t="shared" si="18"/>
        <v>0</v>
      </c>
      <c r="AL130" s="348">
        <f t="shared" si="18"/>
        <v>0</v>
      </c>
      <c r="AM130" s="349">
        <f t="shared" si="18"/>
        <v>0</v>
      </c>
    </row>
    <row r="131" spans="2:39" ht="12.95">
      <c r="B131" s="350" t="s">
        <v>456</v>
      </c>
      <c r="C131" s="312" t="s">
        <v>331</v>
      </c>
      <c r="D131" s="309">
        <f>SUM(D130:AM130)</f>
        <v>-992419.91290084168</v>
      </c>
    </row>
    <row r="133" spans="2:39" ht="12.95">
      <c r="B133" s="357" t="s">
        <v>457</v>
      </c>
      <c r="C133" s="284" t="s">
        <v>364</v>
      </c>
    </row>
    <row r="134" spans="2:39">
      <c r="B134" s="286" t="str">
        <f>B122</f>
        <v>Avoided electricity cost (grid)</v>
      </c>
      <c r="C134" s="358" t="s">
        <v>417</v>
      </c>
      <c r="D134" s="289">
        <f t="shared" ref="D134:AM134" si="19">D122</f>
        <v>2872667.4320302391</v>
      </c>
      <c r="E134" s="289">
        <f t="shared" si="19"/>
        <v>2872667.4320302391</v>
      </c>
      <c r="F134" s="289">
        <f t="shared" si="19"/>
        <v>2872667.4320302391</v>
      </c>
      <c r="G134" s="289">
        <f t="shared" si="19"/>
        <v>2872667.4320302391</v>
      </c>
      <c r="H134" s="289">
        <f t="shared" si="19"/>
        <v>2872667.4320302391</v>
      </c>
      <c r="I134" s="289">
        <f t="shared" si="19"/>
        <v>2872667.4320302391</v>
      </c>
      <c r="J134" s="289">
        <f t="shared" si="19"/>
        <v>2872667.4320302391</v>
      </c>
      <c r="K134" s="289">
        <f t="shared" si="19"/>
        <v>2872667.4320302391</v>
      </c>
      <c r="L134" s="289">
        <f t="shared" si="19"/>
        <v>2872667.4320302391</v>
      </c>
      <c r="M134" s="289">
        <f t="shared" si="19"/>
        <v>2872667.4320302391</v>
      </c>
      <c r="N134" s="289">
        <f t="shared" si="19"/>
        <v>2872667.4320302391</v>
      </c>
      <c r="O134" s="289">
        <f t="shared" si="19"/>
        <v>2872667.4320302391</v>
      </c>
      <c r="P134" s="289">
        <f t="shared" si="19"/>
        <v>2872667.4320302391</v>
      </c>
      <c r="Q134" s="289">
        <f t="shared" si="19"/>
        <v>2872667.4320302391</v>
      </c>
      <c r="R134" s="289">
        <f t="shared" si="19"/>
        <v>2872667.4320302391</v>
      </c>
      <c r="S134" s="289">
        <f t="shared" si="19"/>
        <v>2872667.4320302391</v>
      </c>
      <c r="T134" s="289">
        <f t="shared" si="19"/>
        <v>2872667.4320302391</v>
      </c>
      <c r="U134" s="289">
        <f t="shared" si="19"/>
        <v>2872667.4320302391</v>
      </c>
      <c r="V134" s="289">
        <f t="shared" si="19"/>
        <v>2872667.4320302391</v>
      </c>
      <c r="W134" s="289">
        <f t="shared" si="19"/>
        <v>2872667.4320302391</v>
      </c>
      <c r="X134" s="289">
        <f t="shared" si="19"/>
        <v>2872667.4320302391</v>
      </c>
      <c r="Y134" s="289">
        <f t="shared" si="19"/>
        <v>2872667.4320302391</v>
      </c>
      <c r="Z134" s="289">
        <f t="shared" si="19"/>
        <v>2872667.4320302391</v>
      </c>
      <c r="AA134" s="289">
        <f t="shared" si="19"/>
        <v>2872667.4320302391</v>
      </c>
      <c r="AB134" s="289">
        <f t="shared" si="19"/>
        <v>2872667.4320302391</v>
      </c>
      <c r="AC134" s="289">
        <f t="shared" si="19"/>
        <v>2360205.2756221271</v>
      </c>
      <c r="AD134" s="289">
        <f t="shared" si="19"/>
        <v>2360205.2756221271</v>
      </c>
      <c r="AE134" s="289">
        <f t="shared" si="19"/>
        <v>0</v>
      </c>
      <c r="AF134" s="289">
        <f t="shared" si="19"/>
        <v>0</v>
      </c>
      <c r="AG134" s="289">
        <f t="shared" si="19"/>
        <v>0</v>
      </c>
      <c r="AH134" s="289">
        <f t="shared" si="19"/>
        <v>0</v>
      </c>
      <c r="AI134" s="289">
        <f t="shared" si="19"/>
        <v>0</v>
      </c>
      <c r="AJ134" s="289">
        <f t="shared" si="19"/>
        <v>0</v>
      </c>
      <c r="AK134" s="289">
        <f t="shared" si="19"/>
        <v>0</v>
      </c>
      <c r="AL134" s="289">
        <f t="shared" si="19"/>
        <v>0</v>
      </c>
      <c r="AM134" s="290">
        <f t="shared" si="19"/>
        <v>0</v>
      </c>
    </row>
    <row r="135" spans="2:39">
      <c r="B135" s="294" t="str">
        <f>B128</f>
        <v>Avoided annual social cost of carbon</v>
      </c>
      <c r="C135" s="332" t="s">
        <v>417</v>
      </c>
      <c r="D135" s="255">
        <f t="shared" ref="D135:AM135" si="20">D128</f>
        <v>0</v>
      </c>
      <c r="E135" s="255">
        <f t="shared" si="20"/>
        <v>0</v>
      </c>
      <c r="F135" s="255">
        <f t="shared" si="20"/>
        <v>0</v>
      </c>
      <c r="G135" s="255">
        <f t="shared" si="20"/>
        <v>0</v>
      </c>
      <c r="H135" s="255">
        <f t="shared" si="20"/>
        <v>0</v>
      </c>
      <c r="I135" s="255">
        <f t="shared" si="20"/>
        <v>0</v>
      </c>
      <c r="J135" s="255">
        <f t="shared" si="20"/>
        <v>0</v>
      </c>
      <c r="K135" s="255">
        <f t="shared" si="20"/>
        <v>0</v>
      </c>
      <c r="L135" s="255">
        <f t="shared" si="20"/>
        <v>0</v>
      </c>
      <c r="M135" s="255">
        <f t="shared" si="20"/>
        <v>0</v>
      </c>
      <c r="N135" s="255">
        <f t="shared" si="20"/>
        <v>0</v>
      </c>
      <c r="O135" s="255">
        <f t="shared" si="20"/>
        <v>0</v>
      </c>
      <c r="P135" s="255">
        <f t="shared" si="20"/>
        <v>0</v>
      </c>
      <c r="Q135" s="255">
        <f t="shared" si="20"/>
        <v>0</v>
      </c>
      <c r="R135" s="255">
        <f t="shared" si="20"/>
        <v>0</v>
      </c>
      <c r="S135" s="255">
        <f t="shared" si="20"/>
        <v>0</v>
      </c>
      <c r="T135" s="255">
        <f t="shared" si="20"/>
        <v>0</v>
      </c>
      <c r="U135" s="255">
        <f t="shared" si="20"/>
        <v>0</v>
      </c>
      <c r="V135" s="255">
        <f t="shared" si="20"/>
        <v>0</v>
      </c>
      <c r="W135" s="255">
        <f t="shared" si="20"/>
        <v>0</v>
      </c>
      <c r="X135" s="255">
        <f t="shared" si="20"/>
        <v>0</v>
      </c>
      <c r="Y135" s="255">
        <f t="shared" si="20"/>
        <v>0</v>
      </c>
      <c r="Z135" s="255">
        <f t="shared" si="20"/>
        <v>0</v>
      </c>
      <c r="AA135" s="255">
        <f t="shared" si="20"/>
        <v>0</v>
      </c>
      <c r="AB135" s="255">
        <f t="shared" si="20"/>
        <v>0</v>
      </c>
      <c r="AC135" s="255">
        <f t="shared" si="20"/>
        <v>0</v>
      </c>
      <c r="AD135" s="255">
        <f t="shared" si="20"/>
        <v>0</v>
      </c>
      <c r="AE135" s="255">
        <f t="shared" si="20"/>
        <v>0</v>
      </c>
      <c r="AF135" s="255">
        <f t="shared" si="20"/>
        <v>0</v>
      </c>
      <c r="AG135" s="255">
        <f t="shared" si="20"/>
        <v>0</v>
      </c>
      <c r="AH135" s="255">
        <f t="shared" si="20"/>
        <v>0</v>
      </c>
      <c r="AI135" s="255">
        <f t="shared" si="20"/>
        <v>0</v>
      </c>
      <c r="AJ135" s="255">
        <f t="shared" si="20"/>
        <v>0</v>
      </c>
      <c r="AK135" s="255">
        <f t="shared" si="20"/>
        <v>0</v>
      </c>
      <c r="AL135" s="255">
        <f t="shared" si="20"/>
        <v>0</v>
      </c>
      <c r="AM135" s="293">
        <f t="shared" si="20"/>
        <v>0</v>
      </c>
    </row>
    <row r="136" spans="2:39" ht="12.95">
      <c r="B136" s="359" t="s">
        <v>458</v>
      </c>
      <c r="C136" s="324" t="s">
        <v>417</v>
      </c>
      <c r="D136" s="321">
        <f>D134+D135</f>
        <v>2872667.4320302391</v>
      </c>
      <c r="E136" s="321">
        <f t="shared" ref="E136:AM136" si="21">E134+E135</f>
        <v>2872667.4320302391</v>
      </c>
      <c r="F136" s="321">
        <f t="shared" si="21"/>
        <v>2872667.4320302391</v>
      </c>
      <c r="G136" s="321">
        <f t="shared" si="21"/>
        <v>2872667.4320302391</v>
      </c>
      <c r="H136" s="321">
        <f t="shared" si="21"/>
        <v>2872667.4320302391</v>
      </c>
      <c r="I136" s="321">
        <f t="shared" si="21"/>
        <v>2872667.4320302391</v>
      </c>
      <c r="J136" s="321">
        <f t="shared" si="21"/>
        <v>2872667.4320302391</v>
      </c>
      <c r="K136" s="321">
        <f t="shared" si="21"/>
        <v>2872667.4320302391</v>
      </c>
      <c r="L136" s="321">
        <f t="shared" si="21"/>
        <v>2872667.4320302391</v>
      </c>
      <c r="M136" s="321">
        <f t="shared" si="21"/>
        <v>2872667.4320302391</v>
      </c>
      <c r="N136" s="321">
        <f t="shared" si="21"/>
        <v>2872667.4320302391</v>
      </c>
      <c r="O136" s="321">
        <f t="shared" si="21"/>
        <v>2872667.4320302391</v>
      </c>
      <c r="P136" s="321">
        <f t="shared" si="21"/>
        <v>2872667.4320302391</v>
      </c>
      <c r="Q136" s="321">
        <f t="shared" si="21"/>
        <v>2872667.4320302391</v>
      </c>
      <c r="R136" s="321">
        <f t="shared" si="21"/>
        <v>2872667.4320302391</v>
      </c>
      <c r="S136" s="321">
        <f t="shared" si="21"/>
        <v>2872667.4320302391</v>
      </c>
      <c r="T136" s="321">
        <f t="shared" si="21"/>
        <v>2872667.4320302391</v>
      </c>
      <c r="U136" s="321">
        <f t="shared" si="21"/>
        <v>2872667.4320302391</v>
      </c>
      <c r="V136" s="321">
        <f t="shared" si="21"/>
        <v>2872667.4320302391</v>
      </c>
      <c r="W136" s="321">
        <f t="shared" si="21"/>
        <v>2872667.4320302391</v>
      </c>
      <c r="X136" s="321">
        <f t="shared" si="21"/>
        <v>2872667.4320302391</v>
      </c>
      <c r="Y136" s="321">
        <f t="shared" si="21"/>
        <v>2872667.4320302391</v>
      </c>
      <c r="Z136" s="321">
        <f t="shared" si="21"/>
        <v>2872667.4320302391</v>
      </c>
      <c r="AA136" s="321">
        <f t="shared" si="21"/>
        <v>2872667.4320302391</v>
      </c>
      <c r="AB136" s="321">
        <f t="shared" si="21"/>
        <v>2872667.4320302391</v>
      </c>
      <c r="AC136" s="321">
        <f t="shared" si="21"/>
        <v>2360205.2756221271</v>
      </c>
      <c r="AD136" s="321">
        <f t="shared" si="21"/>
        <v>2360205.2756221271</v>
      </c>
      <c r="AE136" s="321">
        <f t="shared" si="21"/>
        <v>0</v>
      </c>
      <c r="AF136" s="321">
        <f t="shared" si="21"/>
        <v>0</v>
      </c>
      <c r="AG136" s="321">
        <f t="shared" si="21"/>
        <v>0</v>
      </c>
      <c r="AH136" s="321">
        <f t="shared" si="21"/>
        <v>0</v>
      </c>
      <c r="AI136" s="321">
        <f t="shared" si="21"/>
        <v>0</v>
      </c>
      <c r="AJ136" s="321">
        <f t="shared" si="21"/>
        <v>0</v>
      </c>
      <c r="AK136" s="321">
        <f t="shared" si="21"/>
        <v>0</v>
      </c>
      <c r="AL136" s="321">
        <f t="shared" si="21"/>
        <v>0</v>
      </c>
      <c r="AM136" s="322">
        <f t="shared" si="21"/>
        <v>0</v>
      </c>
    </row>
    <row r="137" spans="2:39">
      <c r="B137" s="360" t="s">
        <v>424</v>
      </c>
      <c r="C137" s="358" t="s">
        <v>417</v>
      </c>
      <c r="D137" s="289">
        <f t="shared" ref="D137:M137" si="22">D94</f>
        <v>22901219.264576923</v>
      </c>
      <c r="E137" s="289">
        <f t="shared" si="22"/>
        <v>0</v>
      </c>
      <c r="F137" s="289">
        <f t="shared" si="22"/>
        <v>0</v>
      </c>
      <c r="G137" s="289">
        <f t="shared" si="22"/>
        <v>0</v>
      </c>
      <c r="H137" s="289">
        <f t="shared" si="22"/>
        <v>0</v>
      </c>
      <c r="I137" s="289">
        <f t="shared" si="22"/>
        <v>0</v>
      </c>
      <c r="J137" s="289">
        <f t="shared" si="22"/>
        <v>0</v>
      </c>
      <c r="K137" s="289">
        <f t="shared" si="22"/>
        <v>0</v>
      </c>
      <c r="L137" s="289">
        <f t="shared" si="22"/>
        <v>0</v>
      </c>
      <c r="M137" s="290">
        <f t="shared" si="22"/>
        <v>0</v>
      </c>
      <c r="N137" s="352"/>
    </row>
    <row r="138" spans="2:39">
      <c r="B138" s="361" t="s">
        <v>459</v>
      </c>
      <c r="C138" s="358" t="s">
        <v>417</v>
      </c>
      <c r="D138" s="289">
        <f>D9</f>
        <v>2222312.6354576922</v>
      </c>
      <c r="E138" s="289">
        <f t="shared" ref="E138:AB138" si="23">$D$138</f>
        <v>2222312.6354576922</v>
      </c>
      <c r="F138" s="289">
        <f t="shared" si="23"/>
        <v>2222312.6354576922</v>
      </c>
      <c r="G138" s="289">
        <f t="shared" si="23"/>
        <v>2222312.6354576922</v>
      </c>
      <c r="H138" s="289">
        <f t="shared" si="23"/>
        <v>2222312.6354576922</v>
      </c>
      <c r="I138" s="289">
        <f t="shared" si="23"/>
        <v>2222312.6354576922</v>
      </c>
      <c r="J138" s="289">
        <f t="shared" si="23"/>
        <v>2222312.6354576922</v>
      </c>
      <c r="K138" s="289">
        <f t="shared" si="23"/>
        <v>2222312.6354576922</v>
      </c>
      <c r="L138" s="289">
        <f t="shared" si="23"/>
        <v>2222312.6354576922</v>
      </c>
      <c r="M138" s="289">
        <f t="shared" si="23"/>
        <v>2222312.6354576922</v>
      </c>
      <c r="N138" s="289">
        <f t="shared" si="23"/>
        <v>2222312.6354576922</v>
      </c>
      <c r="O138" s="289">
        <f t="shared" si="23"/>
        <v>2222312.6354576922</v>
      </c>
      <c r="P138" s="289">
        <f t="shared" si="23"/>
        <v>2222312.6354576922</v>
      </c>
      <c r="Q138" s="289">
        <f t="shared" si="23"/>
        <v>2222312.6354576922</v>
      </c>
      <c r="R138" s="289">
        <f t="shared" si="23"/>
        <v>2222312.6354576922</v>
      </c>
      <c r="S138" s="289">
        <f t="shared" si="23"/>
        <v>2222312.6354576922</v>
      </c>
      <c r="T138" s="289">
        <f t="shared" si="23"/>
        <v>2222312.6354576922</v>
      </c>
      <c r="U138" s="289">
        <f t="shared" si="23"/>
        <v>2222312.6354576922</v>
      </c>
      <c r="V138" s="289">
        <f t="shared" si="23"/>
        <v>2222312.6354576922</v>
      </c>
      <c r="W138" s="289">
        <f t="shared" si="23"/>
        <v>2222312.6354576922</v>
      </c>
      <c r="X138" s="289">
        <f t="shared" si="23"/>
        <v>2222312.6354576922</v>
      </c>
      <c r="Y138" s="289">
        <f t="shared" si="23"/>
        <v>2222312.6354576922</v>
      </c>
      <c r="Z138" s="289">
        <f t="shared" si="23"/>
        <v>2222312.6354576922</v>
      </c>
      <c r="AA138" s="289">
        <f t="shared" si="23"/>
        <v>2222312.6354576922</v>
      </c>
      <c r="AB138" s="289">
        <f t="shared" si="23"/>
        <v>2222312.6354576922</v>
      </c>
      <c r="AC138" s="289">
        <v>1990816.9347549786</v>
      </c>
      <c r="AD138" s="289">
        <v>1990816.9347549786</v>
      </c>
      <c r="AE138" s="289" t="e">
        <f>AE82+#REF!</f>
        <v>#REF!</v>
      </c>
      <c r="AF138" s="289" t="e">
        <f>AF82+#REF!</f>
        <v>#REF!</v>
      </c>
      <c r="AG138" s="289" t="e">
        <f>AG82+#REF!</f>
        <v>#REF!</v>
      </c>
      <c r="AH138" s="289" t="e">
        <f>AH82+#REF!</f>
        <v>#REF!</v>
      </c>
      <c r="AI138" s="289" t="e">
        <f>AI82+#REF!</f>
        <v>#REF!</v>
      </c>
      <c r="AJ138" s="289" t="e">
        <f>AJ82+#REF!</f>
        <v>#REF!</v>
      </c>
      <c r="AK138" s="289" t="e">
        <f>AK82+#REF!</f>
        <v>#REF!</v>
      </c>
      <c r="AL138" s="289" t="e">
        <f>AL82+#REF!</f>
        <v>#REF!</v>
      </c>
      <c r="AM138" s="290" t="e">
        <f>AM82+#REF!</f>
        <v>#REF!</v>
      </c>
    </row>
    <row r="139" spans="2:39">
      <c r="B139" s="362" t="s">
        <v>460</v>
      </c>
      <c r="C139" s="363" t="s">
        <v>417</v>
      </c>
      <c r="D139" s="255">
        <f t="shared" ref="D139:AM139" si="24">D83</f>
        <v>0</v>
      </c>
      <c r="E139" s="255">
        <f t="shared" si="24"/>
        <v>0</v>
      </c>
      <c r="F139" s="255">
        <f t="shared" si="24"/>
        <v>0</v>
      </c>
      <c r="G139" s="255">
        <f t="shared" si="24"/>
        <v>0</v>
      </c>
      <c r="H139" s="255">
        <f t="shared" si="24"/>
        <v>0</v>
      </c>
      <c r="I139" s="255">
        <f t="shared" si="24"/>
        <v>0</v>
      </c>
      <c r="J139" s="255">
        <f t="shared" si="24"/>
        <v>0</v>
      </c>
      <c r="K139" s="255">
        <f t="shared" si="24"/>
        <v>0</v>
      </c>
      <c r="L139" s="255">
        <f t="shared" si="24"/>
        <v>0</v>
      </c>
      <c r="M139" s="255">
        <f t="shared" si="24"/>
        <v>0</v>
      </c>
      <c r="N139" s="255">
        <f t="shared" si="24"/>
        <v>0</v>
      </c>
      <c r="O139" s="255">
        <f t="shared" si="24"/>
        <v>0</v>
      </c>
      <c r="P139" s="255">
        <f t="shared" si="24"/>
        <v>0</v>
      </c>
      <c r="Q139" s="255">
        <f t="shared" si="24"/>
        <v>0</v>
      </c>
      <c r="R139" s="255">
        <f t="shared" si="24"/>
        <v>0</v>
      </c>
      <c r="S139" s="255">
        <f t="shared" si="24"/>
        <v>0</v>
      </c>
      <c r="T139" s="255">
        <f t="shared" si="24"/>
        <v>0</v>
      </c>
      <c r="U139" s="255">
        <f t="shared" si="24"/>
        <v>0</v>
      </c>
      <c r="V139" s="255">
        <f t="shared" si="24"/>
        <v>0</v>
      </c>
      <c r="W139" s="255">
        <f t="shared" si="24"/>
        <v>0</v>
      </c>
      <c r="X139" s="255">
        <f t="shared" si="24"/>
        <v>0</v>
      </c>
      <c r="Y139" s="255">
        <f t="shared" si="24"/>
        <v>0</v>
      </c>
      <c r="Z139" s="255">
        <f t="shared" si="24"/>
        <v>0</v>
      </c>
      <c r="AA139" s="255">
        <f t="shared" si="24"/>
        <v>0</v>
      </c>
      <c r="AB139" s="255">
        <f t="shared" si="24"/>
        <v>0</v>
      </c>
      <c r="AC139" s="255">
        <f t="shared" si="24"/>
        <v>0</v>
      </c>
      <c r="AD139" s="255">
        <f t="shared" si="24"/>
        <v>0</v>
      </c>
      <c r="AE139" s="255">
        <f t="shared" si="24"/>
        <v>0</v>
      </c>
      <c r="AF139" s="255">
        <f t="shared" si="24"/>
        <v>0</v>
      </c>
      <c r="AG139" s="255">
        <f t="shared" si="24"/>
        <v>0</v>
      </c>
      <c r="AH139" s="255">
        <f t="shared" si="24"/>
        <v>0</v>
      </c>
      <c r="AI139" s="255">
        <f t="shared" si="24"/>
        <v>0</v>
      </c>
      <c r="AJ139" s="255">
        <f t="shared" si="24"/>
        <v>0</v>
      </c>
      <c r="AK139" s="255">
        <f t="shared" si="24"/>
        <v>0</v>
      </c>
      <c r="AL139" s="255">
        <f t="shared" si="24"/>
        <v>0</v>
      </c>
      <c r="AM139" s="293">
        <f t="shared" si="24"/>
        <v>0</v>
      </c>
    </row>
    <row r="140" spans="2:39">
      <c r="B140" s="362" t="s">
        <v>428</v>
      </c>
      <c r="C140" s="363" t="s">
        <v>417</v>
      </c>
      <c r="D140" s="255">
        <f>D97</f>
        <v>0</v>
      </c>
      <c r="E140" s="255">
        <f t="shared" ref="E140:AM141" si="25">E97</f>
        <v>0</v>
      </c>
      <c r="F140" s="255">
        <f t="shared" si="25"/>
        <v>0</v>
      </c>
      <c r="G140" s="255">
        <f t="shared" si="25"/>
        <v>0</v>
      </c>
      <c r="H140" s="255">
        <f t="shared" si="25"/>
        <v>0</v>
      </c>
      <c r="I140" s="255">
        <f t="shared" si="25"/>
        <v>0</v>
      </c>
      <c r="J140" s="255">
        <f t="shared" si="25"/>
        <v>0</v>
      </c>
      <c r="K140" s="255">
        <f t="shared" si="25"/>
        <v>0</v>
      </c>
      <c r="L140" s="255">
        <f t="shared" si="25"/>
        <v>0</v>
      </c>
      <c r="M140" s="255">
        <f t="shared" si="25"/>
        <v>0</v>
      </c>
      <c r="N140" s="255">
        <f t="shared" si="25"/>
        <v>0</v>
      </c>
      <c r="O140" s="255">
        <f t="shared" si="25"/>
        <v>0</v>
      </c>
      <c r="P140" s="255">
        <f t="shared" si="25"/>
        <v>0</v>
      </c>
      <c r="Q140" s="255">
        <f t="shared" si="25"/>
        <v>0</v>
      </c>
      <c r="R140" s="255">
        <f t="shared" si="25"/>
        <v>0</v>
      </c>
      <c r="S140" s="255">
        <f t="shared" si="25"/>
        <v>0</v>
      </c>
      <c r="T140" s="255">
        <f t="shared" si="25"/>
        <v>0</v>
      </c>
      <c r="U140" s="255">
        <f t="shared" si="25"/>
        <v>0</v>
      </c>
      <c r="V140" s="255">
        <f t="shared" si="25"/>
        <v>0</v>
      </c>
      <c r="W140" s="255">
        <f t="shared" si="25"/>
        <v>0</v>
      </c>
      <c r="X140" s="255">
        <f t="shared" si="25"/>
        <v>0</v>
      </c>
      <c r="Y140" s="255">
        <f t="shared" si="25"/>
        <v>0</v>
      </c>
      <c r="Z140" s="255">
        <f t="shared" si="25"/>
        <v>0</v>
      </c>
      <c r="AA140" s="255">
        <f t="shared" si="25"/>
        <v>0</v>
      </c>
      <c r="AB140" s="255">
        <f t="shared" si="25"/>
        <v>0</v>
      </c>
      <c r="AC140" s="255">
        <f t="shared" si="25"/>
        <v>0</v>
      </c>
      <c r="AD140" s="255">
        <f t="shared" si="25"/>
        <v>0</v>
      </c>
      <c r="AE140" s="255">
        <f t="shared" si="25"/>
        <v>0</v>
      </c>
      <c r="AF140" s="255">
        <f t="shared" si="25"/>
        <v>0</v>
      </c>
      <c r="AG140" s="255">
        <f t="shared" si="25"/>
        <v>0</v>
      </c>
      <c r="AH140" s="255">
        <f t="shared" si="25"/>
        <v>0</v>
      </c>
      <c r="AI140" s="255">
        <f t="shared" si="25"/>
        <v>0</v>
      </c>
      <c r="AJ140" s="255">
        <f t="shared" si="25"/>
        <v>0</v>
      </c>
      <c r="AK140" s="255">
        <f t="shared" si="25"/>
        <v>0</v>
      </c>
      <c r="AL140" s="255">
        <f t="shared" si="25"/>
        <v>0</v>
      </c>
      <c r="AM140" s="293">
        <f t="shared" si="25"/>
        <v>0</v>
      </c>
    </row>
    <row r="141" spans="2:39">
      <c r="B141" s="364" t="s">
        <v>429</v>
      </c>
      <c r="C141" s="332" t="s">
        <v>417</v>
      </c>
      <c r="D141" s="297">
        <f>D98</f>
        <v>0</v>
      </c>
      <c r="E141" s="297">
        <f t="shared" si="25"/>
        <v>916048.77058307687</v>
      </c>
      <c r="F141" s="297">
        <f t="shared" si="25"/>
        <v>916048.77058307687</v>
      </c>
      <c r="G141" s="297">
        <f t="shared" si="25"/>
        <v>916048.77058307687</v>
      </c>
      <c r="H141" s="297">
        <f t="shared" si="25"/>
        <v>916048.77058307687</v>
      </c>
      <c r="I141" s="297">
        <f t="shared" si="25"/>
        <v>916048.77058307687</v>
      </c>
      <c r="J141" s="297">
        <f t="shared" si="25"/>
        <v>916048.77058307687</v>
      </c>
      <c r="K141" s="297">
        <f t="shared" si="25"/>
        <v>916048.77058307687</v>
      </c>
      <c r="L141" s="297">
        <f t="shared" si="25"/>
        <v>916048.77058307687</v>
      </c>
      <c r="M141" s="297">
        <f t="shared" si="25"/>
        <v>916048.77058307687</v>
      </c>
      <c r="N141" s="297">
        <f t="shared" si="25"/>
        <v>916048.77058307687</v>
      </c>
      <c r="O141" s="297">
        <f t="shared" si="25"/>
        <v>916048.77058307687</v>
      </c>
      <c r="P141" s="297">
        <f t="shared" si="25"/>
        <v>916048.77058307687</v>
      </c>
      <c r="Q141" s="297">
        <f t="shared" si="25"/>
        <v>916048.77058307687</v>
      </c>
      <c r="R141" s="297">
        <f t="shared" si="25"/>
        <v>916048.77058307687</v>
      </c>
      <c r="S141" s="297">
        <f t="shared" si="25"/>
        <v>916048.77058307687</v>
      </c>
      <c r="T141" s="297">
        <f t="shared" si="25"/>
        <v>916048.77058307687</v>
      </c>
      <c r="U141" s="297">
        <f t="shared" si="25"/>
        <v>916048.77058307687</v>
      </c>
      <c r="V141" s="297">
        <f t="shared" si="25"/>
        <v>916048.77058307687</v>
      </c>
      <c r="W141" s="297">
        <f t="shared" si="25"/>
        <v>916048.77058307687</v>
      </c>
      <c r="X141" s="297">
        <f t="shared" si="25"/>
        <v>916048.77058307687</v>
      </c>
      <c r="Y141" s="297">
        <f t="shared" si="25"/>
        <v>916048.77058307687</v>
      </c>
      <c r="Z141" s="297">
        <f t="shared" si="25"/>
        <v>916048.77058307687</v>
      </c>
      <c r="AA141" s="297">
        <f t="shared" si="25"/>
        <v>916048.77058307687</v>
      </c>
      <c r="AB141" s="297">
        <f t="shared" si="25"/>
        <v>916048.77058307687</v>
      </c>
      <c r="AC141" s="297">
        <f t="shared" si="25"/>
        <v>916048.77058307687</v>
      </c>
      <c r="AD141" s="297">
        <f t="shared" si="25"/>
        <v>0</v>
      </c>
      <c r="AE141" s="297">
        <f t="shared" si="25"/>
        <v>0</v>
      </c>
      <c r="AF141" s="297">
        <f t="shared" si="25"/>
        <v>0</v>
      </c>
      <c r="AG141" s="297">
        <f t="shared" si="25"/>
        <v>0</v>
      </c>
      <c r="AH141" s="297">
        <f t="shared" si="25"/>
        <v>0</v>
      </c>
      <c r="AI141" s="297">
        <f t="shared" si="25"/>
        <v>0</v>
      </c>
      <c r="AJ141" s="297">
        <f t="shared" si="25"/>
        <v>0</v>
      </c>
      <c r="AK141" s="297">
        <f t="shared" si="25"/>
        <v>0</v>
      </c>
      <c r="AL141" s="297">
        <f t="shared" si="25"/>
        <v>0</v>
      </c>
      <c r="AM141" s="298">
        <f t="shared" si="25"/>
        <v>0</v>
      </c>
    </row>
    <row r="142" spans="2:39" ht="12.95">
      <c r="B142" s="365" t="s">
        <v>461</v>
      </c>
      <c r="C142" s="366" t="s">
        <v>417</v>
      </c>
      <c r="D142" s="302">
        <f>SUM(D137:D141)</f>
        <v>25123531.900034614</v>
      </c>
      <c r="E142" s="302">
        <f t="shared" ref="E142:AM142" si="26">SUM(E137:E141)</f>
        <v>3138361.4060407691</v>
      </c>
      <c r="F142" s="302">
        <f t="shared" si="26"/>
        <v>3138361.4060407691</v>
      </c>
      <c r="G142" s="302">
        <f t="shared" si="26"/>
        <v>3138361.4060407691</v>
      </c>
      <c r="H142" s="302">
        <f t="shared" si="26"/>
        <v>3138361.4060407691</v>
      </c>
      <c r="I142" s="302">
        <f t="shared" si="26"/>
        <v>3138361.4060407691</v>
      </c>
      <c r="J142" s="302">
        <f t="shared" si="26"/>
        <v>3138361.4060407691</v>
      </c>
      <c r="K142" s="302">
        <f t="shared" si="26"/>
        <v>3138361.4060407691</v>
      </c>
      <c r="L142" s="302">
        <f t="shared" si="26"/>
        <v>3138361.4060407691</v>
      </c>
      <c r="M142" s="302">
        <f t="shared" si="26"/>
        <v>3138361.4060407691</v>
      </c>
      <c r="N142" s="302">
        <f t="shared" si="26"/>
        <v>3138361.4060407691</v>
      </c>
      <c r="O142" s="302">
        <f t="shared" si="26"/>
        <v>3138361.4060407691</v>
      </c>
      <c r="P142" s="302">
        <f t="shared" si="26"/>
        <v>3138361.4060407691</v>
      </c>
      <c r="Q142" s="302">
        <f t="shared" si="26"/>
        <v>3138361.4060407691</v>
      </c>
      <c r="R142" s="302">
        <f t="shared" si="26"/>
        <v>3138361.4060407691</v>
      </c>
      <c r="S142" s="302">
        <f t="shared" si="26"/>
        <v>3138361.4060407691</v>
      </c>
      <c r="T142" s="302">
        <f t="shared" si="26"/>
        <v>3138361.4060407691</v>
      </c>
      <c r="U142" s="302">
        <f t="shared" si="26"/>
        <v>3138361.4060407691</v>
      </c>
      <c r="V142" s="302">
        <f t="shared" si="26"/>
        <v>3138361.4060407691</v>
      </c>
      <c r="W142" s="302">
        <f t="shared" si="26"/>
        <v>3138361.4060407691</v>
      </c>
      <c r="X142" s="302">
        <f t="shared" si="26"/>
        <v>3138361.4060407691</v>
      </c>
      <c r="Y142" s="302">
        <f t="shared" si="26"/>
        <v>3138361.4060407691</v>
      </c>
      <c r="Z142" s="302">
        <f t="shared" si="26"/>
        <v>3138361.4060407691</v>
      </c>
      <c r="AA142" s="302">
        <f t="shared" si="26"/>
        <v>3138361.4060407691</v>
      </c>
      <c r="AB142" s="302">
        <f t="shared" si="26"/>
        <v>3138361.4060407691</v>
      </c>
      <c r="AC142" s="302">
        <f t="shared" si="26"/>
        <v>2906865.7053380553</v>
      </c>
      <c r="AD142" s="302">
        <f t="shared" si="26"/>
        <v>1990816.9347549786</v>
      </c>
      <c r="AE142" s="302" t="e">
        <f t="shared" si="26"/>
        <v>#REF!</v>
      </c>
      <c r="AF142" s="302" t="e">
        <f t="shared" si="26"/>
        <v>#REF!</v>
      </c>
      <c r="AG142" s="302" t="e">
        <f t="shared" si="26"/>
        <v>#REF!</v>
      </c>
      <c r="AH142" s="302" t="e">
        <f t="shared" si="26"/>
        <v>#REF!</v>
      </c>
      <c r="AI142" s="302" t="e">
        <f t="shared" si="26"/>
        <v>#REF!</v>
      </c>
      <c r="AJ142" s="302" t="e">
        <f t="shared" si="26"/>
        <v>#REF!</v>
      </c>
      <c r="AK142" s="302" t="e">
        <f t="shared" si="26"/>
        <v>#REF!</v>
      </c>
      <c r="AL142" s="302" t="e">
        <f t="shared" si="26"/>
        <v>#REF!</v>
      </c>
      <c r="AM142" s="302" t="e">
        <f t="shared" si="26"/>
        <v>#REF!</v>
      </c>
    </row>
    <row r="143" spans="2:39" ht="12.95">
      <c r="B143" s="367" t="s">
        <v>462</v>
      </c>
      <c r="C143" s="366" t="s">
        <v>417</v>
      </c>
      <c r="D143" s="320">
        <f>D136-D142</f>
        <v>-22250864.468004376</v>
      </c>
      <c r="E143" s="321">
        <f t="shared" ref="E143:AM143" si="27">E136-E138-E139</f>
        <v>650354.79657254694</v>
      </c>
      <c r="F143" s="321">
        <f t="shared" si="27"/>
        <v>650354.79657254694</v>
      </c>
      <c r="G143" s="321">
        <f t="shared" si="27"/>
        <v>650354.79657254694</v>
      </c>
      <c r="H143" s="321">
        <f t="shared" si="27"/>
        <v>650354.79657254694</v>
      </c>
      <c r="I143" s="321">
        <f t="shared" si="27"/>
        <v>650354.79657254694</v>
      </c>
      <c r="J143" s="321">
        <f t="shared" si="27"/>
        <v>650354.79657254694</v>
      </c>
      <c r="K143" s="321">
        <f t="shared" si="27"/>
        <v>650354.79657254694</v>
      </c>
      <c r="L143" s="321">
        <f t="shared" si="27"/>
        <v>650354.79657254694</v>
      </c>
      <c r="M143" s="321">
        <f t="shared" si="27"/>
        <v>650354.79657254694</v>
      </c>
      <c r="N143" s="321">
        <f t="shared" si="27"/>
        <v>650354.79657254694</v>
      </c>
      <c r="O143" s="321">
        <f t="shared" si="27"/>
        <v>650354.79657254694</v>
      </c>
      <c r="P143" s="321">
        <f t="shared" si="27"/>
        <v>650354.79657254694</v>
      </c>
      <c r="Q143" s="321">
        <f t="shared" si="27"/>
        <v>650354.79657254694</v>
      </c>
      <c r="R143" s="321">
        <f t="shared" si="27"/>
        <v>650354.79657254694</v>
      </c>
      <c r="S143" s="321">
        <f t="shared" si="27"/>
        <v>650354.79657254694</v>
      </c>
      <c r="T143" s="321">
        <f t="shared" si="27"/>
        <v>650354.79657254694</v>
      </c>
      <c r="U143" s="321">
        <f t="shared" si="27"/>
        <v>650354.79657254694</v>
      </c>
      <c r="V143" s="321">
        <f t="shared" si="27"/>
        <v>650354.79657254694</v>
      </c>
      <c r="W143" s="321">
        <f t="shared" si="27"/>
        <v>650354.79657254694</v>
      </c>
      <c r="X143" s="321">
        <f t="shared" si="27"/>
        <v>650354.79657254694</v>
      </c>
      <c r="Y143" s="321">
        <f t="shared" si="27"/>
        <v>650354.79657254694</v>
      </c>
      <c r="Z143" s="321">
        <f t="shared" si="27"/>
        <v>650354.79657254694</v>
      </c>
      <c r="AA143" s="321">
        <f t="shared" si="27"/>
        <v>650354.79657254694</v>
      </c>
      <c r="AB143" s="321">
        <f t="shared" si="27"/>
        <v>650354.79657254694</v>
      </c>
      <c r="AC143" s="321">
        <f t="shared" si="27"/>
        <v>369388.34086714848</v>
      </c>
      <c r="AD143" s="321">
        <f t="shared" si="27"/>
        <v>369388.34086714848</v>
      </c>
      <c r="AE143" s="321" t="e">
        <f t="shared" si="27"/>
        <v>#REF!</v>
      </c>
      <c r="AF143" s="321" t="e">
        <f t="shared" si="27"/>
        <v>#REF!</v>
      </c>
      <c r="AG143" s="321" t="e">
        <f t="shared" si="27"/>
        <v>#REF!</v>
      </c>
      <c r="AH143" s="321" t="e">
        <f t="shared" si="27"/>
        <v>#REF!</v>
      </c>
      <c r="AI143" s="321" t="e">
        <f t="shared" si="27"/>
        <v>#REF!</v>
      </c>
      <c r="AJ143" s="321" t="e">
        <f t="shared" si="27"/>
        <v>#REF!</v>
      </c>
      <c r="AK143" s="321" t="e">
        <f t="shared" si="27"/>
        <v>#REF!</v>
      </c>
      <c r="AL143" s="321" t="e">
        <f t="shared" si="27"/>
        <v>#REF!</v>
      </c>
      <c r="AM143" s="322" t="e">
        <f t="shared" si="27"/>
        <v>#REF!</v>
      </c>
    </row>
    <row r="146" spans="1:39" ht="12.95">
      <c r="B146" s="357" t="s">
        <v>463</v>
      </c>
      <c r="C146" s="284" t="s">
        <v>364</v>
      </c>
    </row>
    <row r="147" spans="1:39">
      <c r="B147" s="276" t="s">
        <v>464</v>
      </c>
      <c r="C147" s="259" t="s">
        <v>417</v>
      </c>
      <c r="D147" s="347">
        <f>D78*$D$17</f>
        <v>6007823.2744286042</v>
      </c>
      <c r="E147" s="348">
        <f t="shared" ref="E147:AM147" si="28">E78*$D$17</f>
        <v>6007823.2744286042</v>
      </c>
      <c r="F147" s="348">
        <f t="shared" si="28"/>
        <v>6007823.2744286042</v>
      </c>
      <c r="G147" s="348">
        <f t="shared" si="28"/>
        <v>6007823.2744286042</v>
      </c>
      <c r="H147" s="348">
        <f t="shared" si="28"/>
        <v>6007823.2744286042</v>
      </c>
      <c r="I147" s="348">
        <f t="shared" si="28"/>
        <v>6007823.2744286042</v>
      </c>
      <c r="J147" s="348">
        <f t="shared" si="28"/>
        <v>6007823.2744286042</v>
      </c>
      <c r="K147" s="348">
        <f t="shared" si="28"/>
        <v>6007823.2744286042</v>
      </c>
      <c r="L147" s="348">
        <f t="shared" si="28"/>
        <v>6007823.2744286042</v>
      </c>
      <c r="M147" s="348">
        <f t="shared" si="28"/>
        <v>6007823.2744286042</v>
      </c>
      <c r="N147" s="348">
        <f t="shared" si="28"/>
        <v>6007823.2744286042</v>
      </c>
      <c r="O147" s="348">
        <f t="shared" si="28"/>
        <v>6007823.2744286042</v>
      </c>
      <c r="P147" s="348">
        <f t="shared" si="28"/>
        <v>6007823.2744286042</v>
      </c>
      <c r="Q147" s="348">
        <f t="shared" si="28"/>
        <v>6007823.2744286042</v>
      </c>
      <c r="R147" s="348">
        <f t="shared" si="28"/>
        <v>6007823.2744286042</v>
      </c>
      <c r="S147" s="348">
        <f t="shared" si="28"/>
        <v>6007823.2744286042</v>
      </c>
      <c r="T147" s="348">
        <f t="shared" si="28"/>
        <v>6007823.2744286042</v>
      </c>
      <c r="U147" s="348">
        <f t="shared" si="28"/>
        <v>6007823.2744286042</v>
      </c>
      <c r="V147" s="348">
        <f t="shared" si="28"/>
        <v>6007823.2744286042</v>
      </c>
      <c r="W147" s="348">
        <f t="shared" si="28"/>
        <v>6007823.2744286042</v>
      </c>
      <c r="X147" s="348">
        <f t="shared" si="28"/>
        <v>6007823.2744286042</v>
      </c>
      <c r="Y147" s="348">
        <f t="shared" si="28"/>
        <v>6007823.2744286042</v>
      </c>
      <c r="Z147" s="348">
        <f t="shared" si="28"/>
        <v>6007823.2744286042</v>
      </c>
      <c r="AA147" s="348">
        <f t="shared" si="28"/>
        <v>6007823.2744286042</v>
      </c>
      <c r="AB147" s="348">
        <f t="shared" si="28"/>
        <v>6007823.2744286042</v>
      </c>
      <c r="AC147" s="348">
        <f t="shared" si="28"/>
        <v>4936073.0132587552</v>
      </c>
      <c r="AD147" s="348">
        <f t="shared" si="28"/>
        <v>4936073.0132587552</v>
      </c>
      <c r="AE147" s="348">
        <f t="shared" si="28"/>
        <v>0</v>
      </c>
      <c r="AF147" s="348">
        <f t="shared" si="28"/>
        <v>0</v>
      </c>
      <c r="AG147" s="348">
        <f t="shared" si="28"/>
        <v>0</v>
      </c>
      <c r="AH147" s="348">
        <f t="shared" si="28"/>
        <v>0</v>
      </c>
      <c r="AI147" s="348">
        <f t="shared" si="28"/>
        <v>0</v>
      </c>
      <c r="AJ147" s="348">
        <f t="shared" si="28"/>
        <v>0</v>
      </c>
      <c r="AK147" s="348">
        <f t="shared" si="28"/>
        <v>0</v>
      </c>
      <c r="AL147" s="348">
        <f t="shared" si="28"/>
        <v>0</v>
      </c>
      <c r="AM147" s="349">
        <f t="shared" si="28"/>
        <v>0</v>
      </c>
    </row>
    <row r="148" spans="1:39">
      <c r="B148" s="276" t="s">
        <v>465</v>
      </c>
      <c r="C148" s="259" t="s">
        <v>417</v>
      </c>
      <c r="D148" s="347">
        <f>SUM(D137:D141)</f>
        <v>25123531.900034614</v>
      </c>
      <c r="E148" s="348">
        <f>SUM(E137:E141)</f>
        <v>3138361.4060407691</v>
      </c>
      <c r="F148" s="348">
        <f t="shared" ref="F148:AM148" si="29">SUM(F137:F141)</f>
        <v>3138361.4060407691</v>
      </c>
      <c r="G148" s="348">
        <f t="shared" si="29"/>
        <v>3138361.4060407691</v>
      </c>
      <c r="H148" s="348">
        <f t="shared" si="29"/>
        <v>3138361.4060407691</v>
      </c>
      <c r="I148" s="348">
        <f t="shared" si="29"/>
        <v>3138361.4060407691</v>
      </c>
      <c r="J148" s="348">
        <f t="shared" si="29"/>
        <v>3138361.4060407691</v>
      </c>
      <c r="K148" s="348">
        <f t="shared" si="29"/>
        <v>3138361.4060407691</v>
      </c>
      <c r="L148" s="348">
        <f t="shared" si="29"/>
        <v>3138361.4060407691</v>
      </c>
      <c r="M148" s="348">
        <f t="shared" si="29"/>
        <v>3138361.4060407691</v>
      </c>
      <c r="N148" s="348">
        <f t="shared" si="29"/>
        <v>3138361.4060407691</v>
      </c>
      <c r="O148" s="348">
        <f t="shared" si="29"/>
        <v>3138361.4060407691</v>
      </c>
      <c r="P148" s="348">
        <f t="shared" si="29"/>
        <v>3138361.4060407691</v>
      </c>
      <c r="Q148" s="348">
        <f t="shared" si="29"/>
        <v>3138361.4060407691</v>
      </c>
      <c r="R148" s="348">
        <f t="shared" si="29"/>
        <v>3138361.4060407691</v>
      </c>
      <c r="S148" s="348">
        <f t="shared" si="29"/>
        <v>3138361.4060407691</v>
      </c>
      <c r="T148" s="348">
        <f t="shared" si="29"/>
        <v>3138361.4060407691</v>
      </c>
      <c r="U148" s="348">
        <f t="shared" si="29"/>
        <v>3138361.4060407691</v>
      </c>
      <c r="V148" s="348">
        <f t="shared" si="29"/>
        <v>3138361.4060407691</v>
      </c>
      <c r="W148" s="348">
        <f t="shared" si="29"/>
        <v>3138361.4060407691</v>
      </c>
      <c r="X148" s="348">
        <f t="shared" si="29"/>
        <v>3138361.4060407691</v>
      </c>
      <c r="Y148" s="348">
        <f t="shared" si="29"/>
        <v>3138361.4060407691</v>
      </c>
      <c r="Z148" s="348">
        <f t="shared" si="29"/>
        <v>3138361.4060407691</v>
      </c>
      <c r="AA148" s="348">
        <f t="shared" si="29"/>
        <v>3138361.4060407691</v>
      </c>
      <c r="AB148" s="348">
        <f t="shared" si="29"/>
        <v>3138361.4060407691</v>
      </c>
      <c r="AC148" s="348">
        <f t="shared" si="29"/>
        <v>2906865.7053380553</v>
      </c>
      <c r="AD148" s="348">
        <f t="shared" si="29"/>
        <v>1990816.9347549786</v>
      </c>
      <c r="AE148" s="348" t="e">
        <f t="shared" si="29"/>
        <v>#REF!</v>
      </c>
      <c r="AF148" s="348" t="e">
        <f t="shared" si="29"/>
        <v>#REF!</v>
      </c>
      <c r="AG148" s="348" t="e">
        <f t="shared" si="29"/>
        <v>#REF!</v>
      </c>
      <c r="AH148" s="348" t="e">
        <f t="shared" si="29"/>
        <v>#REF!</v>
      </c>
      <c r="AI148" s="348" t="e">
        <f t="shared" si="29"/>
        <v>#REF!</v>
      </c>
      <c r="AJ148" s="348" t="e">
        <f t="shared" si="29"/>
        <v>#REF!</v>
      </c>
      <c r="AK148" s="348" t="e">
        <f t="shared" si="29"/>
        <v>#REF!</v>
      </c>
      <c r="AL148" s="348" t="e">
        <f t="shared" si="29"/>
        <v>#REF!</v>
      </c>
      <c r="AM148" s="349" t="e">
        <f t="shared" si="29"/>
        <v>#REF!</v>
      </c>
    </row>
    <row r="149" spans="1:39" ht="12.95">
      <c r="B149" s="367" t="s">
        <v>466</v>
      </c>
      <c r="C149" s="366" t="s">
        <v>417</v>
      </c>
      <c r="D149" s="301">
        <f>D147-D148</f>
        <v>-19115708.625606008</v>
      </c>
      <c r="E149" s="302">
        <f t="shared" ref="E149:AM149" si="30">E147-E148</f>
        <v>2869461.8683878351</v>
      </c>
      <c r="F149" s="302">
        <f t="shared" si="30"/>
        <v>2869461.8683878351</v>
      </c>
      <c r="G149" s="302">
        <f t="shared" si="30"/>
        <v>2869461.8683878351</v>
      </c>
      <c r="H149" s="302">
        <f t="shared" si="30"/>
        <v>2869461.8683878351</v>
      </c>
      <c r="I149" s="302">
        <f t="shared" si="30"/>
        <v>2869461.8683878351</v>
      </c>
      <c r="J149" s="302">
        <f t="shared" si="30"/>
        <v>2869461.8683878351</v>
      </c>
      <c r="K149" s="302">
        <f t="shared" si="30"/>
        <v>2869461.8683878351</v>
      </c>
      <c r="L149" s="302">
        <f t="shared" si="30"/>
        <v>2869461.8683878351</v>
      </c>
      <c r="M149" s="302">
        <f t="shared" si="30"/>
        <v>2869461.8683878351</v>
      </c>
      <c r="N149" s="302">
        <f t="shared" si="30"/>
        <v>2869461.8683878351</v>
      </c>
      <c r="O149" s="302">
        <f t="shared" si="30"/>
        <v>2869461.8683878351</v>
      </c>
      <c r="P149" s="302">
        <f t="shared" si="30"/>
        <v>2869461.8683878351</v>
      </c>
      <c r="Q149" s="302">
        <f t="shared" si="30"/>
        <v>2869461.8683878351</v>
      </c>
      <c r="R149" s="302">
        <f t="shared" si="30"/>
        <v>2869461.8683878351</v>
      </c>
      <c r="S149" s="302">
        <f t="shared" si="30"/>
        <v>2869461.8683878351</v>
      </c>
      <c r="T149" s="302">
        <f t="shared" si="30"/>
        <v>2869461.8683878351</v>
      </c>
      <c r="U149" s="302">
        <f t="shared" si="30"/>
        <v>2869461.8683878351</v>
      </c>
      <c r="V149" s="302">
        <f t="shared" si="30"/>
        <v>2869461.8683878351</v>
      </c>
      <c r="W149" s="302">
        <f t="shared" si="30"/>
        <v>2869461.8683878351</v>
      </c>
      <c r="X149" s="302">
        <f t="shared" si="30"/>
        <v>2869461.8683878351</v>
      </c>
      <c r="Y149" s="302">
        <f t="shared" si="30"/>
        <v>2869461.8683878351</v>
      </c>
      <c r="Z149" s="302">
        <f t="shared" si="30"/>
        <v>2869461.8683878351</v>
      </c>
      <c r="AA149" s="302">
        <f t="shared" si="30"/>
        <v>2869461.8683878351</v>
      </c>
      <c r="AB149" s="302">
        <f t="shared" si="30"/>
        <v>2869461.8683878351</v>
      </c>
      <c r="AC149" s="302">
        <f t="shared" si="30"/>
        <v>2029207.3079206999</v>
      </c>
      <c r="AD149" s="302">
        <f t="shared" si="30"/>
        <v>2945256.0785037763</v>
      </c>
      <c r="AE149" s="302" t="e">
        <f t="shared" si="30"/>
        <v>#REF!</v>
      </c>
      <c r="AF149" s="302" t="e">
        <f t="shared" si="30"/>
        <v>#REF!</v>
      </c>
      <c r="AG149" s="302" t="e">
        <f t="shared" si="30"/>
        <v>#REF!</v>
      </c>
      <c r="AH149" s="302" t="e">
        <f t="shared" si="30"/>
        <v>#REF!</v>
      </c>
      <c r="AI149" s="302" t="e">
        <f t="shared" si="30"/>
        <v>#REF!</v>
      </c>
      <c r="AJ149" s="302" t="e">
        <f t="shared" si="30"/>
        <v>#REF!</v>
      </c>
      <c r="AK149" s="302" t="e">
        <f t="shared" si="30"/>
        <v>#REF!</v>
      </c>
      <c r="AL149" s="302" t="e">
        <f t="shared" si="30"/>
        <v>#REF!</v>
      </c>
      <c r="AM149" s="303" t="e">
        <f t="shared" si="30"/>
        <v>#REF!</v>
      </c>
    </row>
    <row r="150" spans="1:39" s="331" customFormat="1" ht="12.95">
      <c r="B150" s="368" t="s">
        <v>467</v>
      </c>
      <c r="C150" s="334" t="s">
        <v>417</v>
      </c>
      <c r="D150" s="369">
        <f>D149+D128</f>
        <v>-19115708.625606008</v>
      </c>
      <c r="E150" s="370">
        <f t="shared" ref="E150:AM150" si="31">E149+E128</f>
        <v>2869461.8683878351</v>
      </c>
      <c r="F150" s="370">
        <f t="shared" si="31"/>
        <v>2869461.8683878351</v>
      </c>
      <c r="G150" s="370">
        <f t="shared" si="31"/>
        <v>2869461.8683878351</v>
      </c>
      <c r="H150" s="370">
        <f t="shared" si="31"/>
        <v>2869461.8683878351</v>
      </c>
      <c r="I150" s="370">
        <f t="shared" si="31"/>
        <v>2869461.8683878351</v>
      </c>
      <c r="J150" s="370">
        <f t="shared" si="31"/>
        <v>2869461.8683878351</v>
      </c>
      <c r="K150" s="370">
        <f t="shared" si="31"/>
        <v>2869461.8683878351</v>
      </c>
      <c r="L150" s="370">
        <f t="shared" si="31"/>
        <v>2869461.8683878351</v>
      </c>
      <c r="M150" s="370">
        <f t="shared" si="31"/>
        <v>2869461.8683878351</v>
      </c>
      <c r="N150" s="370">
        <f t="shared" si="31"/>
        <v>2869461.8683878351</v>
      </c>
      <c r="O150" s="370">
        <f t="shared" si="31"/>
        <v>2869461.8683878351</v>
      </c>
      <c r="P150" s="370">
        <f t="shared" si="31"/>
        <v>2869461.8683878351</v>
      </c>
      <c r="Q150" s="370">
        <f t="shared" si="31"/>
        <v>2869461.8683878351</v>
      </c>
      <c r="R150" s="370">
        <f t="shared" si="31"/>
        <v>2869461.8683878351</v>
      </c>
      <c r="S150" s="370">
        <f t="shared" si="31"/>
        <v>2869461.8683878351</v>
      </c>
      <c r="T150" s="370">
        <f t="shared" si="31"/>
        <v>2869461.8683878351</v>
      </c>
      <c r="U150" s="370">
        <f t="shared" si="31"/>
        <v>2869461.8683878351</v>
      </c>
      <c r="V150" s="370">
        <f t="shared" si="31"/>
        <v>2869461.8683878351</v>
      </c>
      <c r="W150" s="370">
        <f t="shared" si="31"/>
        <v>2869461.8683878351</v>
      </c>
      <c r="X150" s="370">
        <f t="shared" si="31"/>
        <v>2869461.8683878351</v>
      </c>
      <c r="Y150" s="370">
        <f t="shared" si="31"/>
        <v>2869461.8683878351</v>
      </c>
      <c r="Z150" s="370">
        <f t="shared" si="31"/>
        <v>2869461.8683878351</v>
      </c>
      <c r="AA150" s="370">
        <f t="shared" si="31"/>
        <v>2869461.8683878351</v>
      </c>
      <c r="AB150" s="370">
        <f t="shared" si="31"/>
        <v>2869461.8683878351</v>
      </c>
      <c r="AC150" s="370">
        <f t="shared" si="31"/>
        <v>2029207.3079206999</v>
      </c>
      <c r="AD150" s="370">
        <f t="shared" si="31"/>
        <v>2945256.0785037763</v>
      </c>
      <c r="AE150" s="370" t="e">
        <f t="shared" si="31"/>
        <v>#REF!</v>
      </c>
      <c r="AF150" s="370" t="e">
        <f t="shared" si="31"/>
        <v>#REF!</v>
      </c>
      <c r="AG150" s="370" t="e">
        <f t="shared" si="31"/>
        <v>#REF!</v>
      </c>
      <c r="AH150" s="370" t="e">
        <f t="shared" si="31"/>
        <v>#REF!</v>
      </c>
      <c r="AI150" s="370" t="e">
        <f t="shared" si="31"/>
        <v>#REF!</v>
      </c>
      <c r="AJ150" s="370" t="e">
        <f t="shared" si="31"/>
        <v>#REF!</v>
      </c>
      <c r="AK150" s="370" t="e">
        <f t="shared" si="31"/>
        <v>#REF!</v>
      </c>
      <c r="AL150" s="370" t="e">
        <f t="shared" si="31"/>
        <v>#REF!</v>
      </c>
      <c r="AM150" s="371" t="e">
        <f t="shared" si="31"/>
        <v>#REF!</v>
      </c>
    </row>
    <row r="151" spans="1:39" s="372" customFormat="1" ht="12.95">
      <c r="A151" s="331"/>
      <c r="B151" s="276" t="s">
        <v>468</v>
      </c>
      <c r="C151" s="259" t="s">
        <v>331</v>
      </c>
      <c r="D151" s="327">
        <f>SUM(D147:AB147)</f>
        <v>150195581.86071512</v>
      </c>
      <c r="F151" s="373"/>
      <c r="G151" s="373"/>
      <c r="H151" s="373"/>
      <c r="I151" s="373"/>
      <c r="J151" s="373"/>
      <c r="K151" s="373"/>
      <c r="L151" s="373"/>
      <c r="M151" s="373"/>
      <c r="N151" s="373"/>
      <c r="O151" s="373"/>
      <c r="P151" s="373"/>
      <c r="Q151" s="373"/>
      <c r="R151" s="373"/>
      <c r="S151" s="373"/>
      <c r="T151" s="373"/>
      <c r="U151" s="373"/>
      <c r="V151" s="373"/>
      <c r="W151" s="373"/>
      <c r="X151" s="373"/>
      <c r="Y151" s="373"/>
      <c r="Z151" s="373"/>
      <c r="AA151" s="373"/>
      <c r="AB151" s="373"/>
      <c r="AC151" s="373"/>
      <c r="AD151" s="373"/>
      <c r="AE151" s="373"/>
      <c r="AF151" s="373"/>
      <c r="AG151" s="373"/>
      <c r="AH151" s="373"/>
      <c r="AI151" s="373"/>
      <c r="AJ151" s="373"/>
      <c r="AK151" s="373"/>
      <c r="AL151" s="373"/>
      <c r="AM151" s="373"/>
    </row>
    <row r="152" spans="1:39" s="372" customFormat="1" ht="12.95">
      <c r="A152" s="331"/>
      <c r="B152" s="276" t="s">
        <v>469</v>
      </c>
      <c r="C152" s="259" t="s">
        <v>331</v>
      </c>
      <c r="D152" s="327">
        <f>SUM(D149:AB149)</f>
        <v>49751376.215702012</v>
      </c>
      <c r="E152" s="373"/>
      <c r="F152" s="373"/>
      <c r="G152" s="373"/>
      <c r="H152" s="373"/>
      <c r="I152" s="373"/>
      <c r="J152" s="373"/>
      <c r="K152" s="373"/>
      <c r="L152" s="373"/>
      <c r="M152" s="373"/>
      <c r="N152" s="373"/>
      <c r="O152" s="373"/>
      <c r="P152" s="373"/>
      <c r="Q152" s="373"/>
      <c r="R152" s="373"/>
      <c r="S152" s="373"/>
      <c r="T152" s="373"/>
      <c r="U152" s="373"/>
      <c r="V152" s="373"/>
      <c r="W152" s="373"/>
      <c r="X152" s="373"/>
      <c r="Y152" s="373"/>
      <c r="Z152" s="373"/>
      <c r="AA152" s="373"/>
      <c r="AB152" s="373"/>
      <c r="AC152" s="373"/>
      <c r="AD152" s="373"/>
      <c r="AE152" s="373"/>
      <c r="AF152" s="373"/>
      <c r="AG152" s="373"/>
      <c r="AH152" s="373"/>
      <c r="AI152" s="373"/>
      <c r="AJ152" s="373"/>
      <c r="AK152" s="373"/>
      <c r="AL152" s="373"/>
      <c r="AM152" s="373"/>
    </row>
    <row r="153" spans="1:39" s="372" customFormat="1" ht="12.95">
      <c r="A153" s="331"/>
      <c r="B153" s="276" t="s">
        <v>470</v>
      </c>
      <c r="C153" s="259" t="s">
        <v>331</v>
      </c>
      <c r="D153" s="327">
        <f>SUM(D150:AB150)</f>
        <v>49751376.215702012</v>
      </c>
      <c r="E153" s="373"/>
      <c r="F153" s="373"/>
      <c r="G153" s="373"/>
      <c r="H153" s="373"/>
      <c r="I153" s="373"/>
      <c r="J153" s="373"/>
      <c r="K153" s="373"/>
      <c r="L153" s="373"/>
      <c r="M153" s="373"/>
      <c r="N153" s="373"/>
      <c r="O153" s="373"/>
      <c r="P153" s="373"/>
      <c r="Q153" s="373"/>
      <c r="R153" s="373"/>
      <c r="S153" s="373"/>
      <c r="T153" s="373"/>
      <c r="U153" s="373"/>
      <c r="V153" s="373"/>
      <c r="W153" s="373"/>
      <c r="X153" s="373"/>
      <c r="Y153" s="373"/>
      <c r="Z153" s="373"/>
      <c r="AA153" s="373"/>
      <c r="AB153" s="373"/>
      <c r="AC153" s="373"/>
      <c r="AD153" s="373"/>
      <c r="AE153" s="373"/>
      <c r="AF153" s="373"/>
      <c r="AG153" s="373"/>
      <c r="AH153" s="373"/>
      <c r="AI153" s="373"/>
      <c r="AJ153" s="373"/>
      <c r="AK153" s="373"/>
      <c r="AL153" s="373"/>
      <c r="AM153" s="373"/>
    </row>
    <row r="155" spans="1:39">
      <c r="B155" s="279" t="s">
        <v>498</v>
      </c>
      <c r="C155" s="374">
        <f>IRR(D149:AB149)</f>
        <v>0.14418810269877458</v>
      </c>
    </row>
    <row r="156" spans="1:39">
      <c r="B156" s="279" t="s">
        <v>499</v>
      </c>
      <c r="C156" s="374">
        <f>IRR(D150:AB150)</f>
        <v>0.14418810269877458</v>
      </c>
    </row>
    <row r="157" spans="1:39">
      <c r="B157" s="885" t="s">
        <v>500</v>
      </c>
      <c r="C157" s="725" t="str">
        <f>CostofCap_DiscountRate</f>
        <v>Cost of Capital Imp Rate</v>
      </c>
      <c r="D157" s="356">
        <f>NPV(CstofCapImpDiscRate,$D$149:$AB$149)</f>
        <v>43369093.347236104</v>
      </c>
    </row>
    <row r="158" spans="1:39">
      <c r="B158" s="885"/>
      <c r="C158" s="726" t="str">
        <f>SocDiscountRateVal</f>
        <v xml:space="preserve">Social Discount </v>
      </c>
      <c r="D158" s="260">
        <f>NPV(SocDiscRate,$D$149:$AB$149)</f>
        <v>2875972.0980359381</v>
      </c>
    </row>
    <row r="159" spans="1:39">
      <c r="B159" s="886"/>
      <c r="C159" s="727" t="str">
        <f>'ProgrBiogas Electricity Fin Anl'!C162</f>
        <v>ESCO Discount Rate</v>
      </c>
      <c r="D159" s="375">
        <f>NPV(PvESCODiscRate,$D$149:$AB$149)</f>
        <v>-4124063.1173900864</v>
      </c>
    </row>
    <row r="160" spans="1:39">
      <c r="B160" s="884" t="s">
        <v>501</v>
      </c>
      <c r="C160" s="725" t="str">
        <f>+C157</f>
        <v>Cost of Capital Imp Rate</v>
      </c>
      <c r="D160" s="356">
        <f>NPV(CstofCapImpDiscRate,$D$150:$AB$150)</f>
        <v>43369093.347236104</v>
      </c>
    </row>
    <row r="161" spans="2:4">
      <c r="B161" s="885"/>
      <c r="C161" s="726" t="str">
        <f>C158</f>
        <v xml:space="preserve">Social Discount </v>
      </c>
      <c r="D161" s="260">
        <f>NPV(SocDiscRate,$D$150:$AB$150)</f>
        <v>2875972.0980359381</v>
      </c>
    </row>
    <row r="162" spans="2:4">
      <c r="B162" s="886"/>
      <c r="C162" s="727" t="str">
        <f>C159</f>
        <v>ESCO Discount Rate</v>
      </c>
      <c r="D162" s="375">
        <f>NPV(PvESCODiscRate,$D$150:$AB$150)</f>
        <v>-4124063.1173900864</v>
      </c>
    </row>
  </sheetData>
  <mergeCells count="6">
    <mergeCell ref="B160:B162"/>
    <mergeCell ref="B33:D33"/>
    <mergeCell ref="B43:D43"/>
    <mergeCell ref="B51:D51"/>
    <mergeCell ref="B59:D59"/>
    <mergeCell ref="B157:B159"/>
  </mergeCells>
  <pageMargins left="0.75" right="0.75" top="1" bottom="1" header="0.5" footer="0.5"/>
  <pageSetup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A07161-6B19-404B-BBFA-0D490034D8F5}">
  <sheetPr codeName="Sheet7">
    <tabColor rgb="FFFF0000"/>
  </sheetPr>
  <dimension ref="A1:AB66"/>
  <sheetViews>
    <sheetView topLeftCell="A43" zoomScale="90" zoomScaleNormal="90" workbookViewId="0">
      <selection activeCell="C59" sqref="C59"/>
    </sheetView>
  </sheetViews>
  <sheetFormatPr defaultColWidth="11.42578125" defaultRowHeight="14.45"/>
  <cols>
    <col min="1" max="1" width="18" style="122" customWidth="1"/>
    <col min="2" max="2" width="74.7109375" style="122" customWidth="1"/>
    <col min="3" max="3" width="24.85546875" style="122" bestFit="1" customWidth="1"/>
    <col min="4" max="4" width="20.85546875" style="122" customWidth="1"/>
    <col min="5" max="5" width="16.42578125" style="122" bestFit="1" customWidth="1"/>
    <col min="6" max="23" width="15.7109375" style="122" bestFit="1" customWidth="1"/>
    <col min="24" max="24" width="15" style="122" customWidth="1"/>
    <col min="25" max="25" width="17.28515625" style="122" customWidth="1"/>
    <col min="26" max="26" width="17.42578125" style="122" customWidth="1"/>
    <col min="27" max="27" width="16.140625" style="122" customWidth="1"/>
    <col min="28" max="28" width="14.85546875" style="122" customWidth="1"/>
    <col min="29" max="16384" width="11.42578125" style="122"/>
  </cols>
  <sheetData>
    <row r="1" spans="1:28" ht="17.45">
      <c r="A1" s="152"/>
      <c r="B1" s="152"/>
      <c r="C1" s="152"/>
      <c r="D1" s="156" t="s">
        <v>636</v>
      </c>
      <c r="E1" s="152"/>
      <c r="F1" s="152"/>
      <c r="G1" s="152"/>
      <c r="H1" s="152"/>
      <c r="I1" s="152"/>
      <c r="J1" s="152"/>
      <c r="K1" s="152"/>
      <c r="L1" s="152"/>
      <c r="M1" s="152"/>
      <c r="N1" s="152"/>
      <c r="O1" s="152"/>
      <c r="P1" s="152"/>
      <c r="Q1" s="152"/>
      <c r="R1" s="152"/>
      <c r="S1" s="152"/>
      <c r="T1" s="152"/>
      <c r="U1" s="152"/>
      <c r="V1" s="152"/>
      <c r="W1" s="152"/>
      <c r="X1" s="152"/>
      <c r="Y1" s="152"/>
      <c r="Z1" s="152"/>
      <c r="AA1" s="152"/>
      <c r="AB1" s="152"/>
    </row>
    <row r="2" spans="1:28">
      <c r="A2" s="152"/>
      <c r="B2" s="151"/>
      <c r="C2" s="155"/>
      <c r="E2" s="155"/>
      <c r="F2" s="155"/>
      <c r="G2" s="155"/>
      <c r="H2" s="155"/>
      <c r="I2" s="155"/>
      <c r="J2" s="155"/>
      <c r="K2" s="155"/>
      <c r="L2" s="155"/>
      <c r="M2" s="155"/>
      <c r="N2" s="155"/>
      <c r="O2" s="155"/>
      <c r="P2" s="155"/>
      <c r="Q2" s="155"/>
      <c r="R2" s="155"/>
      <c r="S2" s="155"/>
      <c r="T2" s="155"/>
      <c r="U2" s="155"/>
      <c r="V2" s="155"/>
      <c r="W2" s="155"/>
      <c r="X2" s="155"/>
      <c r="Y2" s="155"/>
      <c r="Z2" s="155"/>
      <c r="AA2" s="155"/>
      <c r="AB2" s="155"/>
    </row>
    <row r="3" spans="1:28" ht="17.45">
      <c r="A3" s="152"/>
      <c r="B3" s="151" t="s">
        <v>14</v>
      </c>
      <c r="C3" s="152"/>
      <c r="D3" s="152"/>
      <c r="E3" s="152"/>
      <c r="F3" s="155"/>
      <c r="G3" s="159" t="s">
        <v>66</v>
      </c>
      <c r="H3" s="158"/>
      <c r="I3" s="155"/>
      <c r="J3" s="155"/>
      <c r="K3" s="155"/>
      <c r="L3" s="155"/>
      <c r="M3" s="155"/>
      <c r="N3" s="155"/>
      <c r="O3" s="155"/>
      <c r="P3" s="155"/>
      <c r="Q3" s="155"/>
      <c r="R3" s="155"/>
      <c r="S3" s="155"/>
      <c r="T3" s="155"/>
      <c r="U3" s="155"/>
      <c r="V3" s="155"/>
      <c r="W3" s="155"/>
      <c r="X3" s="155"/>
      <c r="Y3" s="155"/>
      <c r="Z3" s="155"/>
      <c r="AA3" s="155"/>
      <c r="AB3" s="155"/>
    </row>
    <row r="4" spans="1:28">
      <c r="A4" s="152"/>
      <c r="B4" s="153" t="s">
        <v>16</v>
      </c>
      <c r="C4" s="152"/>
      <c r="D4" s="152"/>
      <c r="E4" s="152"/>
      <c r="F4" s="155"/>
      <c r="G4" s="837" t="s">
        <v>17</v>
      </c>
      <c r="H4" s="155"/>
      <c r="I4" s="155"/>
      <c r="J4" s="194">
        <f>+EnergyDemand!F85/1000</f>
        <v>0.77946000000000004</v>
      </c>
      <c r="K4" s="155"/>
      <c r="L4" s="155"/>
      <c r="M4" s="155"/>
      <c r="N4" s="155"/>
      <c r="O4" s="155"/>
      <c r="P4" s="155"/>
      <c r="Q4" s="155"/>
      <c r="R4" s="155"/>
      <c r="S4" s="155"/>
      <c r="T4" s="155"/>
      <c r="U4" s="155"/>
      <c r="V4" s="155"/>
      <c r="W4" s="155"/>
      <c r="X4" s="155"/>
      <c r="Y4" s="155"/>
      <c r="Z4" s="155"/>
      <c r="AA4" s="155"/>
      <c r="AB4" s="155"/>
    </row>
    <row r="5" spans="1:28" ht="17.45">
      <c r="A5" s="152"/>
      <c r="B5" s="154" t="s">
        <v>18</v>
      </c>
      <c r="C5" s="152"/>
      <c r="D5" s="152"/>
      <c r="E5" s="152"/>
      <c r="F5" s="155"/>
      <c r="G5" s="837" t="s">
        <v>19</v>
      </c>
      <c r="H5" s="156"/>
      <c r="I5" s="155"/>
      <c r="J5" s="805">
        <f>EnergyDemand!D33/1000</f>
        <v>4.2506550399999998</v>
      </c>
      <c r="K5" s="155"/>
      <c r="L5" s="155"/>
      <c r="M5" s="155"/>
      <c r="N5" s="155"/>
      <c r="O5" s="155"/>
      <c r="P5" s="155"/>
      <c r="Q5" s="155"/>
      <c r="R5" s="155"/>
      <c r="S5" s="155"/>
      <c r="T5" s="155"/>
      <c r="U5" s="155"/>
      <c r="V5" s="155"/>
      <c r="W5" s="155"/>
      <c r="X5" s="155"/>
      <c r="Y5" s="155"/>
      <c r="Z5" s="155"/>
      <c r="AA5" s="155"/>
      <c r="AB5" s="155"/>
    </row>
    <row r="6" spans="1:28" ht="17.45">
      <c r="A6" s="152"/>
      <c r="B6" s="151"/>
      <c r="C6" s="155"/>
      <c r="D6" s="156"/>
      <c r="E6" s="155"/>
      <c r="F6" s="155"/>
      <c r="G6" s="837" t="s">
        <v>20</v>
      </c>
      <c r="H6" s="155"/>
      <c r="I6" s="155"/>
      <c r="J6" s="160">
        <f>+'Assump&amp;Est_Guinea'!D24</f>
        <v>9911.0085980769236</v>
      </c>
      <c r="K6" s="155"/>
      <c r="L6" s="155"/>
      <c r="M6" s="155"/>
      <c r="N6" s="155"/>
      <c r="O6" s="155"/>
      <c r="P6" s="155"/>
      <c r="Q6" s="155"/>
      <c r="R6" s="155"/>
      <c r="S6" s="155"/>
      <c r="T6" s="155"/>
      <c r="U6" s="155"/>
      <c r="V6" s="155"/>
      <c r="W6" s="155"/>
      <c r="X6" s="155"/>
      <c r="Y6" s="155"/>
      <c r="Z6" s="155"/>
      <c r="AA6" s="155"/>
      <c r="AB6" s="155"/>
    </row>
    <row r="7" spans="1:28">
      <c r="A7" s="152"/>
      <c r="B7" s="151"/>
      <c r="C7" s="155"/>
      <c r="D7" s="155"/>
      <c r="E7" s="155"/>
      <c r="F7" s="155"/>
      <c r="G7" s="155"/>
      <c r="H7" s="155"/>
      <c r="I7" s="155"/>
      <c r="J7" s="155"/>
      <c r="K7" s="155"/>
      <c r="L7" s="155"/>
      <c r="M7" s="155"/>
      <c r="N7" s="155"/>
      <c r="O7" s="155"/>
      <c r="P7" s="155"/>
      <c r="Q7" s="155"/>
      <c r="R7" s="155"/>
      <c r="S7" s="155"/>
      <c r="T7" s="155"/>
      <c r="U7" s="155"/>
      <c r="V7" s="155"/>
      <c r="W7" s="155"/>
      <c r="X7" s="155"/>
      <c r="Y7" s="155"/>
      <c r="Z7" s="155"/>
      <c r="AA7" s="155"/>
      <c r="AB7" s="155"/>
    </row>
    <row r="8" spans="1:28">
      <c r="A8" s="157" t="s">
        <v>21</v>
      </c>
      <c r="B8" s="153"/>
      <c r="C8" s="184"/>
      <c r="D8" s="161"/>
      <c r="E8" s="161"/>
      <c r="F8" s="161"/>
      <c r="G8" s="161"/>
      <c r="H8" s="161"/>
      <c r="I8" s="161"/>
      <c r="J8" s="161"/>
      <c r="K8" s="161"/>
      <c r="L8" s="161"/>
      <c r="M8" s="161"/>
      <c r="N8" s="161"/>
      <c r="O8" s="161"/>
      <c r="P8" s="161"/>
      <c r="Q8" s="161"/>
      <c r="R8" s="161"/>
      <c r="S8" s="161"/>
      <c r="T8" s="161"/>
      <c r="U8" s="161"/>
      <c r="V8" s="161"/>
      <c r="W8" s="161"/>
      <c r="X8" s="161"/>
      <c r="Y8" s="161"/>
      <c r="Z8" s="161"/>
      <c r="AA8" s="161"/>
      <c r="AB8" s="161"/>
    </row>
    <row r="9" spans="1:28">
      <c r="A9" s="152"/>
      <c r="B9" s="151" t="s">
        <v>23</v>
      </c>
      <c r="C9" s="162">
        <f>5*365</f>
        <v>1825</v>
      </c>
      <c r="D9" s="163"/>
      <c r="E9" s="163"/>
      <c r="F9" s="163"/>
      <c r="G9" s="163"/>
      <c r="H9" s="163"/>
      <c r="I9" s="163"/>
      <c r="J9" s="163"/>
      <c r="K9" s="163"/>
      <c r="L9" s="163"/>
      <c r="M9" s="163"/>
      <c r="N9" s="163"/>
      <c r="O9" s="163"/>
      <c r="P9" s="163"/>
      <c r="Q9" s="163"/>
      <c r="R9" s="163"/>
      <c r="S9" s="163"/>
      <c r="T9" s="163"/>
      <c r="U9" s="163"/>
      <c r="V9" s="163"/>
      <c r="W9" s="163"/>
      <c r="X9" s="163"/>
      <c r="Y9" s="163"/>
      <c r="Z9" s="163"/>
      <c r="AA9" s="163"/>
      <c r="AB9" s="163"/>
    </row>
    <row r="10" spans="1:28">
      <c r="A10" s="152"/>
      <c r="B10" s="151" t="s">
        <v>24</v>
      </c>
      <c r="C10" s="162">
        <f>12*365</f>
        <v>4380</v>
      </c>
      <c r="D10" s="163"/>
      <c r="E10" s="163"/>
      <c r="F10" s="163"/>
      <c r="G10" s="163"/>
      <c r="H10" s="163"/>
      <c r="I10" s="163"/>
      <c r="J10" s="163"/>
      <c r="K10" s="163"/>
      <c r="L10" s="163"/>
      <c r="M10" s="163"/>
      <c r="N10" s="163"/>
      <c r="O10" s="163"/>
      <c r="P10" s="163"/>
      <c r="Q10" s="163"/>
      <c r="R10" s="163"/>
      <c r="S10" s="163"/>
      <c r="T10" s="163"/>
      <c r="U10" s="163"/>
      <c r="V10" s="163"/>
      <c r="W10" s="163"/>
      <c r="X10" s="163"/>
      <c r="Y10" s="163"/>
      <c r="Z10" s="163"/>
      <c r="AA10" s="163"/>
      <c r="AB10" s="163"/>
    </row>
    <row r="11" spans="1:28">
      <c r="A11" s="152"/>
      <c r="B11" s="151" t="s">
        <v>25</v>
      </c>
      <c r="C11" s="162">
        <f>12*365</f>
        <v>4380</v>
      </c>
      <c r="D11" s="163"/>
      <c r="E11" s="163"/>
      <c r="F11" s="163"/>
      <c r="G11" s="163"/>
      <c r="H11" s="163"/>
      <c r="I11" s="163"/>
      <c r="J11" s="163"/>
      <c r="K11" s="163"/>
      <c r="L11" s="163"/>
      <c r="M11" s="163"/>
      <c r="N11" s="163"/>
      <c r="O11" s="163"/>
      <c r="P11" s="163"/>
      <c r="Q11" s="163"/>
      <c r="R11" s="163"/>
      <c r="S11" s="163"/>
      <c r="T11" s="163"/>
      <c r="U11" s="163"/>
      <c r="V11" s="163"/>
      <c r="W11" s="163"/>
      <c r="X11" s="163"/>
      <c r="Y11" s="163"/>
      <c r="Z11" s="163"/>
      <c r="AA11" s="163"/>
      <c r="AB11" s="163"/>
    </row>
    <row r="12" spans="1:28">
      <c r="A12" s="152"/>
      <c r="B12" s="151" t="s">
        <v>26</v>
      </c>
      <c r="C12" s="162">
        <v>0.8</v>
      </c>
      <c r="D12" s="163"/>
      <c r="E12" s="163"/>
      <c r="F12" s="163"/>
      <c r="G12" s="163"/>
      <c r="H12" s="163"/>
      <c r="I12" s="163"/>
      <c r="J12" s="163"/>
      <c r="K12" s="163"/>
      <c r="L12" s="163"/>
      <c r="M12" s="163"/>
      <c r="N12" s="163"/>
      <c r="O12" s="163"/>
      <c r="P12" s="163"/>
      <c r="Q12" s="163"/>
      <c r="R12" s="163"/>
      <c r="S12" s="163"/>
      <c r="T12" s="163"/>
      <c r="U12" s="163"/>
      <c r="V12" s="163"/>
      <c r="W12" s="163"/>
      <c r="X12" s="163"/>
      <c r="Y12" s="163"/>
      <c r="Z12" s="163"/>
      <c r="AA12" s="163"/>
      <c r="AB12" s="163"/>
    </row>
    <row r="13" spans="1:28">
      <c r="A13" s="152"/>
      <c r="B13" s="151" t="s">
        <v>27</v>
      </c>
      <c r="C13" s="162">
        <v>25</v>
      </c>
      <c r="D13" s="163"/>
      <c r="E13" s="163"/>
      <c r="F13" s="163"/>
      <c r="G13" s="163"/>
      <c r="H13" s="163"/>
      <c r="I13" s="163"/>
      <c r="J13" s="163"/>
      <c r="K13" s="163"/>
      <c r="L13" s="163"/>
      <c r="M13" s="163"/>
      <c r="N13" s="163"/>
      <c r="O13" s="163"/>
      <c r="P13" s="163"/>
      <c r="Q13" s="163"/>
      <c r="R13" s="163"/>
      <c r="S13" s="163"/>
      <c r="T13" s="163"/>
      <c r="U13" s="163"/>
      <c r="V13" s="163"/>
      <c r="W13" s="163"/>
      <c r="X13" s="163"/>
      <c r="Y13" s="163"/>
      <c r="Z13" s="163"/>
      <c r="AA13" s="163"/>
      <c r="AB13" s="163"/>
    </row>
    <row r="14" spans="1:28">
      <c r="A14" s="152"/>
      <c r="B14" s="151" t="s">
        <v>28</v>
      </c>
      <c r="C14" s="165">
        <f>+J6/'SCPZ Biogas Assump&amp; Estimation'!E32</f>
        <v>0.40326911174901714</v>
      </c>
      <c r="D14" s="163"/>
      <c r="E14" s="163"/>
      <c r="F14" s="163"/>
      <c r="G14" s="163"/>
      <c r="H14" s="163"/>
      <c r="I14" s="163"/>
      <c r="J14" s="163"/>
      <c r="K14" s="163"/>
      <c r="L14" s="163"/>
      <c r="M14" s="163"/>
      <c r="N14" s="163"/>
      <c r="O14" s="163"/>
      <c r="P14" s="163"/>
      <c r="Q14" s="163"/>
      <c r="R14" s="163"/>
      <c r="S14" s="163"/>
      <c r="T14" s="163"/>
      <c r="U14" s="163"/>
      <c r="V14" s="163"/>
      <c r="W14" s="163"/>
      <c r="X14" s="163"/>
      <c r="Y14" s="163"/>
      <c r="Z14" s="163"/>
      <c r="AA14" s="163"/>
      <c r="AB14" s="163"/>
    </row>
    <row r="15" spans="1:28">
      <c r="A15" s="152"/>
      <c r="B15" s="151"/>
      <c r="C15" s="164"/>
      <c r="D15" s="163"/>
      <c r="E15" s="163"/>
      <c r="F15" s="163"/>
      <c r="G15" s="163"/>
      <c r="H15" s="163"/>
      <c r="I15" s="163"/>
      <c r="J15" s="163"/>
      <c r="K15" s="163"/>
      <c r="L15" s="163"/>
      <c r="M15" s="163"/>
      <c r="N15" s="163"/>
      <c r="O15" s="163"/>
      <c r="P15" s="163"/>
      <c r="Q15" s="163"/>
      <c r="R15" s="163"/>
      <c r="S15" s="163"/>
      <c r="T15" s="163"/>
      <c r="U15" s="163"/>
      <c r="V15" s="163"/>
      <c r="W15" s="163"/>
      <c r="X15" s="163"/>
      <c r="Y15" s="163"/>
      <c r="Z15" s="163"/>
      <c r="AA15" s="163"/>
      <c r="AB15" s="163"/>
    </row>
    <row r="16" spans="1:28">
      <c r="A16" s="152"/>
      <c r="B16" s="120" t="s">
        <v>67</v>
      </c>
      <c r="C16" s="121"/>
      <c r="D16" s="121">
        <v>1</v>
      </c>
      <c r="E16" s="121">
        <v>2</v>
      </c>
      <c r="F16" s="121">
        <v>3</v>
      </c>
      <c r="G16" s="121">
        <v>4</v>
      </c>
      <c r="H16" s="121">
        <v>5</v>
      </c>
      <c r="I16" s="121">
        <v>6</v>
      </c>
      <c r="J16" s="121">
        <v>7</v>
      </c>
      <c r="K16" s="121">
        <v>8</v>
      </c>
      <c r="L16" s="121">
        <v>9</v>
      </c>
      <c r="M16" s="121">
        <v>10</v>
      </c>
      <c r="N16" s="121">
        <v>11</v>
      </c>
      <c r="O16" s="121">
        <v>12</v>
      </c>
      <c r="P16" s="121">
        <v>13</v>
      </c>
      <c r="Q16" s="121">
        <v>14</v>
      </c>
      <c r="R16" s="121">
        <v>15</v>
      </c>
      <c r="S16" s="121">
        <v>16</v>
      </c>
      <c r="T16" s="121">
        <v>17</v>
      </c>
      <c r="U16" s="121">
        <v>18</v>
      </c>
      <c r="V16" s="121">
        <v>19</v>
      </c>
      <c r="W16" s="121">
        <v>20</v>
      </c>
      <c r="X16" s="121">
        <v>21</v>
      </c>
      <c r="Y16" s="121">
        <v>22</v>
      </c>
      <c r="Z16" s="121">
        <v>23</v>
      </c>
      <c r="AA16" s="121">
        <v>24</v>
      </c>
      <c r="AB16" s="121">
        <v>25</v>
      </c>
    </row>
    <row r="17" spans="1:28">
      <c r="A17" s="157" t="s">
        <v>29</v>
      </c>
      <c r="B17" s="839" t="s">
        <v>31</v>
      </c>
      <c r="C17" s="166"/>
      <c r="D17" s="161">
        <f>'GuiSolarPV Financial Analys'!D19/1000</f>
        <v>1138.0116</v>
      </c>
      <c r="E17" s="161">
        <f>+D17</f>
        <v>1138.0116</v>
      </c>
      <c r="F17" s="161">
        <f t="shared" ref="F17:AB19" si="0">+E17</f>
        <v>1138.0116</v>
      </c>
      <c r="G17" s="161">
        <f t="shared" si="0"/>
        <v>1138.0116</v>
      </c>
      <c r="H17" s="161">
        <f t="shared" si="0"/>
        <v>1138.0116</v>
      </c>
      <c r="I17" s="161"/>
      <c r="J17" s="161"/>
      <c r="K17" s="161"/>
      <c r="L17" s="161"/>
      <c r="M17" s="161"/>
      <c r="N17" s="161"/>
      <c r="O17" s="161"/>
      <c r="P17" s="161"/>
      <c r="Q17" s="161"/>
      <c r="R17" s="161"/>
      <c r="S17" s="161"/>
      <c r="T17" s="161"/>
      <c r="U17" s="161"/>
      <c r="V17" s="161"/>
      <c r="W17" s="161"/>
      <c r="X17" s="161"/>
      <c r="Y17" s="161"/>
      <c r="Z17" s="161"/>
      <c r="AA17" s="161"/>
      <c r="AB17" s="161"/>
    </row>
    <row r="18" spans="1:28">
      <c r="A18" s="152"/>
      <c r="B18" s="837" t="s">
        <v>32</v>
      </c>
      <c r="C18" s="164"/>
      <c r="D18" s="163">
        <f>'GuiSolarPV Financial Analys'!D20/1000</f>
        <v>14894.295260159999</v>
      </c>
      <c r="E18" s="163">
        <f>+D18</f>
        <v>14894.295260159999</v>
      </c>
      <c r="F18" s="163">
        <f t="shared" si="0"/>
        <v>14894.295260159999</v>
      </c>
      <c r="G18" s="163">
        <f t="shared" si="0"/>
        <v>14894.295260159999</v>
      </c>
      <c r="H18" s="163">
        <f t="shared" si="0"/>
        <v>14894.295260159999</v>
      </c>
      <c r="I18" s="163">
        <f t="shared" si="0"/>
        <v>14894.295260159999</v>
      </c>
      <c r="J18" s="163">
        <f t="shared" si="0"/>
        <v>14894.295260159999</v>
      </c>
      <c r="K18" s="163">
        <f t="shared" si="0"/>
        <v>14894.295260159999</v>
      </c>
      <c r="L18" s="163">
        <f t="shared" si="0"/>
        <v>14894.295260159999</v>
      </c>
      <c r="M18" s="163">
        <f t="shared" si="0"/>
        <v>14894.295260159999</v>
      </c>
      <c r="N18" s="163">
        <f t="shared" si="0"/>
        <v>14894.295260159999</v>
      </c>
      <c r="O18" s="163">
        <f t="shared" si="0"/>
        <v>14894.295260159999</v>
      </c>
      <c r="P18" s="163">
        <f t="shared" si="0"/>
        <v>14894.295260159999</v>
      </c>
      <c r="Q18" s="163">
        <f t="shared" si="0"/>
        <v>14894.295260159999</v>
      </c>
      <c r="R18" s="163">
        <f t="shared" si="0"/>
        <v>14894.295260159999</v>
      </c>
      <c r="S18" s="163">
        <f t="shared" si="0"/>
        <v>14894.295260159999</v>
      </c>
      <c r="T18" s="163">
        <f t="shared" si="0"/>
        <v>14894.295260159999</v>
      </c>
      <c r="U18" s="163">
        <f t="shared" si="0"/>
        <v>14894.295260159999</v>
      </c>
      <c r="V18" s="163">
        <f t="shared" si="0"/>
        <v>14894.295260159999</v>
      </c>
      <c r="W18" s="163">
        <f t="shared" si="0"/>
        <v>14894.295260159999</v>
      </c>
      <c r="X18" s="163">
        <f t="shared" si="0"/>
        <v>14894.295260159999</v>
      </c>
      <c r="Y18" s="163">
        <f t="shared" si="0"/>
        <v>14894.295260159999</v>
      </c>
      <c r="Z18" s="163">
        <f t="shared" si="0"/>
        <v>14894.295260159999</v>
      </c>
      <c r="AA18" s="163">
        <f t="shared" si="0"/>
        <v>14894.295260159999</v>
      </c>
      <c r="AB18" s="163">
        <f t="shared" si="0"/>
        <v>14894.295260159999</v>
      </c>
    </row>
    <row r="19" spans="1:28">
      <c r="A19" s="152"/>
      <c r="B19" s="837" t="s">
        <v>33</v>
      </c>
      <c r="C19" s="164"/>
      <c r="D19" s="163">
        <f>GuineaDigesterAnaly!B68/1000</f>
        <v>18093.515808175438</v>
      </c>
      <c r="E19" s="163">
        <f>+D19</f>
        <v>18093.515808175438</v>
      </c>
      <c r="F19" s="163">
        <f t="shared" si="0"/>
        <v>18093.515808175438</v>
      </c>
      <c r="G19" s="163">
        <f t="shared" si="0"/>
        <v>18093.515808175438</v>
      </c>
      <c r="H19" s="163">
        <f t="shared" si="0"/>
        <v>18093.515808175438</v>
      </c>
      <c r="I19" s="163">
        <f t="shared" si="0"/>
        <v>18093.515808175438</v>
      </c>
      <c r="J19" s="163">
        <f t="shared" si="0"/>
        <v>18093.515808175438</v>
      </c>
      <c r="K19" s="163">
        <f t="shared" si="0"/>
        <v>18093.515808175438</v>
      </c>
      <c r="L19" s="163">
        <f t="shared" si="0"/>
        <v>18093.515808175438</v>
      </c>
      <c r="M19" s="163">
        <f t="shared" si="0"/>
        <v>18093.515808175438</v>
      </c>
      <c r="N19" s="163">
        <f t="shared" si="0"/>
        <v>18093.515808175438</v>
      </c>
      <c r="O19" s="163">
        <f t="shared" si="0"/>
        <v>18093.515808175438</v>
      </c>
      <c r="P19" s="163">
        <f t="shared" si="0"/>
        <v>18093.515808175438</v>
      </c>
      <c r="Q19" s="163">
        <f t="shared" si="0"/>
        <v>18093.515808175438</v>
      </c>
      <c r="R19" s="163">
        <f t="shared" si="0"/>
        <v>18093.515808175438</v>
      </c>
      <c r="S19" s="163">
        <f t="shared" si="0"/>
        <v>18093.515808175438</v>
      </c>
      <c r="T19" s="163">
        <f t="shared" si="0"/>
        <v>18093.515808175438</v>
      </c>
      <c r="U19" s="163">
        <f t="shared" si="0"/>
        <v>18093.515808175438</v>
      </c>
      <c r="V19" s="163">
        <f t="shared" si="0"/>
        <v>18093.515808175438</v>
      </c>
      <c r="W19" s="163">
        <f t="shared" si="0"/>
        <v>18093.515808175438</v>
      </c>
      <c r="X19" s="163">
        <f t="shared" si="0"/>
        <v>18093.515808175438</v>
      </c>
      <c r="Y19" s="163">
        <f t="shared" si="0"/>
        <v>18093.515808175438</v>
      </c>
      <c r="Z19" s="163">
        <f t="shared" si="0"/>
        <v>18093.515808175438</v>
      </c>
      <c r="AA19" s="163">
        <f t="shared" si="0"/>
        <v>18093.515808175438</v>
      </c>
      <c r="AB19" s="163">
        <f t="shared" si="0"/>
        <v>18093.515808175438</v>
      </c>
    </row>
    <row r="20" spans="1:28">
      <c r="A20" s="152"/>
      <c r="B20" s="151"/>
      <c r="C20" s="164"/>
      <c r="D20" s="163"/>
      <c r="E20" s="163"/>
      <c r="F20" s="163"/>
      <c r="G20" s="163"/>
      <c r="H20" s="163"/>
      <c r="I20" s="163"/>
      <c r="J20" s="163"/>
      <c r="K20" s="163"/>
      <c r="L20" s="163"/>
      <c r="M20" s="163"/>
      <c r="N20" s="163"/>
      <c r="O20" s="163"/>
      <c r="P20" s="163"/>
      <c r="Q20" s="163"/>
      <c r="R20" s="163"/>
      <c r="S20" s="163"/>
      <c r="T20" s="163"/>
      <c r="U20" s="163"/>
      <c r="V20" s="163"/>
      <c r="W20" s="163"/>
      <c r="X20" s="163"/>
      <c r="Y20" s="163"/>
      <c r="Z20" s="163"/>
      <c r="AA20" s="163"/>
      <c r="AB20" s="163"/>
    </row>
    <row r="21" spans="1:28">
      <c r="A21" s="152"/>
      <c r="B21" s="123"/>
      <c r="C21" s="131"/>
      <c r="D21" s="124"/>
      <c r="E21" s="124"/>
      <c r="F21" s="124"/>
      <c r="G21" s="124"/>
      <c r="H21" s="124"/>
      <c r="I21" s="124"/>
      <c r="J21" s="124"/>
      <c r="K21" s="124"/>
      <c r="L21" s="124"/>
      <c r="M21" s="124"/>
      <c r="N21" s="124"/>
      <c r="O21" s="124"/>
      <c r="P21" s="124"/>
      <c r="Q21" s="124"/>
      <c r="R21" s="124"/>
      <c r="S21" s="124"/>
      <c r="T21" s="124"/>
      <c r="U21" s="124"/>
      <c r="V21" s="124"/>
      <c r="W21" s="124"/>
      <c r="X21" s="124"/>
      <c r="Y21" s="124"/>
      <c r="Z21" s="124"/>
      <c r="AA21" s="124"/>
      <c r="AB21" s="124"/>
    </row>
    <row r="22" spans="1:28">
      <c r="A22" s="157" t="s">
        <v>34</v>
      </c>
      <c r="B22" s="839" t="s">
        <v>35</v>
      </c>
      <c r="C22" s="169"/>
      <c r="D22" s="170">
        <f>-'GuiSolarPV Financial Analys'!D117</f>
        <v>4276.7781780162813</v>
      </c>
      <c r="E22" s="170">
        <f>+D22</f>
        <v>4276.7781780162813</v>
      </c>
      <c r="F22" s="170">
        <f t="shared" ref="F22:AB24" si="1">+E22</f>
        <v>4276.7781780162813</v>
      </c>
      <c r="G22" s="170">
        <f t="shared" si="1"/>
        <v>4276.7781780162813</v>
      </c>
      <c r="H22" s="170">
        <f t="shared" si="1"/>
        <v>4276.7781780162813</v>
      </c>
      <c r="I22" s="170">
        <f t="shared" si="1"/>
        <v>4276.7781780162813</v>
      </c>
      <c r="J22" s="170">
        <f t="shared" si="1"/>
        <v>4276.7781780162813</v>
      </c>
      <c r="K22" s="170">
        <f t="shared" si="1"/>
        <v>4276.7781780162813</v>
      </c>
      <c r="L22" s="170">
        <f t="shared" si="1"/>
        <v>4276.7781780162813</v>
      </c>
      <c r="M22" s="170">
        <f t="shared" si="1"/>
        <v>4276.7781780162813</v>
      </c>
      <c r="N22" s="170">
        <f t="shared" si="1"/>
        <v>4276.7781780162813</v>
      </c>
      <c r="O22" s="170">
        <f t="shared" si="1"/>
        <v>4276.7781780162813</v>
      </c>
      <c r="P22" s="170">
        <f t="shared" si="1"/>
        <v>4276.7781780162813</v>
      </c>
      <c r="Q22" s="170">
        <f t="shared" si="1"/>
        <v>4276.7781780162813</v>
      </c>
      <c r="R22" s="170">
        <f t="shared" si="1"/>
        <v>4276.7781780162813</v>
      </c>
      <c r="S22" s="170">
        <f t="shared" si="1"/>
        <v>4276.7781780162813</v>
      </c>
      <c r="T22" s="170">
        <f t="shared" si="1"/>
        <v>4276.7781780162813</v>
      </c>
      <c r="U22" s="170">
        <f t="shared" si="1"/>
        <v>4276.7781780162813</v>
      </c>
      <c r="V22" s="170">
        <f t="shared" si="1"/>
        <v>4276.7781780162813</v>
      </c>
      <c r="W22" s="170">
        <f t="shared" si="1"/>
        <v>4276.7781780162813</v>
      </c>
      <c r="X22" s="170">
        <f t="shared" si="1"/>
        <v>4276.7781780162813</v>
      </c>
      <c r="Y22" s="170">
        <f t="shared" si="1"/>
        <v>4276.7781780162813</v>
      </c>
      <c r="Z22" s="170">
        <f t="shared" si="1"/>
        <v>4276.7781780162813</v>
      </c>
      <c r="AA22" s="170">
        <f t="shared" si="1"/>
        <v>4276.7781780162813</v>
      </c>
      <c r="AB22" s="170">
        <f t="shared" si="1"/>
        <v>4276.7781780162813</v>
      </c>
    </row>
    <row r="23" spans="1:28">
      <c r="A23" s="151"/>
      <c r="B23" s="837" t="s">
        <v>36</v>
      </c>
      <c r="C23" s="167"/>
      <c r="D23" s="167">
        <f>+C13*GuineaDigesterAnaly!G12</f>
        <v>192517.44203576091</v>
      </c>
      <c r="E23" s="167">
        <f>+D23</f>
        <v>192517.44203576091</v>
      </c>
      <c r="F23" s="167">
        <f t="shared" si="1"/>
        <v>192517.44203576091</v>
      </c>
      <c r="G23" s="167">
        <f t="shared" si="1"/>
        <v>192517.44203576091</v>
      </c>
      <c r="H23" s="167">
        <f t="shared" si="1"/>
        <v>192517.44203576091</v>
      </c>
      <c r="I23" s="167">
        <f t="shared" si="1"/>
        <v>192517.44203576091</v>
      </c>
      <c r="J23" s="167">
        <f t="shared" si="1"/>
        <v>192517.44203576091</v>
      </c>
      <c r="K23" s="167">
        <f t="shared" si="1"/>
        <v>192517.44203576091</v>
      </c>
      <c r="L23" s="167">
        <f t="shared" si="1"/>
        <v>192517.44203576091</v>
      </c>
      <c r="M23" s="167">
        <f t="shared" si="1"/>
        <v>192517.44203576091</v>
      </c>
      <c r="N23" s="167">
        <f t="shared" si="1"/>
        <v>192517.44203576091</v>
      </c>
      <c r="O23" s="167">
        <f t="shared" si="1"/>
        <v>192517.44203576091</v>
      </c>
      <c r="P23" s="167">
        <f t="shared" si="1"/>
        <v>192517.44203576091</v>
      </c>
      <c r="Q23" s="167">
        <f t="shared" si="1"/>
        <v>192517.44203576091</v>
      </c>
      <c r="R23" s="167">
        <f t="shared" si="1"/>
        <v>192517.44203576091</v>
      </c>
      <c r="S23" s="167">
        <f t="shared" si="1"/>
        <v>192517.44203576091</v>
      </c>
      <c r="T23" s="167">
        <f t="shared" si="1"/>
        <v>192517.44203576091</v>
      </c>
      <c r="U23" s="167">
        <f t="shared" si="1"/>
        <v>192517.44203576091</v>
      </c>
      <c r="V23" s="167">
        <f t="shared" si="1"/>
        <v>192517.44203576091</v>
      </c>
      <c r="W23" s="167">
        <f t="shared" si="1"/>
        <v>192517.44203576091</v>
      </c>
      <c r="X23" s="167">
        <f t="shared" si="1"/>
        <v>192517.44203576091</v>
      </c>
      <c r="Y23" s="167">
        <f t="shared" si="1"/>
        <v>192517.44203576091</v>
      </c>
      <c r="Z23" s="167">
        <f t="shared" si="1"/>
        <v>192517.44203576091</v>
      </c>
      <c r="AA23" s="167">
        <f t="shared" si="1"/>
        <v>192517.44203576091</v>
      </c>
      <c r="AB23" s="167">
        <f t="shared" si="1"/>
        <v>192517.44203576091</v>
      </c>
    </row>
    <row r="24" spans="1:28">
      <c r="A24" s="151"/>
      <c r="B24" s="837" t="s">
        <v>37</v>
      </c>
      <c r="C24" s="152"/>
      <c r="D24" s="167">
        <f>-'GuiBiogas Electricity Fin '!D119</f>
        <v>11579.850117232279</v>
      </c>
      <c r="E24" s="167">
        <f>+D24</f>
        <v>11579.850117232279</v>
      </c>
      <c r="F24" s="167">
        <f t="shared" si="1"/>
        <v>11579.850117232279</v>
      </c>
      <c r="G24" s="167">
        <f t="shared" si="1"/>
        <v>11579.850117232279</v>
      </c>
      <c r="H24" s="167">
        <f t="shared" si="1"/>
        <v>11579.850117232279</v>
      </c>
      <c r="I24" s="167">
        <f t="shared" si="1"/>
        <v>11579.850117232279</v>
      </c>
      <c r="J24" s="167">
        <f t="shared" si="1"/>
        <v>11579.850117232279</v>
      </c>
      <c r="K24" s="167">
        <f t="shared" si="1"/>
        <v>11579.850117232279</v>
      </c>
      <c r="L24" s="167">
        <f t="shared" si="1"/>
        <v>11579.850117232279</v>
      </c>
      <c r="M24" s="167">
        <f t="shared" si="1"/>
        <v>11579.850117232279</v>
      </c>
      <c r="N24" s="167">
        <f t="shared" si="1"/>
        <v>11579.850117232279</v>
      </c>
      <c r="O24" s="167">
        <f t="shared" si="1"/>
        <v>11579.850117232279</v>
      </c>
      <c r="P24" s="167">
        <f t="shared" si="1"/>
        <v>11579.850117232279</v>
      </c>
      <c r="Q24" s="167">
        <f t="shared" si="1"/>
        <v>11579.850117232279</v>
      </c>
      <c r="R24" s="167">
        <f t="shared" si="1"/>
        <v>11579.850117232279</v>
      </c>
      <c r="S24" s="167">
        <f t="shared" si="1"/>
        <v>11579.850117232279</v>
      </c>
      <c r="T24" s="167">
        <f t="shared" si="1"/>
        <v>11579.850117232279</v>
      </c>
      <c r="U24" s="167">
        <f t="shared" si="1"/>
        <v>11579.850117232279</v>
      </c>
      <c r="V24" s="167">
        <f t="shared" si="1"/>
        <v>11579.850117232279</v>
      </c>
      <c r="W24" s="167">
        <f t="shared" si="1"/>
        <v>11579.850117232279</v>
      </c>
      <c r="X24" s="167">
        <f t="shared" si="1"/>
        <v>11579.850117232279</v>
      </c>
      <c r="Y24" s="167">
        <f t="shared" si="1"/>
        <v>11579.850117232279</v>
      </c>
      <c r="Z24" s="167">
        <f t="shared" si="1"/>
        <v>11579.850117232279</v>
      </c>
      <c r="AA24" s="167">
        <f t="shared" si="1"/>
        <v>11579.850117232279</v>
      </c>
      <c r="AB24" s="167">
        <f t="shared" si="1"/>
        <v>11579.850117232279</v>
      </c>
    </row>
    <row r="25" spans="1:28">
      <c r="A25" s="151"/>
      <c r="B25" s="837" t="s">
        <v>71</v>
      </c>
      <c r="C25" s="152"/>
      <c r="D25" s="167">
        <f>+D52</f>
        <v>0</v>
      </c>
      <c r="E25" s="167">
        <f t="shared" ref="E25:AB25" si="2">+E52</f>
        <v>0</v>
      </c>
      <c r="F25" s="167">
        <f t="shared" si="2"/>
        <v>0</v>
      </c>
      <c r="G25" s="167">
        <f t="shared" si="2"/>
        <v>0</v>
      </c>
      <c r="H25" s="167">
        <f t="shared" si="2"/>
        <v>0</v>
      </c>
      <c r="I25" s="167">
        <f t="shared" si="2"/>
        <v>1645668</v>
      </c>
      <c r="J25" s="167">
        <f t="shared" si="2"/>
        <v>1645668</v>
      </c>
      <c r="K25" s="167">
        <f t="shared" si="2"/>
        <v>1645668</v>
      </c>
      <c r="L25" s="167">
        <f t="shared" si="2"/>
        <v>1645668</v>
      </c>
      <c r="M25" s="167">
        <f t="shared" si="2"/>
        <v>1645668</v>
      </c>
      <c r="N25" s="167">
        <f t="shared" si="2"/>
        <v>1645668</v>
      </c>
      <c r="O25" s="167">
        <f t="shared" si="2"/>
        <v>1645668</v>
      </c>
      <c r="P25" s="167">
        <f t="shared" si="2"/>
        <v>1645668</v>
      </c>
      <c r="Q25" s="167">
        <f t="shared" si="2"/>
        <v>1645668</v>
      </c>
      <c r="R25" s="167">
        <f t="shared" si="2"/>
        <v>1645668</v>
      </c>
      <c r="S25" s="167">
        <f t="shared" si="2"/>
        <v>1645668</v>
      </c>
      <c r="T25" s="167">
        <f t="shared" si="2"/>
        <v>1645668</v>
      </c>
      <c r="U25" s="167">
        <f t="shared" si="2"/>
        <v>1645668</v>
      </c>
      <c r="V25" s="167">
        <f t="shared" si="2"/>
        <v>1645668</v>
      </c>
      <c r="W25" s="167">
        <f t="shared" si="2"/>
        <v>1645668</v>
      </c>
      <c r="X25" s="167">
        <f t="shared" si="2"/>
        <v>1645668</v>
      </c>
      <c r="Y25" s="167">
        <f t="shared" si="2"/>
        <v>1645668</v>
      </c>
      <c r="Z25" s="167">
        <f t="shared" si="2"/>
        <v>1645668</v>
      </c>
      <c r="AA25" s="167">
        <f t="shared" si="2"/>
        <v>1645668</v>
      </c>
      <c r="AB25" s="167">
        <f t="shared" si="2"/>
        <v>1645668</v>
      </c>
    </row>
    <row r="26" spans="1:28">
      <c r="A26" s="151"/>
      <c r="B26" s="837" t="s">
        <v>39</v>
      </c>
      <c r="C26" s="152"/>
      <c r="D26" s="167">
        <f>+D45</f>
        <v>15258.52</v>
      </c>
      <c r="E26" s="167">
        <f t="shared" ref="E26:AB26" si="3">+E45</f>
        <v>15258.52</v>
      </c>
      <c r="F26" s="167">
        <f t="shared" si="3"/>
        <v>15258.52</v>
      </c>
      <c r="G26" s="167">
        <f t="shared" si="3"/>
        <v>15258.52</v>
      </c>
      <c r="H26" s="167">
        <f t="shared" si="3"/>
        <v>15258.52</v>
      </c>
      <c r="I26" s="167">
        <f t="shared" si="3"/>
        <v>15258.52</v>
      </c>
      <c r="J26" s="167">
        <f t="shared" si="3"/>
        <v>15258.52</v>
      </c>
      <c r="K26" s="167">
        <f t="shared" si="3"/>
        <v>15258.52</v>
      </c>
      <c r="L26" s="167">
        <f t="shared" si="3"/>
        <v>15258.52</v>
      </c>
      <c r="M26" s="167">
        <f t="shared" si="3"/>
        <v>15258.52</v>
      </c>
      <c r="N26" s="167">
        <f t="shared" si="3"/>
        <v>15258.52</v>
      </c>
      <c r="O26" s="167">
        <f t="shared" si="3"/>
        <v>15258.52</v>
      </c>
      <c r="P26" s="167">
        <f t="shared" si="3"/>
        <v>15258.52</v>
      </c>
      <c r="Q26" s="167">
        <f t="shared" si="3"/>
        <v>15258.52</v>
      </c>
      <c r="R26" s="167">
        <f t="shared" si="3"/>
        <v>15258.52</v>
      </c>
      <c r="S26" s="167">
        <f t="shared" si="3"/>
        <v>15258.52</v>
      </c>
      <c r="T26" s="167">
        <f t="shared" si="3"/>
        <v>15258.52</v>
      </c>
      <c r="U26" s="167">
        <f t="shared" si="3"/>
        <v>15258.52</v>
      </c>
      <c r="V26" s="167">
        <f t="shared" si="3"/>
        <v>15258.52</v>
      </c>
      <c r="W26" s="167">
        <f t="shared" si="3"/>
        <v>15258.52</v>
      </c>
      <c r="X26" s="167">
        <f t="shared" si="3"/>
        <v>15258.52</v>
      </c>
      <c r="Y26" s="167">
        <f t="shared" si="3"/>
        <v>15258.52</v>
      </c>
      <c r="Z26" s="167">
        <f t="shared" si="3"/>
        <v>15258.52</v>
      </c>
      <c r="AA26" s="167">
        <f t="shared" si="3"/>
        <v>15258.52</v>
      </c>
      <c r="AB26" s="167">
        <f t="shared" si="3"/>
        <v>15258.52</v>
      </c>
    </row>
    <row r="27" spans="1:28">
      <c r="A27" s="151"/>
      <c r="B27" s="151" t="s">
        <v>40</v>
      </c>
      <c r="C27" s="172"/>
      <c r="D27" s="168">
        <f t="shared" ref="D27:AB27" si="4">SUM(D22:D26)</f>
        <v>223632.59033100944</v>
      </c>
      <c r="E27" s="168">
        <f t="shared" si="4"/>
        <v>223632.59033100944</v>
      </c>
      <c r="F27" s="168">
        <f t="shared" si="4"/>
        <v>223632.59033100944</v>
      </c>
      <c r="G27" s="168">
        <f t="shared" si="4"/>
        <v>223632.59033100944</v>
      </c>
      <c r="H27" s="168">
        <f t="shared" si="4"/>
        <v>223632.59033100944</v>
      </c>
      <c r="I27" s="168">
        <f t="shared" si="4"/>
        <v>1869300.5903310096</v>
      </c>
      <c r="J27" s="168">
        <f t="shared" si="4"/>
        <v>1869300.5903310096</v>
      </c>
      <c r="K27" s="168">
        <f t="shared" si="4"/>
        <v>1869300.5903310096</v>
      </c>
      <c r="L27" s="168">
        <f t="shared" si="4"/>
        <v>1869300.5903310096</v>
      </c>
      <c r="M27" s="168">
        <f t="shared" si="4"/>
        <v>1869300.5903310096</v>
      </c>
      <c r="N27" s="168">
        <f t="shared" si="4"/>
        <v>1869300.5903310096</v>
      </c>
      <c r="O27" s="168">
        <f t="shared" si="4"/>
        <v>1869300.5903310096</v>
      </c>
      <c r="P27" s="168">
        <f t="shared" si="4"/>
        <v>1869300.5903310096</v>
      </c>
      <c r="Q27" s="168">
        <f t="shared" si="4"/>
        <v>1869300.5903310096</v>
      </c>
      <c r="R27" s="168">
        <f t="shared" si="4"/>
        <v>1869300.5903310096</v>
      </c>
      <c r="S27" s="168">
        <f t="shared" si="4"/>
        <v>1869300.5903310096</v>
      </c>
      <c r="T27" s="168">
        <f t="shared" si="4"/>
        <v>1869300.5903310096</v>
      </c>
      <c r="U27" s="168">
        <f t="shared" si="4"/>
        <v>1869300.5903310096</v>
      </c>
      <c r="V27" s="168">
        <f t="shared" si="4"/>
        <v>1869300.5903310096</v>
      </c>
      <c r="W27" s="168">
        <f t="shared" si="4"/>
        <v>1869300.5903310096</v>
      </c>
      <c r="X27" s="168">
        <f t="shared" si="4"/>
        <v>1869300.5903310096</v>
      </c>
      <c r="Y27" s="168">
        <f t="shared" si="4"/>
        <v>1869300.5903310096</v>
      </c>
      <c r="Z27" s="168">
        <f t="shared" si="4"/>
        <v>1869300.5903310096</v>
      </c>
      <c r="AA27" s="168">
        <f t="shared" si="4"/>
        <v>1869300.5903310096</v>
      </c>
      <c r="AB27" s="168">
        <f t="shared" si="4"/>
        <v>1869300.5903310096</v>
      </c>
    </row>
    <row r="28" spans="1:28">
      <c r="A28" s="152"/>
      <c r="B28" s="152"/>
      <c r="C28" s="152"/>
      <c r="D28" s="171"/>
      <c r="E28" s="171"/>
      <c r="F28" s="171"/>
      <c r="G28" s="171"/>
      <c r="H28" s="171"/>
      <c r="I28" s="171"/>
      <c r="J28" s="171"/>
      <c r="K28" s="171"/>
      <c r="L28" s="171"/>
      <c r="M28" s="171"/>
      <c r="N28" s="171"/>
      <c r="O28" s="171"/>
      <c r="P28" s="171"/>
      <c r="Q28" s="171"/>
      <c r="R28" s="171"/>
      <c r="S28" s="171"/>
      <c r="T28" s="171"/>
      <c r="U28" s="171"/>
      <c r="V28" s="171"/>
      <c r="W28" s="171"/>
      <c r="X28" s="171"/>
      <c r="Y28" s="171"/>
      <c r="Z28" s="171"/>
      <c r="AA28" s="171"/>
      <c r="AB28" s="171"/>
    </row>
    <row r="29" spans="1:28" ht="29.1">
      <c r="A29" s="173" t="s">
        <v>41</v>
      </c>
      <c r="B29" s="839" t="s">
        <v>44</v>
      </c>
      <c r="C29" s="169"/>
      <c r="D29" s="175">
        <f>'GuiSolarPV Financial Analys'!D19*'GuiSolarPV Financial Analys'!C31*'GuiSolarPV Financial Analys'!D23</f>
        <v>303.57597441600001</v>
      </c>
      <c r="E29" s="170">
        <f>+D29</f>
        <v>303.57597441600001</v>
      </c>
      <c r="F29" s="170">
        <f t="shared" ref="F29:AB32" si="5">+E29</f>
        <v>303.57597441600001</v>
      </c>
      <c r="G29" s="170">
        <f t="shared" si="5"/>
        <v>303.57597441600001</v>
      </c>
      <c r="H29" s="170">
        <f t="shared" si="5"/>
        <v>303.57597441600001</v>
      </c>
      <c r="I29" s="170">
        <f t="shared" si="5"/>
        <v>303.57597441600001</v>
      </c>
      <c r="J29" s="170">
        <f t="shared" si="5"/>
        <v>303.57597441600001</v>
      </c>
      <c r="K29" s="170">
        <f t="shared" si="5"/>
        <v>303.57597441600001</v>
      </c>
      <c r="L29" s="170">
        <f t="shared" si="5"/>
        <v>303.57597441600001</v>
      </c>
      <c r="M29" s="170">
        <f t="shared" si="5"/>
        <v>303.57597441600001</v>
      </c>
      <c r="N29" s="170">
        <f t="shared" si="5"/>
        <v>303.57597441600001</v>
      </c>
      <c r="O29" s="170">
        <f t="shared" si="5"/>
        <v>303.57597441600001</v>
      </c>
      <c r="P29" s="170">
        <f t="shared" si="5"/>
        <v>303.57597441600001</v>
      </c>
      <c r="Q29" s="170">
        <f t="shared" si="5"/>
        <v>303.57597441600001</v>
      </c>
      <c r="R29" s="170">
        <f t="shared" si="5"/>
        <v>303.57597441600001</v>
      </c>
      <c r="S29" s="170">
        <f t="shared" si="5"/>
        <v>303.57597441600001</v>
      </c>
      <c r="T29" s="170">
        <f t="shared" si="5"/>
        <v>303.57597441600001</v>
      </c>
      <c r="U29" s="170">
        <f t="shared" si="5"/>
        <v>303.57597441600001</v>
      </c>
      <c r="V29" s="170">
        <f t="shared" si="5"/>
        <v>303.57597441600001</v>
      </c>
      <c r="W29" s="170">
        <f t="shared" si="5"/>
        <v>303.57597441600001</v>
      </c>
      <c r="X29" s="170">
        <f t="shared" si="5"/>
        <v>303.57597441600001</v>
      </c>
      <c r="Y29" s="170">
        <f t="shared" si="5"/>
        <v>303.57597441600001</v>
      </c>
      <c r="Z29" s="170">
        <f t="shared" si="5"/>
        <v>303.57597441600001</v>
      </c>
      <c r="AA29" s="170">
        <f t="shared" si="5"/>
        <v>303.57597441600001</v>
      </c>
      <c r="AB29" s="170">
        <f t="shared" si="5"/>
        <v>303.57597441600001</v>
      </c>
    </row>
    <row r="30" spans="1:28">
      <c r="A30" s="152"/>
      <c r="B30" s="837" t="s">
        <v>45</v>
      </c>
      <c r="C30" s="152"/>
      <c r="D30" s="174">
        <f>'GuiSolarPV Financial Analys'!D20*'GuiSolarPV Financial Analys'!C31*'GuiSolarPV Financial Analys'!D23</f>
        <v>3973.2022036002813</v>
      </c>
      <c r="E30" s="167">
        <f>+D30</f>
        <v>3973.2022036002813</v>
      </c>
      <c r="F30" s="167">
        <f t="shared" si="5"/>
        <v>3973.2022036002813</v>
      </c>
      <c r="G30" s="167">
        <f t="shared" si="5"/>
        <v>3973.2022036002813</v>
      </c>
      <c r="H30" s="167">
        <f t="shared" si="5"/>
        <v>3973.2022036002813</v>
      </c>
      <c r="I30" s="167">
        <f t="shared" si="5"/>
        <v>3973.2022036002813</v>
      </c>
      <c r="J30" s="167">
        <f t="shared" si="5"/>
        <v>3973.2022036002813</v>
      </c>
      <c r="K30" s="167">
        <f t="shared" si="5"/>
        <v>3973.2022036002813</v>
      </c>
      <c r="L30" s="167">
        <f t="shared" si="5"/>
        <v>3973.2022036002813</v>
      </c>
      <c r="M30" s="167">
        <f t="shared" si="5"/>
        <v>3973.2022036002813</v>
      </c>
      <c r="N30" s="167">
        <f t="shared" si="5"/>
        <v>3973.2022036002813</v>
      </c>
      <c r="O30" s="167">
        <f t="shared" si="5"/>
        <v>3973.2022036002813</v>
      </c>
      <c r="P30" s="167">
        <f t="shared" si="5"/>
        <v>3973.2022036002813</v>
      </c>
      <c r="Q30" s="167">
        <f t="shared" si="5"/>
        <v>3973.2022036002813</v>
      </c>
      <c r="R30" s="167">
        <f t="shared" si="5"/>
        <v>3973.2022036002813</v>
      </c>
      <c r="S30" s="167">
        <f t="shared" si="5"/>
        <v>3973.2022036002813</v>
      </c>
      <c r="T30" s="167">
        <f t="shared" si="5"/>
        <v>3973.2022036002813</v>
      </c>
      <c r="U30" s="167">
        <f t="shared" si="5"/>
        <v>3973.2022036002813</v>
      </c>
      <c r="V30" s="167">
        <f t="shared" si="5"/>
        <v>3973.2022036002813</v>
      </c>
      <c r="W30" s="167">
        <f t="shared" si="5"/>
        <v>3973.2022036002813</v>
      </c>
      <c r="X30" s="167">
        <f t="shared" si="5"/>
        <v>3973.2022036002813</v>
      </c>
      <c r="Y30" s="167">
        <f t="shared" si="5"/>
        <v>3973.2022036002813</v>
      </c>
      <c r="Z30" s="167">
        <f t="shared" si="5"/>
        <v>3973.2022036002813</v>
      </c>
      <c r="AA30" s="167">
        <f t="shared" si="5"/>
        <v>3973.2022036002813</v>
      </c>
      <c r="AB30" s="167">
        <f t="shared" si="5"/>
        <v>3973.2022036002813</v>
      </c>
    </row>
    <row r="31" spans="1:28">
      <c r="A31" s="152"/>
      <c r="B31" s="837" t="s">
        <v>46</v>
      </c>
      <c r="C31" s="152"/>
      <c r="D31" s="174">
        <f>+GuineaDigesterAnaly!J12</f>
        <v>171340.52341182719</v>
      </c>
      <c r="E31" s="167">
        <f>+D31</f>
        <v>171340.52341182719</v>
      </c>
      <c r="F31" s="167">
        <f t="shared" si="5"/>
        <v>171340.52341182719</v>
      </c>
      <c r="G31" s="167">
        <f t="shared" si="5"/>
        <v>171340.52341182719</v>
      </c>
      <c r="H31" s="167">
        <f t="shared" si="5"/>
        <v>171340.52341182719</v>
      </c>
      <c r="I31" s="167">
        <f t="shared" si="5"/>
        <v>171340.52341182719</v>
      </c>
      <c r="J31" s="167">
        <f t="shared" si="5"/>
        <v>171340.52341182719</v>
      </c>
      <c r="K31" s="167">
        <f t="shared" si="5"/>
        <v>171340.52341182719</v>
      </c>
      <c r="L31" s="167">
        <f t="shared" si="5"/>
        <v>171340.52341182719</v>
      </c>
      <c r="M31" s="167">
        <f t="shared" si="5"/>
        <v>171340.52341182719</v>
      </c>
      <c r="N31" s="167">
        <f t="shared" si="5"/>
        <v>171340.52341182719</v>
      </c>
      <c r="O31" s="167">
        <f t="shared" si="5"/>
        <v>171340.52341182719</v>
      </c>
      <c r="P31" s="167">
        <f t="shared" si="5"/>
        <v>171340.52341182719</v>
      </c>
      <c r="Q31" s="167">
        <f t="shared" si="5"/>
        <v>171340.52341182719</v>
      </c>
      <c r="R31" s="167">
        <f t="shared" si="5"/>
        <v>171340.52341182719</v>
      </c>
      <c r="S31" s="167">
        <f t="shared" si="5"/>
        <v>171340.52341182719</v>
      </c>
      <c r="T31" s="167">
        <f t="shared" si="5"/>
        <v>171340.52341182719</v>
      </c>
      <c r="U31" s="167">
        <f t="shared" si="5"/>
        <v>171340.52341182719</v>
      </c>
      <c r="V31" s="167">
        <f t="shared" si="5"/>
        <v>171340.52341182719</v>
      </c>
      <c r="W31" s="167">
        <f t="shared" si="5"/>
        <v>171340.52341182719</v>
      </c>
      <c r="X31" s="167">
        <f t="shared" si="5"/>
        <v>171340.52341182719</v>
      </c>
      <c r="Y31" s="167">
        <f t="shared" si="5"/>
        <v>171340.52341182719</v>
      </c>
      <c r="Z31" s="167">
        <f t="shared" si="5"/>
        <v>171340.52341182719</v>
      </c>
      <c r="AA31" s="167">
        <f t="shared" si="5"/>
        <v>171340.52341182719</v>
      </c>
      <c r="AB31" s="167">
        <f t="shared" si="5"/>
        <v>171340.52341182719</v>
      </c>
    </row>
    <row r="32" spans="1:28">
      <c r="A32" s="152"/>
      <c r="B32" s="837" t="s">
        <v>47</v>
      </c>
      <c r="C32" s="152"/>
      <c r="D32" s="174">
        <f>-'GuiBiogas Electricity Fin '!D119</f>
        <v>11579.850117232279</v>
      </c>
      <c r="E32" s="167">
        <f>+D32</f>
        <v>11579.850117232279</v>
      </c>
      <c r="F32" s="167">
        <f t="shared" si="5"/>
        <v>11579.850117232279</v>
      </c>
      <c r="G32" s="167">
        <f t="shared" si="5"/>
        <v>11579.850117232279</v>
      </c>
      <c r="H32" s="167">
        <f t="shared" si="5"/>
        <v>11579.850117232279</v>
      </c>
      <c r="I32" s="167">
        <f t="shared" si="5"/>
        <v>11579.850117232279</v>
      </c>
      <c r="J32" s="167">
        <f t="shared" si="5"/>
        <v>11579.850117232279</v>
      </c>
      <c r="K32" s="167">
        <f t="shared" si="5"/>
        <v>11579.850117232279</v>
      </c>
      <c r="L32" s="167">
        <f t="shared" si="5"/>
        <v>11579.850117232279</v>
      </c>
      <c r="M32" s="167">
        <f t="shared" si="5"/>
        <v>11579.850117232279</v>
      </c>
      <c r="N32" s="167">
        <f t="shared" si="5"/>
        <v>11579.850117232279</v>
      </c>
      <c r="O32" s="167">
        <f t="shared" si="5"/>
        <v>11579.850117232279</v>
      </c>
      <c r="P32" s="167">
        <f t="shared" si="5"/>
        <v>11579.850117232279</v>
      </c>
      <c r="Q32" s="167">
        <f t="shared" si="5"/>
        <v>11579.850117232279</v>
      </c>
      <c r="R32" s="167">
        <f t="shared" si="5"/>
        <v>11579.850117232279</v>
      </c>
      <c r="S32" s="167">
        <f t="shared" si="5"/>
        <v>11579.850117232279</v>
      </c>
      <c r="T32" s="167">
        <f t="shared" si="5"/>
        <v>11579.850117232279</v>
      </c>
      <c r="U32" s="167">
        <f t="shared" si="5"/>
        <v>11579.850117232279</v>
      </c>
      <c r="V32" s="167">
        <f t="shared" si="5"/>
        <v>11579.850117232279</v>
      </c>
      <c r="W32" s="167">
        <f t="shared" si="5"/>
        <v>11579.850117232279</v>
      </c>
      <c r="X32" s="167">
        <f t="shared" si="5"/>
        <v>11579.850117232279</v>
      </c>
      <c r="Y32" s="167">
        <f t="shared" si="5"/>
        <v>11579.850117232279</v>
      </c>
      <c r="Z32" s="167">
        <f t="shared" si="5"/>
        <v>11579.850117232279</v>
      </c>
      <c r="AA32" s="167">
        <f t="shared" si="5"/>
        <v>11579.850117232279</v>
      </c>
      <c r="AB32" s="167">
        <f t="shared" si="5"/>
        <v>11579.850117232279</v>
      </c>
    </row>
    <row r="33" spans="1:28">
      <c r="A33" s="152"/>
      <c r="B33" s="837"/>
      <c r="C33" s="152"/>
      <c r="D33" s="174"/>
      <c r="E33" s="167"/>
      <c r="F33" s="167"/>
      <c r="G33" s="167"/>
      <c r="H33" s="167"/>
      <c r="I33" s="167"/>
      <c r="J33" s="167"/>
      <c r="K33" s="167"/>
      <c r="L33" s="167"/>
      <c r="M33" s="167"/>
      <c r="N33" s="167"/>
      <c r="O33" s="167"/>
      <c r="P33" s="167"/>
      <c r="Q33" s="167"/>
      <c r="R33" s="167"/>
      <c r="S33" s="167"/>
      <c r="T33" s="167"/>
      <c r="U33" s="167"/>
      <c r="V33" s="167"/>
      <c r="W33" s="167"/>
      <c r="X33" s="167"/>
      <c r="Y33" s="167"/>
      <c r="Z33" s="167"/>
      <c r="AA33" s="167"/>
      <c r="AB33" s="167"/>
    </row>
    <row r="34" spans="1:28" hidden="1">
      <c r="A34" s="152"/>
      <c r="D34" s="125"/>
      <c r="E34" s="125"/>
      <c r="F34" s="125"/>
      <c r="G34" s="125"/>
      <c r="H34" s="125"/>
      <c r="I34" s="125"/>
      <c r="J34" s="125"/>
      <c r="K34" s="125"/>
      <c r="L34" s="125"/>
      <c r="M34" s="125"/>
      <c r="N34" s="125"/>
      <c r="O34" s="125"/>
      <c r="P34" s="125"/>
      <c r="Q34" s="125"/>
      <c r="R34" s="125"/>
      <c r="S34" s="125"/>
      <c r="T34" s="125"/>
      <c r="U34" s="125"/>
      <c r="V34" s="125"/>
      <c r="W34" s="125"/>
      <c r="X34" s="125"/>
      <c r="Y34" s="125"/>
      <c r="Z34" s="125"/>
      <c r="AA34" s="125"/>
      <c r="AB34" s="125"/>
    </row>
    <row r="35" spans="1:28" hidden="1">
      <c r="A35" s="152"/>
      <c r="B35" s="126" t="s">
        <v>49</v>
      </c>
      <c r="C35" s="129"/>
      <c r="D35" s="127"/>
      <c r="E35" s="127"/>
      <c r="F35" s="127"/>
      <c r="G35" s="127"/>
      <c r="H35" s="127"/>
      <c r="I35" s="127"/>
      <c r="J35" s="127"/>
      <c r="K35" s="127"/>
      <c r="L35" s="127"/>
      <c r="M35" s="127"/>
      <c r="N35" s="127"/>
      <c r="O35" s="127"/>
      <c r="P35" s="127"/>
      <c r="Q35" s="127"/>
      <c r="R35" s="127"/>
      <c r="S35" s="127"/>
      <c r="T35" s="127"/>
      <c r="U35" s="127"/>
      <c r="V35" s="127"/>
      <c r="W35" s="127"/>
      <c r="X35" s="127"/>
      <c r="Y35" s="127"/>
      <c r="Z35" s="127"/>
      <c r="AA35" s="127"/>
      <c r="AB35" s="127"/>
    </row>
    <row r="36" spans="1:28" hidden="1">
      <c r="A36" s="152"/>
      <c r="B36" s="122" t="s">
        <v>50</v>
      </c>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0"/>
      <c r="AB36" s="130"/>
    </row>
    <row r="37" spans="1:28" hidden="1">
      <c r="A37" s="152"/>
      <c r="B37" s="122" t="s">
        <v>51</v>
      </c>
      <c r="C37" s="131"/>
      <c r="D37" s="128">
        <f>0.4*122136259/15/1000</f>
        <v>3256.9669066666665</v>
      </c>
      <c r="E37" s="128">
        <f t="shared" ref="E37:AB37" si="6">0.4*122136259/15/1000</f>
        <v>3256.9669066666665</v>
      </c>
      <c r="F37" s="128">
        <f t="shared" si="6"/>
        <v>3256.9669066666665</v>
      </c>
      <c r="G37" s="128">
        <f t="shared" si="6"/>
        <v>3256.9669066666665</v>
      </c>
      <c r="H37" s="128">
        <f t="shared" si="6"/>
        <v>3256.9669066666665</v>
      </c>
      <c r="I37" s="128">
        <f t="shared" si="6"/>
        <v>3256.9669066666665</v>
      </c>
      <c r="J37" s="128">
        <f t="shared" si="6"/>
        <v>3256.9669066666665</v>
      </c>
      <c r="K37" s="128">
        <f t="shared" si="6"/>
        <v>3256.9669066666665</v>
      </c>
      <c r="L37" s="128">
        <f t="shared" si="6"/>
        <v>3256.9669066666665</v>
      </c>
      <c r="M37" s="128">
        <f t="shared" si="6"/>
        <v>3256.9669066666665</v>
      </c>
      <c r="N37" s="128">
        <f t="shared" si="6"/>
        <v>3256.9669066666665</v>
      </c>
      <c r="O37" s="128">
        <f t="shared" si="6"/>
        <v>3256.9669066666665</v>
      </c>
      <c r="P37" s="128">
        <f t="shared" si="6"/>
        <v>3256.9669066666665</v>
      </c>
      <c r="Q37" s="128">
        <f t="shared" si="6"/>
        <v>3256.9669066666665</v>
      </c>
      <c r="R37" s="128">
        <f t="shared" si="6"/>
        <v>3256.9669066666665</v>
      </c>
      <c r="S37" s="128">
        <f t="shared" si="6"/>
        <v>3256.9669066666665</v>
      </c>
      <c r="T37" s="128">
        <f t="shared" si="6"/>
        <v>3256.9669066666665</v>
      </c>
      <c r="U37" s="128">
        <f t="shared" si="6"/>
        <v>3256.9669066666665</v>
      </c>
      <c r="V37" s="128">
        <f t="shared" si="6"/>
        <v>3256.9669066666665</v>
      </c>
      <c r="W37" s="128">
        <f t="shared" si="6"/>
        <v>3256.9669066666665</v>
      </c>
      <c r="X37" s="128">
        <f t="shared" si="6"/>
        <v>3256.9669066666665</v>
      </c>
      <c r="Y37" s="128">
        <f t="shared" si="6"/>
        <v>3256.9669066666665</v>
      </c>
      <c r="Z37" s="128">
        <f t="shared" si="6"/>
        <v>3256.9669066666665</v>
      </c>
      <c r="AA37" s="128">
        <f t="shared" si="6"/>
        <v>3256.9669066666665</v>
      </c>
      <c r="AB37" s="128">
        <f t="shared" si="6"/>
        <v>3256.9669066666665</v>
      </c>
    </row>
    <row r="38" spans="1:28" hidden="1">
      <c r="A38" s="152"/>
      <c r="B38" s="122" t="s">
        <v>52</v>
      </c>
      <c r="C38" s="131"/>
      <c r="D38" s="132">
        <v>374.51</v>
      </c>
      <c r="E38" s="132">
        <v>374.51</v>
      </c>
      <c r="F38" s="132">
        <v>374.51</v>
      </c>
      <c r="G38" s="132">
        <v>374.51</v>
      </c>
      <c r="H38" s="132">
        <v>374.51</v>
      </c>
      <c r="I38" s="132">
        <v>374.51</v>
      </c>
      <c r="J38" s="132">
        <v>374.51</v>
      </c>
      <c r="K38" s="132">
        <v>374.51</v>
      </c>
      <c r="L38" s="132">
        <v>374.51</v>
      </c>
      <c r="M38" s="132">
        <v>374.51</v>
      </c>
      <c r="N38" s="132">
        <v>374.51</v>
      </c>
      <c r="O38" s="132">
        <v>374.51</v>
      </c>
      <c r="P38" s="132">
        <v>374.51</v>
      </c>
      <c r="Q38" s="132">
        <v>374.51</v>
      </c>
      <c r="R38" s="132">
        <v>374.51</v>
      </c>
      <c r="S38" s="132">
        <v>374.51</v>
      </c>
      <c r="T38" s="132">
        <v>374.51</v>
      </c>
      <c r="U38" s="132">
        <v>374.51</v>
      </c>
      <c r="V38" s="132">
        <v>374.51</v>
      </c>
      <c r="W38" s="132">
        <v>374.51</v>
      </c>
      <c r="X38" s="132">
        <v>374.51</v>
      </c>
      <c r="Y38" s="132">
        <v>374.51</v>
      </c>
      <c r="Z38" s="132">
        <v>374.51</v>
      </c>
      <c r="AA38" s="132">
        <v>374.51</v>
      </c>
      <c r="AB38" s="132">
        <v>374.51</v>
      </c>
    </row>
    <row r="39" spans="1:28" hidden="1">
      <c r="A39" s="152"/>
      <c r="B39" s="122" t="s">
        <v>53</v>
      </c>
      <c r="C39" s="131"/>
      <c r="D39" s="132">
        <v>4.8600000000000003</v>
      </c>
      <c r="E39" s="132">
        <v>4.8600000000000003</v>
      </c>
      <c r="F39" s="132">
        <v>4.8600000000000003</v>
      </c>
      <c r="G39" s="132">
        <v>4.8600000000000003</v>
      </c>
      <c r="H39" s="132">
        <v>4.8600000000000003</v>
      </c>
      <c r="I39" s="132">
        <v>4.8600000000000003</v>
      </c>
      <c r="J39" s="132">
        <v>4.8600000000000003</v>
      </c>
      <c r="K39" s="132">
        <v>4.8600000000000003</v>
      </c>
      <c r="L39" s="132">
        <v>4.8600000000000003</v>
      </c>
      <c r="M39" s="132">
        <v>4.8600000000000003</v>
      </c>
      <c r="N39" s="132">
        <v>4.8600000000000003</v>
      </c>
      <c r="O39" s="132">
        <v>4.8600000000000003</v>
      </c>
      <c r="P39" s="132">
        <v>4.8600000000000003</v>
      </c>
      <c r="Q39" s="132">
        <v>4.8600000000000003</v>
      </c>
      <c r="R39" s="132">
        <v>4.8600000000000003</v>
      </c>
      <c r="S39" s="132">
        <v>4.8600000000000003</v>
      </c>
      <c r="T39" s="132">
        <v>4.8600000000000003</v>
      </c>
      <c r="U39" s="132">
        <v>4.8600000000000003</v>
      </c>
      <c r="V39" s="132">
        <v>4.8600000000000003</v>
      </c>
      <c r="W39" s="132">
        <v>4.8600000000000003</v>
      </c>
      <c r="X39" s="132">
        <v>4.8600000000000003</v>
      </c>
      <c r="Y39" s="132">
        <v>4.8600000000000003</v>
      </c>
      <c r="Z39" s="132">
        <v>4.8600000000000003</v>
      </c>
      <c r="AA39" s="132">
        <v>4.8600000000000003</v>
      </c>
      <c r="AB39" s="132">
        <v>4.8600000000000003</v>
      </c>
    </row>
    <row r="40" spans="1:28" hidden="1">
      <c r="A40" s="152"/>
      <c r="B40" s="122" t="s">
        <v>54</v>
      </c>
      <c r="C40" s="131"/>
      <c r="D40" s="125">
        <f>D38*D39</f>
        <v>1820.1186</v>
      </c>
      <c r="E40" s="125">
        <f t="shared" ref="E40:W40" si="7">E38*E39</f>
        <v>1820.1186</v>
      </c>
      <c r="F40" s="125">
        <f t="shared" si="7"/>
        <v>1820.1186</v>
      </c>
      <c r="G40" s="125">
        <f t="shared" si="7"/>
        <v>1820.1186</v>
      </c>
      <c r="H40" s="125">
        <f t="shared" si="7"/>
        <v>1820.1186</v>
      </c>
      <c r="I40" s="125">
        <f t="shared" si="7"/>
        <v>1820.1186</v>
      </c>
      <c r="J40" s="125">
        <f t="shared" si="7"/>
        <v>1820.1186</v>
      </c>
      <c r="K40" s="125">
        <f t="shared" si="7"/>
        <v>1820.1186</v>
      </c>
      <c r="L40" s="125">
        <f t="shared" si="7"/>
        <v>1820.1186</v>
      </c>
      <c r="M40" s="125">
        <f t="shared" si="7"/>
        <v>1820.1186</v>
      </c>
      <c r="N40" s="125">
        <f t="shared" si="7"/>
        <v>1820.1186</v>
      </c>
      <c r="O40" s="125">
        <f t="shared" si="7"/>
        <v>1820.1186</v>
      </c>
      <c r="P40" s="125">
        <f t="shared" si="7"/>
        <v>1820.1186</v>
      </c>
      <c r="Q40" s="125">
        <f t="shared" si="7"/>
        <v>1820.1186</v>
      </c>
      <c r="R40" s="125">
        <f t="shared" si="7"/>
        <v>1820.1186</v>
      </c>
      <c r="S40" s="125">
        <f t="shared" si="7"/>
        <v>1820.1186</v>
      </c>
      <c r="T40" s="125">
        <f t="shared" si="7"/>
        <v>1820.1186</v>
      </c>
      <c r="U40" s="125">
        <f t="shared" si="7"/>
        <v>1820.1186</v>
      </c>
      <c r="V40" s="125">
        <f t="shared" si="7"/>
        <v>1820.1186</v>
      </c>
      <c r="W40" s="125">
        <f t="shared" si="7"/>
        <v>1820.1186</v>
      </c>
      <c r="X40" s="125">
        <f>X38*X39</f>
        <v>1820.1186</v>
      </c>
      <c r="Y40" s="125">
        <f>Y38*Y39</f>
        <v>1820.1186</v>
      </c>
      <c r="Z40" s="125">
        <f>Z38*Z39</f>
        <v>1820.1186</v>
      </c>
      <c r="AA40" s="125">
        <f>AA38*AA39</f>
        <v>1820.1186</v>
      </c>
      <c r="AB40" s="125">
        <f>AB38*AB39</f>
        <v>1820.1186</v>
      </c>
    </row>
    <row r="41" spans="1:28" hidden="1">
      <c r="A41" s="152"/>
      <c r="D41" s="125"/>
      <c r="E41" s="125"/>
      <c r="F41" s="125"/>
      <c r="G41" s="125"/>
      <c r="H41" s="125"/>
      <c r="I41" s="125"/>
      <c r="J41" s="125"/>
      <c r="K41" s="125"/>
      <c r="L41" s="125"/>
      <c r="M41" s="125"/>
      <c r="N41" s="125"/>
      <c r="O41" s="125"/>
      <c r="P41" s="125"/>
      <c r="Q41" s="125"/>
      <c r="R41" s="125"/>
      <c r="S41" s="125"/>
      <c r="T41" s="125"/>
      <c r="U41" s="125"/>
      <c r="V41" s="125"/>
      <c r="W41" s="125"/>
      <c r="X41" s="125"/>
      <c r="Y41" s="125"/>
      <c r="Z41" s="125"/>
      <c r="AA41" s="125"/>
      <c r="AB41" s="125"/>
    </row>
    <row r="42" spans="1:28">
      <c r="A42" s="157" t="s">
        <v>48</v>
      </c>
      <c r="B42" s="153" t="s">
        <v>55</v>
      </c>
      <c r="C42" s="169"/>
      <c r="D42" s="170"/>
      <c r="E42" s="170"/>
      <c r="F42" s="170"/>
      <c r="G42" s="170"/>
      <c r="H42" s="170"/>
      <c r="I42" s="170"/>
      <c r="J42" s="170"/>
      <c r="K42" s="170"/>
      <c r="L42" s="170"/>
      <c r="M42" s="170"/>
      <c r="N42" s="170"/>
      <c r="O42" s="170"/>
      <c r="P42" s="170"/>
      <c r="Q42" s="170"/>
      <c r="R42" s="170"/>
      <c r="S42" s="170"/>
      <c r="T42" s="170"/>
      <c r="U42" s="170"/>
      <c r="V42" s="170"/>
      <c r="W42" s="170"/>
      <c r="X42" s="170"/>
      <c r="Y42" s="170"/>
      <c r="Z42" s="170"/>
      <c r="AA42" s="170"/>
      <c r="AB42" s="170"/>
    </row>
    <row r="43" spans="1:28">
      <c r="A43" s="152"/>
      <c r="B43" s="152" t="s">
        <v>56</v>
      </c>
      <c r="C43" s="152">
        <v>1.292</v>
      </c>
      <c r="D43" s="167"/>
      <c r="E43" s="167"/>
      <c r="F43" s="167"/>
      <c r="G43" s="167"/>
      <c r="H43" s="167"/>
      <c r="I43" s="167"/>
      <c r="J43" s="167"/>
      <c r="K43" s="167"/>
      <c r="L43" s="167"/>
      <c r="M43" s="167"/>
      <c r="N43" s="167"/>
      <c r="O43" s="167"/>
      <c r="P43" s="167"/>
      <c r="Q43" s="167"/>
      <c r="R43" s="167"/>
      <c r="S43" s="167"/>
      <c r="T43" s="167"/>
      <c r="U43" s="167"/>
      <c r="V43" s="167"/>
      <c r="W43" s="167"/>
      <c r="X43" s="167"/>
      <c r="Y43" s="167"/>
      <c r="Z43" s="167"/>
      <c r="AA43" s="167"/>
      <c r="AB43" s="167"/>
    </row>
    <row r="44" spans="1:28">
      <c r="A44" s="152"/>
      <c r="B44" s="152" t="s">
        <v>57</v>
      </c>
      <c r="C44" s="192">
        <v>11810</v>
      </c>
      <c r="D44" s="167"/>
      <c r="E44" s="167"/>
      <c r="F44" s="167"/>
      <c r="G44" s="167"/>
      <c r="H44" s="167"/>
      <c r="I44" s="167"/>
      <c r="J44" s="167"/>
      <c r="K44" s="167"/>
      <c r="L44" s="167"/>
      <c r="M44" s="167"/>
      <c r="N44" s="167"/>
      <c r="O44" s="167"/>
      <c r="P44" s="167"/>
      <c r="Q44" s="167"/>
      <c r="R44" s="167"/>
      <c r="S44" s="167"/>
      <c r="T44" s="167"/>
      <c r="U44" s="167"/>
      <c r="V44" s="167"/>
      <c r="W44" s="167"/>
      <c r="X44" s="167"/>
      <c r="Y44" s="167"/>
      <c r="Z44" s="167"/>
      <c r="AA44" s="167"/>
      <c r="AB44" s="167"/>
    </row>
    <row r="45" spans="1:28">
      <c r="A45" s="152"/>
      <c r="B45" s="152" t="s">
        <v>54</v>
      </c>
      <c r="C45" s="152"/>
      <c r="D45" s="177">
        <f>$C43*$C44</f>
        <v>15258.52</v>
      </c>
      <c r="E45" s="177">
        <f t="shared" ref="E45:W45" si="8">$C43*$C44</f>
        <v>15258.52</v>
      </c>
      <c r="F45" s="177">
        <f t="shared" si="8"/>
        <v>15258.52</v>
      </c>
      <c r="G45" s="177">
        <f t="shared" si="8"/>
        <v>15258.52</v>
      </c>
      <c r="H45" s="177">
        <f t="shared" si="8"/>
        <v>15258.52</v>
      </c>
      <c r="I45" s="177">
        <f t="shared" si="8"/>
        <v>15258.52</v>
      </c>
      <c r="J45" s="177">
        <f t="shared" si="8"/>
        <v>15258.52</v>
      </c>
      <c r="K45" s="177">
        <f t="shared" si="8"/>
        <v>15258.52</v>
      </c>
      <c r="L45" s="177">
        <f t="shared" si="8"/>
        <v>15258.52</v>
      </c>
      <c r="M45" s="177">
        <f t="shared" si="8"/>
        <v>15258.52</v>
      </c>
      <c r="N45" s="177">
        <f t="shared" si="8"/>
        <v>15258.52</v>
      </c>
      <c r="O45" s="177">
        <f t="shared" si="8"/>
        <v>15258.52</v>
      </c>
      <c r="P45" s="177">
        <f t="shared" si="8"/>
        <v>15258.52</v>
      </c>
      <c r="Q45" s="177">
        <f t="shared" si="8"/>
        <v>15258.52</v>
      </c>
      <c r="R45" s="177">
        <f t="shared" si="8"/>
        <v>15258.52</v>
      </c>
      <c r="S45" s="177">
        <f t="shared" si="8"/>
        <v>15258.52</v>
      </c>
      <c r="T45" s="177">
        <f t="shared" si="8"/>
        <v>15258.52</v>
      </c>
      <c r="U45" s="177">
        <f t="shared" si="8"/>
        <v>15258.52</v>
      </c>
      <c r="V45" s="177">
        <f t="shared" si="8"/>
        <v>15258.52</v>
      </c>
      <c r="W45" s="177">
        <f t="shared" si="8"/>
        <v>15258.52</v>
      </c>
      <c r="X45" s="177">
        <f>$C43*$C44</f>
        <v>15258.52</v>
      </c>
      <c r="Y45" s="177">
        <f>$C43*$C44</f>
        <v>15258.52</v>
      </c>
      <c r="Z45" s="177">
        <f>$C43*$C44</f>
        <v>15258.52</v>
      </c>
      <c r="AA45" s="177">
        <f>$C43*$C44</f>
        <v>15258.52</v>
      </c>
      <c r="AB45" s="177">
        <f>$C43*$C44</f>
        <v>15258.52</v>
      </c>
    </row>
    <row r="46" spans="1:28">
      <c r="A46" s="152"/>
      <c r="B46" s="152"/>
      <c r="C46" s="152"/>
      <c r="D46" s="177"/>
      <c r="E46" s="177"/>
      <c r="F46" s="177"/>
      <c r="G46" s="177"/>
      <c r="H46" s="177"/>
      <c r="I46" s="177"/>
      <c r="J46" s="177"/>
      <c r="K46" s="177"/>
      <c r="L46" s="177"/>
      <c r="M46" s="177"/>
      <c r="N46" s="177"/>
      <c r="O46" s="177"/>
      <c r="P46" s="177"/>
      <c r="Q46" s="177"/>
      <c r="R46" s="177"/>
      <c r="S46" s="177"/>
      <c r="T46" s="177"/>
      <c r="U46" s="177"/>
      <c r="V46" s="177"/>
      <c r="W46" s="177"/>
      <c r="X46" s="177"/>
      <c r="Y46" s="177"/>
      <c r="Z46" s="177"/>
      <c r="AA46" s="177"/>
      <c r="AB46" s="177"/>
    </row>
    <row r="47" spans="1:28">
      <c r="A47" s="152"/>
      <c r="B47" s="152"/>
      <c r="C47" s="152"/>
      <c r="D47" s="177"/>
      <c r="E47" s="177"/>
      <c r="F47" s="177"/>
      <c r="G47" s="177"/>
      <c r="H47" s="177"/>
      <c r="I47" s="177"/>
      <c r="J47" s="177"/>
      <c r="K47" s="177"/>
      <c r="L47" s="177"/>
      <c r="M47" s="177"/>
      <c r="N47" s="177"/>
      <c r="O47" s="177"/>
      <c r="P47" s="177"/>
      <c r="Q47" s="177"/>
      <c r="R47" s="177"/>
      <c r="S47" s="177"/>
      <c r="T47" s="177"/>
      <c r="U47" s="177"/>
      <c r="V47" s="177"/>
      <c r="W47" s="177"/>
      <c r="X47" s="177"/>
      <c r="Y47" s="177"/>
      <c r="Z47" s="177"/>
      <c r="AA47" s="177"/>
      <c r="AB47" s="177"/>
    </row>
    <row r="48" spans="1:28" ht="29.1">
      <c r="A48" s="173" t="s">
        <v>72</v>
      </c>
      <c r="B48" s="866" t="s">
        <v>637</v>
      </c>
      <c r="C48" s="178" t="s">
        <v>74</v>
      </c>
      <c r="D48" s="178"/>
      <c r="E48" s="178"/>
      <c r="F48" s="178"/>
      <c r="G48" s="178" t="s">
        <v>638</v>
      </c>
      <c r="H48" s="177"/>
      <c r="I48" s="185"/>
      <c r="J48" s="185"/>
      <c r="K48" s="185"/>
      <c r="L48" s="185"/>
      <c r="M48" s="185"/>
      <c r="N48" s="185"/>
      <c r="O48" s="177"/>
      <c r="P48" s="177"/>
      <c r="Q48" s="177"/>
      <c r="R48" s="177"/>
      <c r="S48" s="177"/>
      <c r="T48" s="177"/>
      <c r="U48" s="177"/>
      <c r="V48" s="177"/>
      <c r="W48" s="177"/>
      <c r="X48" s="177"/>
      <c r="Y48" s="177"/>
      <c r="Z48" s="177"/>
      <c r="AA48" s="177"/>
      <c r="AB48" s="177"/>
    </row>
    <row r="49" spans="1:28">
      <c r="A49" s="152"/>
      <c r="B49" s="179"/>
      <c r="C49" s="179"/>
      <c r="D49" s="179"/>
      <c r="E49" s="179"/>
      <c r="F49" s="179"/>
      <c r="G49" s="179"/>
      <c r="H49" s="177"/>
      <c r="I49" s="186"/>
      <c r="J49" s="186"/>
      <c r="K49" s="186"/>
      <c r="L49" s="186"/>
      <c r="M49" s="186"/>
      <c r="N49" s="186"/>
      <c r="O49" s="177"/>
      <c r="P49" s="177"/>
      <c r="Q49" s="177"/>
      <c r="R49" s="177"/>
      <c r="S49" s="177"/>
      <c r="T49" s="177"/>
      <c r="U49" s="177"/>
      <c r="V49" s="177"/>
      <c r="W49" s="177"/>
      <c r="X49" s="177"/>
      <c r="Y49" s="177"/>
      <c r="Z49" s="177"/>
      <c r="AA49" s="177"/>
      <c r="AB49" s="177"/>
    </row>
    <row r="50" spans="1:28">
      <c r="A50" s="152"/>
      <c r="B50" s="182" t="s">
        <v>76</v>
      </c>
      <c r="C50" s="183"/>
      <c r="D50" s="183"/>
      <c r="E50" s="183"/>
      <c r="F50" s="183"/>
      <c r="G50" s="183">
        <f>'Emissions CalculationsSCPZ'!D51</f>
        <v>1645668</v>
      </c>
      <c r="H50" s="177"/>
      <c r="I50" s="188"/>
      <c r="J50" s="189"/>
      <c r="K50" s="189"/>
      <c r="L50" s="189"/>
      <c r="M50" s="189"/>
      <c r="N50" s="189"/>
      <c r="O50" s="177"/>
      <c r="P50" s="177"/>
      <c r="Q50" s="177"/>
      <c r="R50" s="177"/>
      <c r="S50" s="177"/>
      <c r="T50" s="177"/>
      <c r="U50" s="177"/>
      <c r="V50" s="177"/>
      <c r="W50" s="177"/>
      <c r="X50" s="177"/>
      <c r="Y50" s="177"/>
      <c r="Z50" s="177"/>
      <c r="AA50" s="177"/>
      <c r="AB50" s="177"/>
    </row>
    <row r="51" spans="1:28">
      <c r="A51" s="152"/>
      <c r="B51" s="152"/>
      <c r="C51" s="152"/>
      <c r="D51" s="177"/>
      <c r="E51" s="177"/>
      <c r="F51" s="177"/>
      <c r="G51" s="177"/>
      <c r="H51" s="177"/>
      <c r="I51" s="177"/>
      <c r="J51" s="177"/>
      <c r="K51" s="177"/>
      <c r="L51" s="177"/>
      <c r="M51" s="177"/>
      <c r="N51" s="177"/>
      <c r="O51" s="177"/>
      <c r="P51" s="177"/>
      <c r="Q51" s="177"/>
      <c r="R51" s="177"/>
      <c r="S51" s="177"/>
      <c r="T51" s="177"/>
      <c r="U51" s="177"/>
      <c r="V51" s="177"/>
      <c r="W51" s="177"/>
      <c r="X51" s="177"/>
      <c r="Y51" s="177"/>
      <c r="Z51" s="177"/>
      <c r="AA51" s="177"/>
      <c r="AB51" s="177"/>
    </row>
    <row r="52" spans="1:28" s="150" customFormat="1">
      <c r="A52" s="841"/>
      <c r="B52" s="200" t="s">
        <v>78</v>
      </c>
      <c r="C52" s="841"/>
      <c r="D52" s="201">
        <v>0</v>
      </c>
      <c r="E52" s="863">
        <v>0</v>
      </c>
      <c r="F52" s="863">
        <v>0</v>
      </c>
      <c r="G52" s="863">
        <v>0</v>
      </c>
      <c r="H52" s="863">
        <v>0</v>
      </c>
      <c r="I52" s="863">
        <f>G50</f>
        <v>1645668</v>
      </c>
      <c r="J52" s="863">
        <f>I52</f>
        <v>1645668</v>
      </c>
      <c r="K52" s="863">
        <f t="shared" ref="K52:AB52" si="9">J52</f>
        <v>1645668</v>
      </c>
      <c r="L52" s="863">
        <f t="shared" si="9"/>
        <v>1645668</v>
      </c>
      <c r="M52" s="863">
        <f t="shared" si="9"/>
        <v>1645668</v>
      </c>
      <c r="N52" s="863">
        <f t="shared" si="9"/>
        <v>1645668</v>
      </c>
      <c r="O52" s="863">
        <f t="shared" si="9"/>
        <v>1645668</v>
      </c>
      <c r="P52" s="863">
        <f t="shared" si="9"/>
        <v>1645668</v>
      </c>
      <c r="Q52" s="863">
        <f t="shared" si="9"/>
        <v>1645668</v>
      </c>
      <c r="R52" s="863">
        <f t="shared" si="9"/>
        <v>1645668</v>
      </c>
      <c r="S52" s="863">
        <f t="shared" si="9"/>
        <v>1645668</v>
      </c>
      <c r="T52" s="863">
        <f t="shared" si="9"/>
        <v>1645668</v>
      </c>
      <c r="U52" s="863">
        <f t="shared" si="9"/>
        <v>1645668</v>
      </c>
      <c r="V52" s="863">
        <f t="shared" si="9"/>
        <v>1645668</v>
      </c>
      <c r="W52" s="863">
        <f t="shared" si="9"/>
        <v>1645668</v>
      </c>
      <c r="X52" s="863">
        <f t="shared" si="9"/>
        <v>1645668</v>
      </c>
      <c r="Y52" s="863">
        <f t="shared" si="9"/>
        <v>1645668</v>
      </c>
      <c r="Z52" s="863">
        <f t="shared" si="9"/>
        <v>1645668</v>
      </c>
      <c r="AA52" s="863">
        <f t="shared" si="9"/>
        <v>1645668</v>
      </c>
      <c r="AB52" s="863">
        <f t="shared" si="9"/>
        <v>1645668</v>
      </c>
    </row>
    <row r="53" spans="1:28">
      <c r="A53" s="152"/>
      <c r="B53" s="188"/>
      <c r="C53" s="152"/>
      <c r="D53" s="202"/>
      <c r="E53" s="171"/>
      <c r="F53" s="171"/>
      <c r="G53" s="171"/>
      <c r="H53" s="171"/>
      <c r="I53" s="171"/>
      <c r="J53" s="171"/>
      <c r="K53" s="171"/>
      <c r="L53" s="171"/>
      <c r="M53" s="171"/>
      <c r="N53" s="171"/>
      <c r="O53" s="171"/>
      <c r="P53" s="171"/>
      <c r="Q53" s="171"/>
      <c r="R53" s="171"/>
      <c r="S53" s="171"/>
      <c r="T53" s="171"/>
      <c r="U53" s="171"/>
      <c r="V53" s="171"/>
      <c r="W53" s="171"/>
      <c r="X53" s="171"/>
      <c r="Y53" s="171"/>
      <c r="Z53" s="171"/>
      <c r="AA53" s="171"/>
      <c r="AB53" s="171"/>
    </row>
    <row r="54" spans="1:28">
      <c r="A54" s="152"/>
      <c r="B54" s="200" t="s">
        <v>80</v>
      </c>
      <c r="C54" s="152">
        <f>-'Roads construction and rehab'!D14</f>
        <v>-2323.1999999999998</v>
      </c>
      <c r="D54" s="202"/>
      <c r="E54" s="171"/>
      <c r="F54" s="171"/>
      <c r="G54" s="171"/>
      <c r="H54" s="171"/>
      <c r="I54" s="171"/>
      <c r="J54" s="171"/>
      <c r="K54" s="171"/>
      <c r="L54" s="171"/>
      <c r="M54" s="171"/>
      <c r="N54" s="171"/>
      <c r="O54" s="171"/>
      <c r="P54" s="171"/>
      <c r="Q54" s="171"/>
      <c r="R54" s="171"/>
      <c r="S54" s="171"/>
      <c r="T54" s="171"/>
      <c r="U54" s="171"/>
      <c r="V54" s="171"/>
      <c r="W54" s="171"/>
      <c r="X54" s="171"/>
      <c r="Y54" s="171"/>
      <c r="Z54" s="171"/>
      <c r="AA54" s="171"/>
      <c r="AB54" s="171"/>
    </row>
    <row r="55" spans="1:28">
      <c r="A55" s="152"/>
      <c r="B55" s="188"/>
      <c r="C55" s="152"/>
      <c r="D55" s="202"/>
      <c r="E55" s="171"/>
      <c r="F55" s="171"/>
      <c r="G55" s="171"/>
      <c r="H55" s="171"/>
      <c r="I55" s="171"/>
      <c r="J55" s="171"/>
      <c r="K55" s="171"/>
      <c r="L55" s="171"/>
      <c r="M55" s="171"/>
      <c r="N55" s="171"/>
      <c r="O55" s="171"/>
      <c r="P55" s="171"/>
      <c r="Q55" s="171"/>
      <c r="R55" s="171"/>
      <c r="S55" s="171"/>
      <c r="T55" s="171"/>
      <c r="U55" s="171"/>
      <c r="V55" s="171"/>
      <c r="W55" s="171"/>
      <c r="X55" s="171"/>
      <c r="Y55" s="171"/>
      <c r="Z55" s="171"/>
      <c r="AA55" s="171"/>
      <c r="AB55" s="171"/>
    </row>
    <row r="56" spans="1:28">
      <c r="A56" s="152"/>
      <c r="B56" s="149" t="s">
        <v>61</v>
      </c>
      <c r="D56" s="133">
        <f>+D52+D45+D32+D31+D30+D29</f>
        <v>202455.67170707576</v>
      </c>
      <c r="E56" s="133">
        <f>+E52+E45+E32+E31+E30+E29</f>
        <v>202455.67170707576</v>
      </c>
      <c r="F56" s="133">
        <f>+F52+F45+F32+F31+F30+F29</f>
        <v>202455.67170707576</v>
      </c>
      <c r="G56" s="133">
        <f>+G52+G45+G32+G31+G30+G29</f>
        <v>202455.67170707576</v>
      </c>
      <c r="H56" s="133">
        <f>+H52+H45+H32+H31+H30+H29</f>
        <v>202455.67170707576</v>
      </c>
      <c r="I56" s="133">
        <f>+I52+I45+I32+I31+I30+I29</f>
        <v>1848123.6717070756</v>
      </c>
      <c r="J56" s="133">
        <f>+J45+J32+J31+J30+J29</f>
        <v>202455.67170707576</v>
      </c>
      <c r="K56" s="133">
        <f t="shared" ref="K56:AB56" si="10">+K45+K32+K31+K30+K29</f>
        <v>202455.67170707576</v>
      </c>
      <c r="L56" s="133">
        <f t="shared" si="10"/>
        <v>202455.67170707576</v>
      </c>
      <c r="M56" s="133">
        <f t="shared" si="10"/>
        <v>202455.67170707576</v>
      </c>
      <c r="N56" s="133">
        <f t="shared" si="10"/>
        <v>202455.67170707576</v>
      </c>
      <c r="O56" s="133">
        <f t="shared" si="10"/>
        <v>202455.67170707576</v>
      </c>
      <c r="P56" s="133">
        <f t="shared" si="10"/>
        <v>202455.67170707576</v>
      </c>
      <c r="Q56" s="133">
        <f t="shared" si="10"/>
        <v>202455.67170707576</v>
      </c>
      <c r="R56" s="133">
        <f t="shared" si="10"/>
        <v>202455.67170707576</v>
      </c>
      <c r="S56" s="133">
        <f t="shared" si="10"/>
        <v>202455.67170707576</v>
      </c>
      <c r="T56" s="133">
        <f t="shared" si="10"/>
        <v>202455.67170707576</v>
      </c>
      <c r="U56" s="133">
        <f t="shared" si="10"/>
        <v>202455.67170707576</v>
      </c>
      <c r="V56" s="133">
        <f t="shared" si="10"/>
        <v>202455.67170707576</v>
      </c>
      <c r="W56" s="133">
        <f t="shared" si="10"/>
        <v>202455.67170707576</v>
      </c>
      <c r="X56" s="133">
        <f t="shared" si="10"/>
        <v>202455.67170707576</v>
      </c>
      <c r="Y56" s="133">
        <f t="shared" si="10"/>
        <v>202455.67170707576</v>
      </c>
      <c r="Z56" s="133">
        <f t="shared" si="10"/>
        <v>202455.67170707576</v>
      </c>
      <c r="AA56" s="133">
        <f t="shared" si="10"/>
        <v>202455.67170707576</v>
      </c>
      <c r="AB56" s="133">
        <f t="shared" si="10"/>
        <v>202455.67170707576</v>
      </c>
    </row>
    <row r="57" spans="1:28">
      <c r="A57" s="152"/>
      <c r="B57" s="149"/>
      <c r="D57" s="128"/>
      <c r="E57" s="128"/>
      <c r="F57" s="128"/>
      <c r="G57" s="128"/>
      <c r="H57" s="128"/>
      <c r="I57" s="128"/>
      <c r="J57" s="128"/>
      <c r="K57" s="128"/>
      <c r="L57" s="128"/>
      <c r="M57" s="128"/>
      <c r="N57" s="128"/>
      <c r="O57" s="128"/>
      <c r="P57" s="128"/>
      <c r="Q57" s="128"/>
      <c r="R57" s="128"/>
      <c r="S57" s="128"/>
      <c r="T57" s="128"/>
      <c r="U57" s="128"/>
      <c r="V57" s="128"/>
      <c r="W57" s="128"/>
    </row>
    <row r="58" spans="1:28">
      <c r="A58" s="152"/>
      <c r="B58" s="149" t="s">
        <v>81</v>
      </c>
      <c r="C58" s="146">
        <f>SUM(D56:M56)+C54</f>
        <v>3667901.5170707563</v>
      </c>
    </row>
    <row r="59" spans="1:28">
      <c r="A59" s="152"/>
      <c r="B59" s="149" t="s">
        <v>82</v>
      </c>
      <c r="C59" s="146">
        <f>SUM(D56:AB56)+C54</f>
        <v>6704736.5926768957</v>
      </c>
    </row>
    <row r="60" spans="1:28" ht="15" thickBot="1">
      <c r="A60" s="152"/>
      <c r="C60" s="134"/>
    </row>
    <row r="61" spans="1:28" ht="14.1" customHeight="1" thickTop="1" thickBot="1">
      <c r="A61" s="152"/>
      <c r="B61" s="135"/>
      <c r="C61" s="135"/>
      <c r="E61" s="136"/>
    </row>
    <row r="62" spans="1:28" ht="14.1" customHeight="1" thickTop="1" thickBot="1">
      <c r="A62" s="152"/>
      <c r="B62" s="135" t="s">
        <v>62</v>
      </c>
      <c r="C62" s="137">
        <v>47226186.436463177</v>
      </c>
    </row>
    <row r="63" spans="1:28" ht="14.1" customHeight="1" thickTop="1" thickBot="1">
      <c r="A63" s="152"/>
      <c r="B63" s="135" t="s">
        <v>63</v>
      </c>
      <c r="C63" s="137">
        <v>30517648.036463175</v>
      </c>
    </row>
    <row r="64" spans="1:28" ht="14.1" customHeight="1" thickTop="1" thickBot="1">
      <c r="A64" s="152"/>
      <c r="B64" s="135" t="s">
        <v>64</v>
      </c>
      <c r="C64" s="137">
        <f>C62/C59</f>
        <v>7.0437049664329789</v>
      </c>
    </row>
    <row r="65" spans="1:3" ht="14.1" customHeight="1" thickTop="1" thickBot="1">
      <c r="A65" s="152"/>
      <c r="B65" s="135" t="s">
        <v>65</v>
      </c>
      <c r="C65" s="137">
        <f>C63/C59</f>
        <v>4.5516550299374057</v>
      </c>
    </row>
    <row r="66" spans="1:3" ht="15" thickTop="1">
      <c r="A66" s="152"/>
    </row>
  </sheetData>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BBBFA-FAB4-48FE-8D52-5C2918656FAB}">
  <sheetPr>
    <tabColor rgb="FF00B050"/>
  </sheetPr>
  <dimension ref="A1:AM172"/>
  <sheetViews>
    <sheetView showGridLines="0" zoomScaleNormal="100" workbookViewId="0">
      <selection activeCell="G6" sqref="G6"/>
    </sheetView>
  </sheetViews>
  <sheetFormatPr defaultColWidth="8.85546875" defaultRowHeight="12.6"/>
  <cols>
    <col min="1" max="1" width="7.28515625" style="474" customWidth="1"/>
    <col min="2" max="2" width="41" style="474" customWidth="1"/>
    <col min="3" max="3" width="23" style="474" customWidth="1"/>
    <col min="4" max="4" width="29.140625" style="474" customWidth="1"/>
    <col min="5" max="5" width="30.5703125" style="474" customWidth="1"/>
    <col min="6" max="6" width="22" style="474" customWidth="1"/>
    <col min="7" max="7" width="17.42578125" style="474" customWidth="1"/>
    <col min="8" max="8" width="19.85546875" style="474" customWidth="1"/>
    <col min="9" max="9" width="19.140625" style="474" customWidth="1"/>
    <col min="10" max="10" width="20.5703125" style="474" customWidth="1"/>
    <col min="11" max="11" width="19.7109375" style="474" customWidth="1"/>
    <col min="12" max="12" width="14.5703125" style="474" bestFit="1" customWidth="1"/>
    <col min="13" max="13" width="14.85546875" style="474" bestFit="1" customWidth="1"/>
    <col min="14" max="14" width="17.140625" style="474" customWidth="1"/>
    <col min="15" max="15" width="16.42578125" style="474" bestFit="1" customWidth="1"/>
    <col min="16" max="16" width="17.140625" style="474" bestFit="1" customWidth="1"/>
    <col min="17" max="17" width="24.28515625" style="474" customWidth="1"/>
    <col min="18" max="18" width="18.28515625" style="475" bestFit="1" customWidth="1"/>
    <col min="19" max="19" width="18.5703125" style="474" bestFit="1" customWidth="1"/>
    <col min="20" max="20" width="19.28515625" style="474" bestFit="1" customWidth="1"/>
    <col min="21" max="21" width="20.42578125" style="474" bestFit="1" customWidth="1"/>
    <col min="22" max="22" width="20.85546875" style="474" bestFit="1" customWidth="1"/>
    <col min="23" max="23" width="21.42578125" style="474" bestFit="1" customWidth="1"/>
    <col min="24" max="25" width="22.28515625" style="474" bestFit="1" customWidth="1"/>
    <col min="26" max="27" width="23.85546875" style="474" bestFit="1" customWidth="1"/>
    <col min="28" max="29" width="24.85546875" style="474" bestFit="1" customWidth="1"/>
    <col min="30" max="34" width="11.28515625" style="474" bestFit="1" customWidth="1"/>
    <col min="35" max="39" width="12.28515625" style="474" bestFit="1" customWidth="1"/>
    <col min="40" max="40" width="12" style="474" bestFit="1" customWidth="1"/>
    <col min="41" max="256" width="8.85546875" style="474"/>
    <col min="257" max="257" width="7.28515625" style="474" customWidth="1"/>
    <col min="258" max="258" width="41" style="474" customWidth="1"/>
    <col min="259" max="259" width="16" style="474" customWidth="1"/>
    <col min="260" max="260" width="16.140625" style="474" bestFit="1" customWidth="1"/>
    <col min="261" max="261" width="11.85546875" style="474" customWidth="1"/>
    <col min="262" max="262" width="12.42578125" style="474" bestFit="1" customWidth="1"/>
    <col min="263" max="264" width="13" style="474" bestFit="1" customWidth="1"/>
    <col min="265" max="265" width="12.7109375" style="474" bestFit="1" customWidth="1"/>
    <col min="266" max="266" width="13.42578125" style="474" bestFit="1" customWidth="1"/>
    <col min="267" max="267" width="13.7109375" style="474" bestFit="1" customWidth="1"/>
    <col min="268" max="268" width="14.5703125" style="474" bestFit="1" customWidth="1"/>
    <col min="269" max="269" width="14.85546875" style="474" bestFit="1" customWidth="1"/>
    <col min="270" max="270" width="17.140625" style="474" customWidth="1"/>
    <col min="271" max="271" width="16.42578125" style="474" bestFit="1" customWidth="1"/>
    <col min="272" max="272" width="17.140625" style="474" bestFit="1" customWidth="1"/>
    <col min="273" max="273" width="24.28515625" style="474" customWidth="1"/>
    <col min="274" max="274" width="18.28515625" style="474" bestFit="1" customWidth="1"/>
    <col min="275" max="275" width="18.5703125" style="474" bestFit="1" customWidth="1"/>
    <col min="276" max="276" width="19.28515625" style="474" bestFit="1" customWidth="1"/>
    <col min="277" max="277" width="20.42578125" style="474" bestFit="1" customWidth="1"/>
    <col min="278" max="278" width="20.85546875" style="474" bestFit="1" customWidth="1"/>
    <col min="279" max="279" width="21.42578125" style="474" bestFit="1" customWidth="1"/>
    <col min="280" max="281" width="22.28515625" style="474" bestFit="1" customWidth="1"/>
    <col min="282" max="283" width="23.85546875" style="474" bestFit="1" customWidth="1"/>
    <col min="284" max="285" width="24.85546875" style="474" bestFit="1" customWidth="1"/>
    <col min="286" max="290" width="11.28515625" style="474" bestFit="1" customWidth="1"/>
    <col min="291" max="295" width="12.28515625" style="474" bestFit="1" customWidth="1"/>
    <col min="296" max="296" width="12" style="474" bestFit="1" customWidth="1"/>
    <col min="297" max="512" width="8.85546875" style="474"/>
    <col min="513" max="513" width="7.28515625" style="474" customWidth="1"/>
    <col min="514" max="514" width="41" style="474" customWidth="1"/>
    <col min="515" max="515" width="16" style="474" customWidth="1"/>
    <col min="516" max="516" width="16.140625" style="474" bestFit="1" customWidth="1"/>
    <col min="517" max="517" width="11.85546875" style="474" customWidth="1"/>
    <col min="518" max="518" width="12.42578125" style="474" bestFit="1" customWidth="1"/>
    <col min="519" max="520" width="13" style="474" bestFit="1" customWidth="1"/>
    <col min="521" max="521" width="12.7109375" style="474" bestFit="1" customWidth="1"/>
    <col min="522" max="522" width="13.42578125" style="474" bestFit="1" customWidth="1"/>
    <col min="523" max="523" width="13.7109375" style="474" bestFit="1" customWidth="1"/>
    <col min="524" max="524" width="14.5703125" style="474" bestFit="1" customWidth="1"/>
    <col min="525" max="525" width="14.85546875" style="474" bestFit="1" customWidth="1"/>
    <col min="526" max="526" width="17.140625" style="474" customWidth="1"/>
    <col min="527" max="527" width="16.42578125" style="474" bestFit="1" customWidth="1"/>
    <col min="528" max="528" width="17.140625" style="474" bestFit="1" customWidth="1"/>
    <col min="529" max="529" width="24.28515625" style="474" customWidth="1"/>
    <col min="530" max="530" width="18.28515625" style="474" bestFit="1" customWidth="1"/>
    <col min="531" max="531" width="18.5703125" style="474" bestFit="1" customWidth="1"/>
    <col min="532" max="532" width="19.28515625" style="474" bestFit="1" customWidth="1"/>
    <col min="533" max="533" width="20.42578125" style="474" bestFit="1" customWidth="1"/>
    <col min="534" max="534" width="20.85546875" style="474" bestFit="1" customWidth="1"/>
    <col min="535" max="535" width="21.42578125" style="474" bestFit="1" customWidth="1"/>
    <col min="536" max="537" width="22.28515625" style="474" bestFit="1" customWidth="1"/>
    <col min="538" max="539" width="23.85546875" style="474" bestFit="1" customWidth="1"/>
    <col min="540" max="541" width="24.85546875" style="474" bestFit="1" customWidth="1"/>
    <col min="542" max="546" width="11.28515625" style="474" bestFit="1" customWidth="1"/>
    <col min="547" max="551" width="12.28515625" style="474" bestFit="1" customWidth="1"/>
    <col min="552" max="552" width="12" style="474" bestFit="1" customWidth="1"/>
    <col min="553" max="768" width="8.85546875" style="474"/>
    <col min="769" max="769" width="7.28515625" style="474" customWidth="1"/>
    <col min="770" max="770" width="41" style="474" customWidth="1"/>
    <col min="771" max="771" width="16" style="474" customWidth="1"/>
    <col min="772" max="772" width="16.140625" style="474" bestFit="1" customWidth="1"/>
    <col min="773" max="773" width="11.85546875" style="474" customWidth="1"/>
    <col min="774" max="774" width="12.42578125" style="474" bestFit="1" customWidth="1"/>
    <col min="775" max="776" width="13" style="474" bestFit="1" customWidth="1"/>
    <col min="777" max="777" width="12.7109375" style="474" bestFit="1" customWidth="1"/>
    <col min="778" max="778" width="13.42578125" style="474" bestFit="1" customWidth="1"/>
    <col min="779" max="779" width="13.7109375" style="474" bestFit="1" customWidth="1"/>
    <col min="780" max="780" width="14.5703125" style="474" bestFit="1" customWidth="1"/>
    <col min="781" max="781" width="14.85546875" style="474" bestFit="1" customWidth="1"/>
    <col min="782" max="782" width="17.140625" style="474" customWidth="1"/>
    <col min="783" max="783" width="16.42578125" style="474" bestFit="1" customWidth="1"/>
    <col min="784" max="784" width="17.140625" style="474" bestFit="1" customWidth="1"/>
    <col min="785" max="785" width="24.28515625" style="474" customWidth="1"/>
    <col min="786" max="786" width="18.28515625" style="474" bestFit="1" customWidth="1"/>
    <col min="787" max="787" width="18.5703125" style="474" bestFit="1" customWidth="1"/>
    <col min="788" max="788" width="19.28515625" style="474" bestFit="1" customWidth="1"/>
    <col min="789" max="789" width="20.42578125" style="474" bestFit="1" customWidth="1"/>
    <col min="790" max="790" width="20.85546875" style="474" bestFit="1" customWidth="1"/>
    <col min="791" max="791" width="21.42578125" style="474" bestFit="1" customWidth="1"/>
    <col min="792" max="793" width="22.28515625" style="474" bestFit="1" customWidth="1"/>
    <col min="794" max="795" width="23.85546875" style="474" bestFit="1" customWidth="1"/>
    <col min="796" max="797" width="24.85546875" style="474" bestFit="1" customWidth="1"/>
    <col min="798" max="802" width="11.28515625" style="474" bestFit="1" customWidth="1"/>
    <col min="803" max="807" width="12.28515625" style="474" bestFit="1" customWidth="1"/>
    <col min="808" max="808" width="12" style="474" bestFit="1" customWidth="1"/>
    <col min="809" max="1024" width="8.85546875" style="474"/>
    <col min="1025" max="1025" width="7.28515625" style="474" customWidth="1"/>
    <col min="1026" max="1026" width="41" style="474" customWidth="1"/>
    <col min="1027" max="1027" width="16" style="474" customWidth="1"/>
    <col min="1028" max="1028" width="16.140625" style="474" bestFit="1" customWidth="1"/>
    <col min="1029" max="1029" width="11.85546875" style="474" customWidth="1"/>
    <col min="1030" max="1030" width="12.42578125" style="474" bestFit="1" customWidth="1"/>
    <col min="1031" max="1032" width="13" style="474" bestFit="1" customWidth="1"/>
    <col min="1033" max="1033" width="12.7109375" style="474" bestFit="1" customWidth="1"/>
    <col min="1034" max="1034" width="13.42578125" style="474" bestFit="1" customWidth="1"/>
    <col min="1035" max="1035" width="13.7109375" style="474" bestFit="1" customWidth="1"/>
    <col min="1036" max="1036" width="14.5703125" style="474" bestFit="1" customWidth="1"/>
    <col min="1037" max="1037" width="14.85546875" style="474" bestFit="1" customWidth="1"/>
    <col min="1038" max="1038" width="17.140625" style="474" customWidth="1"/>
    <col min="1039" max="1039" width="16.42578125" style="474" bestFit="1" customWidth="1"/>
    <col min="1040" max="1040" width="17.140625" style="474" bestFit="1" customWidth="1"/>
    <col min="1041" max="1041" width="24.28515625" style="474" customWidth="1"/>
    <col min="1042" max="1042" width="18.28515625" style="474" bestFit="1" customWidth="1"/>
    <col min="1043" max="1043" width="18.5703125" style="474" bestFit="1" customWidth="1"/>
    <col min="1044" max="1044" width="19.28515625" style="474" bestFit="1" customWidth="1"/>
    <col min="1045" max="1045" width="20.42578125" style="474" bestFit="1" customWidth="1"/>
    <col min="1046" max="1046" width="20.85546875" style="474" bestFit="1" customWidth="1"/>
    <col min="1047" max="1047" width="21.42578125" style="474" bestFit="1" customWidth="1"/>
    <col min="1048" max="1049" width="22.28515625" style="474" bestFit="1" customWidth="1"/>
    <col min="1050" max="1051" width="23.85546875" style="474" bestFit="1" customWidth="1"/>
    <col min="1052" max="1053" width="24.85546875" style="474" bestFit="1" customWidth="1"/>
    <col min="1054" max="1058" width="11.28515625" style="474" bestFit="1" customWidth="1"/>
    <col min="1059" max="1063" width="12.28515625" style="474" bestFit="1" customWidth="1"/>
    <col min="1064" max="1064" width="12" style="474" bestFit="1" customWidth="1"/>
    <col min="1065" max="1280" width="8.85546875" style="474"/>
    <col min="1281" max="1281" width="7.28515625" style="474" customWidth="1"/>
    <col min="1282" max="1282" width="41" style="474" customWidth="1"/>
    <col min="1283" max="1283" width="16" style="474" customWidth="1"/>
    <col min="1284" max="1284" width="16.140625" style="474" bestFit="1" customWidth="1"/>
    <col min="1285" max="1285" width="11.85546875" style="474" customWidth="1"/>
    <col min="1286" max="1286" width="12.42578125" style="474" bestFit="1" customWidth="1"/>
    <col min="1287" max="1288" width="13" style="474" bestFit="1" customWidth="1"/>
    <col min="1289" max="1289" width="12.7109375" style="474" bestFit="1" customWidth="1"/>
    <col min="1290" max="1290" width="13.42578125" style="474" bestFit="1" customWidth="1"/>
    <col min="1291" max="1291" width="13.7109375" style="474" bestFit="1" customWidth="1"/>
    <col min="1292" max="1292" width="14.5703125" style="474" bestFit="1" customWidth="1"/>
    <col min="1293" max="1293" width="14.85546875" style="474" bestFit="1" customWidth="1"/>
    <col min="1294" max="1294" width="17.140625" style="474" customWidth="1"/>
    <col min="1295" max="1295" width="16.42578125" style="474" bestFit="1" customWidth="1"/>
    <col min="1296" max="1296" width="17.140625" style="474" bestFit="1" customWidth="1"/>
    <col min="1297" max="1297" width="24.28515625" style="474" customWidth="1"/>
    <col min="1298" max="1298" width="18.28515625" style="474" bestFit="1" customWidth="1"/>
    <col min="1299" max="1299" width="18.5703125" style="474" bestFit="1" customWidth="1"/>
    <col min="1300" max="1300" width="19.28515625" style="474" bestFit="1" customWidth="1"/>
    <col min="1301" max="1301" width="20.42578125" style="474" bestFit="1" customWidth="1"/>
    <col min="1302" max="1302" width="20.85546875" style="474" bestFit="1" customWidth="1"/>
    <col min="1303" max="1303" width="21.42578125" style="474" bestFit="1" customWidth="1"/>
    <col min="1304" max="1305" width="22.28515625" style="474" bestFit="1" customWidth="1"/>
    <col min="1306" max="1307" width="23.85546875" style="474" bestFit="1" customWidth="1"/>
    <col min="1308" max="1309" width="24.85546875" style="474" bestFit="1" customWidth="1"/>
    <col min="1310" max="1314" width="11.28515625" style="474" bestFit="1" customWidth="1"/>
    <col min="1315" max="1319" width="12.28515625" style="474" bestFit="1" customWidth="1"/>
    <col min="1320" max="1320" width="12" style="474" bestFit="1" customWidth="1"/>
    <col min="1321" max="1536" width="8.85546875" style="474"/>
    <col min="1537" max="1537" width="7.28515625" style="474" customWidth="1"/>
    <col min="1538" max="1538" width="41" style="474" customWidth="1"/>
    <col min="1539" max="1539" width="16" style="474" customWidth="1"/>
    <col min="1540" max="1540" width="16.140625" style="474" bestFit="1" customWidth="1"/>
    <col min="1541" max="1541" width="11.85546875" style="474" customWidth="1"/>
    <col min="1542" max="1542" width="12.42578125" style="474" bestFit="1" customWidth="1"/>
    <col min="1543" max="1544" width="13" style="474" bestFit="1" customWidth="1"/>
    <col min="1545" max="1545" width="12.7109375" style="474" bestFit="1" customWidth="1"/>
    <col min="1546" max="1546" width="13.42578125" style="474" bestFit="1" customWidth="1"/>
    <col min="1547" max="1547" width="13.7109375" style="474" bestFit="1" customWidth="1"/>
    <col min="1548" max="1548" width="14.5703125" style="474" bestFit="1" customWidth="1"/>
    <col min="1549" max="1549" width="14.85546875" style="474" bestFit="1" customWidth="1"/>
    <col min="1550" max="1550" width="17.140625" style="474" customWidth="1"/>
    <col min="1551" max="1551" width="16.42578125" style="474" bestFit="1" customWidth="1"/>
    <col min="1552" max="1552" width="17.140625" style="474" bestFit="1" customWidth="1"/>
    <col min="1553" max="1553" width="24.28515625" style="474" customWidth="1"/>
    <col min="1554" max="1554" width="18.28515625" style="474" bestFit="1" customWidth="1"/>
    <col min="1555" max="1555" width="18.5703125" style="474" bestFit="1" customWidth="1"/>
    <col min="1556" max="1556" width="19.28515625" style="474" bestFit="1" customWidth="1"/>
    <col min="1557" max="1557" width="20.42578125" style="474" bestFit="1" customWidth="1"/>
    <col min="1558" max="1558" width="20.85546875" style="474" bestFit="1" customWidth="1"/>
    <col min="1559" max="1559" width="21.42578125" style="474" bestFit="1" customWidth="1"/>
    <col min="1560" max="1561" width="22.28515625" style="474" bestFit="1" customWidth="1"/>
    <col min="1562" max="1563" width="23.85546875" style="474" bestFit="1" customWidth="1"/>
    <col min="1564" max="1565" width="24.85546875" style="474" bestFit="1" customWidth="1"/>
    <col min="1566" max="1570" width="11.28515625" style="474" bestFit="1" customWidth="1"/>
    <col min="1571" max="1575" width="12.28515625" style="474" bestFit="1" customWidth="1"/>
    <col min="1576" max="1576" width="12" style="474" bestFit="1" customWidth="1"/>
    <col min="1577" max="1792" width="8.85546875" style="474"/>
    <col min="1793" max="1793" width="7.28515625" style="474" customWidth="1"/>
    <col min="1794" max="1794" width="41" style="474" customWidth="1"/>
    <col min="1795" max="1795" width="16" style="474" customWidth="1"/>
    <col min="1796" max="1796" width="16.140625" style="474" bestFit="1" customWidth="1"/>
    <col min="1797" max="1797" width="11.85546875" style="474" customWidth="1"/>
    <col min="1798" max="1798" width="12.42578125" style="474" bestFit="1" customWidth="1"/>
    <col min="1799" max="1800" width="13" style="474" bestFit="1" customWidth="1"/>
    <col min="1801" max="1801" width="12.7109375" style="474" bestFit="1" customWidth="1"/>
    <col min="1802" max="1802" width="13.42578125" style="474" bestFit="1" customWidth="1"/>
    <col min="1803" max="1803" width="13.7109375" style="474" bestFit="1" customWidth="1"/>
    <col min="1804" max="1804" width="14.5703125" style="474" bestFit="1" customWidth="1"/>
    <col min="1805" max="1805" width="14.85546875" style="474" bestFit="1" customWidth="1"/>
    <col min="1806" max="1806" width="17.140625" style="474" customWidth="1"/>
    <col min="1807" max="1807" width="16.42578125" style="474" bestFit="1" customWidth="1"/>
    <col min="1808" max="1808" width="17.140625" style="474" bestFit="1" customWidth="1"/>
    <col min="1809" max="1809" width="24.28515625" style="474" customWidth="1"/>
    <col min="1810" max="1810" width="18.28515625" style="474" bestFit="1" customWidth="1"/>
    <col min="1811" max="1811" width="18.5703125" style="474" bestFit="1" customWidth="1"/>
    <col min="1812" max="1812" width="19.28515625" style="474" bestFit="1" customWidth="1"/>
    <col min="1813" max="1813" width="20.42578125" style="474" bestFit="1" customWidth="1"/>
    <col min="1814" max="1814" width="20.85546875" style="474" bestFit="1" customWidth="1"/>
    <col min="1815" max="1815" width="21.42578125" style="474" bestFit="1" customWidth="1"/>
    <col min="1816" max="1817" width="22.28515625" style="474" bestFit="1" customWidth="1"/>
    <col min="1818" max="1819" width="23.85546875" style="474" bestFit="1" customWidth="1"/>
    <col min="1820" max="1821" width="24.85546875" style="474" bestFit="1" customWidth="1"/>
    <col min="1822" max="1826" width="11.28515625" style="474" bestFit="1" customWidth="1"/>
    <col min="1827" max="1831" width="12.28515625" style="474" bestFit="1" customWidth="1"/>
    <col min="1832" max="1832" width="12" style="474" bestFit="1" customWidth="1"/>
    <col min="1833" max="2048" width="8.85546875" style="474"/>
    <col min="2049" max="2049" width="7.28515625" style="474" customWidth="1"/>
    <col min="2050" max="2050" width="41" style="474" customWidth="1"/>
    <col min="2051" max="2051" width="16" style="474" customWidth="1"/>
    <col min="2052" max="2052" width="16.140625" style="474" bestFit="1" customWidth="1"/>
    <col min="2053" max="2053" width="11.85546875" style="474" customWidth="1"/>
    <col min="2054" max="2054" width="12.42578125" style="474" bestFit="1" customWidth="1"/>
    <col min="2055" max="2056" width="13" style="474" bestFit="1" customWidth="1"/>
    <col min="2057" max="2057" width="12.7109375" style="474" bestFit="1" customWidth="1"/>
    <col min="2058" max="2058" width="13.42578125" style="474" bestFit="1" customWidth="1"/>
    <col min="2059" max="2059" width="13.7109375" style="474" bestFit="1" customWidth="1"/>
    <col min="2060" max="2060" width="14.5703125" style="474" bestFit="1" customWidth="1"/>
    <col min="2061" max="2061" width="14.85546875" style="474" bestFit="1" customWidth="1"/>
    <col min="2062" max="2062" width="17.140625" style="474" customWidth="1"/>
    <col min="2063" max="2063" width="16.42578125" style="474" bestFit="1" customWidth="1"/>
    <col min="2064" max="2064" width="17.140625" style="474" bestFit="1" customWidth="1"/>
    <col min="2065" max="2065" width="24.28515625" style="474" customWidth="1"/>
    <col min="2066" max="2066" width="18.28515625" style="474" bestFit="1" customWidth="1"/>
    <col min="2067" max="2067" width="18.5703125" style="474" bestFit="1" customWidth="1"/>
    <col min="2068" max="2068" width="19.28515625" style="474" bestFit="1" customWidth="1"/>
    <col min="2069" max="2069" width="20.42578125" style="474" bestFit="1" customWidth="1"/>
    <col min="2070" max="2070" width="20.85546875" style="474" bestFit="1" customWidth="1"/>
    <col min="2071" max="2071" width="21.42578125" style="474" bestFit="1" customWidth="1"/>
    <col min="2072" max="2073" width="22.28515625" style="474" bestFit="1" customWidth="1"/>
    <col min="2074" max="2075" width="23.85546875" style="474" bestFit="1" customWidth="1"/>
    <col min="2076" max="2077" width="24.85546875" style="474" bestFit="1" customWidth="1"/>
    <col min="2078" max="2082" width="11.28515625" style="474" bestFit="1" customWidth="1"/>
    <col min="2083" max="2087" width="12.28515625" style="474" bestFit="1" customWidth="1"/>
    <col min="2088" max="2088" width="12" style="474" bestFit="1" customWidth="1"/>
    <col min="2089" max="2304" width="8.85546875" style="474"/>
    <col min="2305" max="2305" width="7.28515625" style="474" customWidth="1"/>
    <col min="2306" max="2306" width="41" style="474" customWidth="1"/>
    <col min="2307" max="2307" width="16" style="474" customWidth="1"/>
    <col min="2308" max="2308" width="16.140625" style="474" bestFit="1" customWidth="1"/>
    <col min="2309" max="2309" width="11.85546875" style="474" customWidth="1"/>
    <col min="2310" max="2310" width="12.42578125" style="474" bestFit="1" customWidth="1"/>
    <col min="2311" max="2312" width="13" style="474" bestFit="1" customWidth="1"/>
    <col min="2313" max="2313" width="12.7109375" style="474" bestFit="1" customWidth="1"/>
    <col min="2314" max="2314" width="13.42578125" style="474" bestFit="1" customWidth="1"/>
    <col min="2315" max="2315" width="13.7109375" style="474" bestFit="1" customWidth="1"/>
    <col min="2316" max="2316" width="14.5703125" style="474" bestFit="1" customWidth="1"/>
    <col min="2317" max="2317" width="14.85546875" style="474" bestFit="1" customWidth="1"/>
    <col min="2318" max="2318" width="17.140625" style="474" customWidth="1"/>
    <col min="2319" max="2319" width="16.42578125" style="474" bestFit="1" customWidth="1"/>
    <col min="2320" max="2320" width="17.140625" style="474" bestFit="1" customWidth="1"/>
    <col min="2321" max="2321" width="24.28515625" style="474" customWidth="1"/>
    <col min="2322" max="2322" width="18.28515625" style="474" bestFit="1" customWidth="1"/>
    <col min="2323" max="2323" width="18.5703125" style="474" bestFit="1" customWidth="1"/>
    <col min="2324" max="2324" width="19.28515625" style="474" bestFit="1" customWidth="1"/>
    <col min="2325" max="2325" width="20.42578125" style="474" bestFit="1" customWidth="1"/>
    <col min="2326" max="2326" width="20.85546875" style="474" bestFit="1" customWidth="1"/>
    <col min="2327" max="2327" width="21.42578125" style="474" bestFit="1" customWidth="1"/>
    <col min="2328" max="2329" width="22.28515625" style="474" bestFit="1" customWidth="1"/>
    <col min="2330" max="2331" width="23.85546875" style="474" bestFit="1" customWidth="1"/>
    <col min="2332" max="2333" width="24.85546875" style="474" bestFit="1" customWidth="1"/>
    <col min="2334" max="2338" width="11.28515625" style="474" bestFit="1" customWidth="1"/>
    <col min="2339" max="2343" width="12.28515625" style="474" bestFit="1" customWidth="1"/>
    <col min="2344" max="2344" width="12" style="474" bestFit="1" customWidth="1"/>
    <col min="2345" max="2560" width="8.85546875" style="474"/>
    <col min="2561" max="2561" width="7.28515625" style="474" customWidth="1"/>
    <col min="2562" max="2562" width="41" style="474" customWidth="1"/>
    <col min="2563" max="2563" width="16" style="474" customWidth="1"/>
    <col min="2564" max="2564" width="16.140625" style="474" bestFit="1" customWidth="1"/>
    <col min="2565" max="2565" width="11.85546875" style="474" customWidth="1"/>
    <col min="2566" max="2566" width="12.42578125" style="474" bestFit="1" customWidth="1"/>
    <col min="2567" max="2568" width="13" style="474" bestFit="1" customWidth="1"/>
    <col min="2569" max="2569" width="12.7109375" style="474" bestFit="1" customWidth="1"/>
    <col min="2570" max="2570" width="13.42578125" style="474" bestFit="1" customWidth="1"/>
    <col min="2571" max="2571" width="13.7109375" style="474" bestFit="1" customWidth="1"/>
    <col min="2572" max="2572" width="14.5703125" style="474" bestFit="1" customWidth="1"/>
    <col min="2573" max="2573" width="14.85546875" style="474" bestFit="1" customWidth="1"/>
    <col min="2574" max="2574" width="17.140625" style="474" customWidth="1"/>
    <col min="2575" max="2575" width="16.42578125" style="474" bestFit="1" customWidth="1"/>
    <col min="2576" max="2576" width="17.140625" style="474" bestFit="1" customWidth="1"/>
    <col min="2577" max="2577" width="24.28515625" style="474" customWidth="1"/>
    <col min="2578" max="2578" width="18.28515625" style="474" bestFit="1" customWidth="1"/>
    <col min="2579" max="2579" width="18.5703125" style="474" bestFit="1" customWidth="1"/>
    <col min="2580" max="2580" width="19.28515625" style="474" bestFit="1" customWidth="1"/>
    <col min="2581" max="2581" width="20.42578125" style="474" bestFit="1" customWidth="1"/>
    <col min="2582" max="2582" width="20.85546875" style="474" bestFit="1" customWidth="1"/>
    <col min="2583" max="2583" width="21.42578125" style="474" bestFit="1" customWidth="1"/>
    <col min="2584" max="2585" width="22.28515625" style="474" bestFit="1" customWidth="1"/>
    <col min="2586" max="2587" width="23.85546875" style="474" bestFit="1" customWidth="1"/>
    <col min="2588" max="2589" width="24.85546875" style="474" bestFit="1" customWidth="1"/>
    <col min="2590" max="2594" width="11.28515625" style="474" bestFit="1" customWidth="1"/>
    <col min="2595" max="2599" width="12.28515625" style="474" bestFit="1" customWidth="1"/>
    <col min="2600" max="2600" width="12" style="474" bestFit="1" customWidth="1"/>
    <col min="2601" max="2816" width="8.85546875" style="474"/>
    <col min="2817" max="2817" width="7.28515625" style="474" customWidth="1"/>
    <col min="2818" max="2818" width="41" style="474" customWidth="1"/>
    <col min="2819" max="2819" width="16" style="474" customWidth="1"/>
    <col min="2820" max="2820" width="16.140625" style="474" bestFit="1" customWidth="1"/>
    <col min="2821" max="2821" width="11.85546875" style="474" customWidth="1"/>
    <col min="2822" max="2822" width="12.42578125" style="474" bestFit="1" customWidth="1"/>
    <col min="2823" max="2824" width="13" style="474" bestFit="1" customWidth="1"/>
    <col min="2825" max="2825" width="12.7109375" style="474" bestFit="1" customWidth="1"/>
    <col min="2826" max="2826" width="13.42578125" style="474" bestFit="1" customWidth="1"/>
    <col min="2827" max="2827" width="13.7109375" style="474" bestFit="1" customWidth="1"/>
    <col min="2828" max="2828" width="14.5703125" style="474" bestFit="1" customWidth="1"/>
    <col min="2829" max="2829" width="14.85546875" style="474" bestFit="1" customWidth="1"/>
    <col min="2830" max="2830" width="17.140625" style="474" customWidth="1"/>
    <col min="2831" max="2831" width="16.42578125" style="474" bestFit="1" customWidth="1"/>
    <col min="2832" max="2832" width="17.140625" style="474" bestFit="1" customWidth="1"/>
    <col min="2833" max="2833" width="24.28515625" style="474" customWidth="1"/>
    <col min="2834" max="2834" width="18.28515625" style="474" bestFit="1" customWidth="1"/>
    <col min="2835" max="2835" width="18.5703125" style="474" bestFit="1" customWidth="1"/>
    <col min="2836" max="2836" width="19.28515625" style="474" bestFit="1" customWidth="1"/>
    <col min="2837" max="2837" width="20.42578125" style="474" bestFit="1" customWidth="1"/>
    <col min="2838" max="2838" width="20.85546875" style="474" bestFit="1" customWidth="1"/>
    <col min="2839" max="2839" width="21.42578125" style="474" bestFit="1" customWidth="1"/>
    <col min="2840" max="2841" width="22.28515625" style="474" bestFit="1" customWidth="1"/>
    <col min="2842" max="2843" width="23.85546875" style="474" bestFit="1" customWidth="1"/>
    <col min="2844" max="2845" width="24.85546875" style="474" bestFit="1" customWidth="1"/>
    <col min="2846" max="2850" width="11.28515625" style="474" bestFit="1" customWidth="1"/>
    <col min="2851" max="2855" width="12.28515625" style="474" bestFit="1" customWidth="1"/>
    <col min="2856" max="2856" width="12" style="474" bestFit="1" customWidth="1"/>
    <col min="2857" max="3072" width="8.85546875" style="474"/>
    <col min="3073" max="3073" width="7.28515625" style="474" customWidth="1"/>
    <col min="3074" max="3074" width="41" style="474" customWidth="1"/>
    <col min="3075" max="3075" width="16" style="474" customWidth="1"/>
    <col min="3076" max="3076" width="16.140625" style="474" bestFit="1" customWidth="1"/>
    <col min="3077" max="3077" width="11.85546875" style="474" customWidth="1"/>
    <col min="3078" max="3078" width="12.42578125" style="474" bestFit="1" customWidth="1"/>
    <col min="3079" max="3080" width="13" style="474" bestFit="1" customWidth="1"/>
    <col min="3081" max="3081" width="12.7109375" style="474" bestFit="1" customWidth="1"/>
    <col min="3082" max="3082" width="13.42578125" style="474" bestFit="1" customWidth="1"/>
    <col min="3083" max="3083" width="13.7109375" style="474" bestFit="1" customWidth="1"/>
    <col min="3084" max="3084" width="14.5703125" style="474" bestFit="1" customWidth="1"/>
    <col min="3085" max="3085" width="14.85546875" style="474" bestFit="1" customWidth="1"/>
    <col min="3086" max="3086" width="17.140625" style="474" customWidth="1"/>
    <col min="3087" max="3087" width="16.42578125" style="474" bestFit="1" customWidth="1"/>
    <col min="3088" max="3088" width="17.140625" style="474" bestFit="1" customWidth="1"/>
    <col min="3089" max="3089" width="24.28515625" style="474" customWidth="1"/>
    <col min="3090" max="3090" width="18.28515625" style="474" bestFit="1" customWidth="1"/>
    <col min="3091" max="3091" width="18.5703125" style="474" bestFit="1" customWidth="1"/>
    <col min="3092" max="3092" width="19.28515625" style="474" bestFit="1" customWidth="1"/>
    <col min="3093" max="3093" width="20.42578125" style="474" bestFit="1" customWidth="1"/>
    <col min="3094" max="3094" width="20.85546875" style="474" bestFit="1" customWidth="1"/>
    <col min="3095" max="3095" width="21.42578125" style="474" bestFit="1" customWidth="1"/>
    <col min="3096" max="3097" width="22.28515625" style="474" bestFit="1" customWidth="1"/>
    <col min="3098" max="3099" width="23.85546875" style="474" bestFit="1" customWidth="1"/>
    <col min="3100" max="3101" width="24.85546875" style="474" bestFit="1" customWidth="1"/>
    <col min="3102" max="3106" width="11.28515625" style="474" bestFit="1" customWidth="1"/>
    <col min="3107" max="3111" width="12.28515625" style="474" bestFit="1" customWidth="1"/>
    <col min="3112" max="3112" width="12" style="474" bestFit="1" customWidth="1"/>
    <col min="3113" max="3328" width="8.85546875" style="474"/>
    <col min="3329" max="3329" width="7.28515625" style="474" customWidth="1"/>
    <col min="3330" max="3330" width="41" style="474" customWidth="1"/>
    <col min="3331" max="3331" width="16" style="474" customWidth="1"/>
    <col min="3332" max="3332" width="16.140625" style="474" bestFit="1" customWidth="1"/>
    <col min="3333" max="3333" width="11.85546875" style="474" customWidth="1"/>
    <col min="3334" max="3334" width="12.42578125" style="474" bestFit="1" customWidth="1"/>
    <col min="3335" max="3336" width="13" style="474" bestFit="1" customWidth="1"/>
    <col min="3337" max="3337" width="12.7109375" style="474" bestFit="1" customWidth="1"/>
    <col min="3338" max="3338" width="13.42578125" style="474" bestFit="1" customWidth="1"/>
    <col min="3339" max="3339" width="13.7109375" style="474" bestFit="1" customWidth="1"/>
    <col min="3340" max="3340" width="14.5703125" style="474" bestFit="1" customWidth="1"/>
    <col min="3341" max="3341" width="14.85546875" style="474" bestFit="1" customWidth="1"/>
    <col min="3342" max="3342" width="17.140625" style="474" customWidth="1"/>
    <col min="3343" max="3343" width="16.42578125" style="474" bestFit="1" customWidth="1"/>
    <col min="3344" max="3344" width="17.140625" style="474" bestFit="1" customWidth="1"/>
    <col min="3345" max="3345" width="24.28515625" style="474" customWidth="1"/>
    <col min="3346" max="3346" width="18.28515625" style="474" bestFit="1" customWidth="1"/>
    <col min="3347" max="3347" width="18.5703125" style="474" bestFit="1" customWidth="1"/>
    <col min="3348" max="3348" width="19.28515625" style="474" bestFit="1" customWidth="1"/>
    <col min="3349" max="3349" width="20.42578125" style="474" bestFit="1" customWidth="1"/>
    <col min="3350" max="3350" width="20.85546875" style="474" bestFit="1" customWidth="1"/>
    <col min="3351" max="3351" width="21.42578125" style="474" bestFit="1" customWidth="1"/>
    <col min="3352" max="3353" width="22.28515625" style="474" bestFit="1" customWidth="1"/>
    <col min="3354" max="3355" width="23.85546875" style="474" bestFit="1" customWidth="1"/>
    <col min="3356" max="3357" width="24.85546875" style="474" bestFit="1" customWidth="1"/>
    <col min="3358" max="3362" width="11.28515625" style="474" bestFit="1" customWidth="1"/>
    <col min="3363" max="3367" width="12.28515625" style="474" bestFit="1" customWidth="1"/>
    <col min="3368" max="3368" width="12" style="474" bestFit="1" customWidth="1"/>
    <col min="3369" max="3584" width="8.85546875" style="474"/>
    <col min="3585" max="3585" width="7.28515625" style="474" customWidth="1"/>
    <col min="3586" max="3586" width="41" style="474" customWidth="1"/>
    <col min="3587" max="3587" width="16" style="474" customWidth="1"/>
    <col min="3588" max="3588" width="16.140625" style="474" bestFit="1" customWidth="1"/>
    <col min="3589" max="3589" width="11.85546875" style="474" customWidth="1"/>
    <col min="3590" max="3590" width="12.42578125" style="474" bestFit="1" customWidth="1"/>
    <col min="3591" max="3592" width="13" style="474" bestFit="1" customWidth="1"/>
    <col min="3593" max="3593" width="12.7109375" style="474" bestFit="1" customWidth="1"/>
    <col min="3594" max="3594" width="13.42578125" style="474" bestFit="1" customWidth="1"/>
    <col min="3595" max="3595" width="13.7109375" style="474" bestFit="1" customWidth="1"/>
    <col min="3596" max="3596" width="14.5703125" style="474" bestFit="1" customWidth="1"/>
    <col min="3597" max="3597" width="14.85546875" style="474" bestFit="1" customWidth="1"/>
    <col min="3598" max="3598" width="17.140625" style="474" customWidth="1"/>
    <col min="3599" max="3599" width="16.42578125" style="474" bestFit="1" customWidth="1"/>
    <col min="3600" max="3600" width="17.140625" style="474" bestFit="1" customWidth="1"/>
    <col min="3601" max="3601" width="24.28515625" style="474" customWidth="1"/>
    <col min="3602" max="3602" width="18.28515625" style="474" bestFit="1" customWidth="1"/>
    <col min="3603" max="3603" width="18.5703125" style="474" bestFit="1" customWidth="1"/>
    <col min="3604" max="3604" width="19.28515625" style="474" bestFit="1" customWidth="1"/>
    <col min="3605" max="3605" width="20.42578125" style="474" bestFit="1" customWidth="1"/>
    <col min="3606" max="3606" width="20.85546875" style="474" bestFit="1" customWidth="1"/>
    <col min="3607" max="3607" width="21.42578125" style="474" bestFit="1" customWidth="1"/>
    <col min="3608" max="3609" width="22.28515625" style="474" bestFit="1" customWidth="1"/>
    <col min="3610" max="3611" width="23.85546875" style="474" bestFit="1" customWidth="1"/>
    <col min="3612" max="3613" width="24.85546875" style="474" bestFit="1" customWidth="1"/>
    <col min="3614" max="3618" width="11.28515625" style="474" bestFit="1" customWidth="1"/>
    <col min="3619" max="3623" width="12.28515625" style="474" bestFit="1" customWidth="1"/>
    <col min="3624" max="3624" width="12" style="474" bestFit="1" customWidth="1"/>
    <col min="3625" max="3840" width="8.85546875" style="474"/>
    <col min="3841" max="3841" width="7.28515625" style="474" customWidth="1"/>
    <col min="3842" max="3842" width="41" style="474" customWidth="1"/>
    <col min="3843" max="3843" width="16" style="474" customWidth="1"/>
    <col min="3844" max="3844" width="16.140625" style="474" bestFit="1" customWidth="1"/>
    <col min="3845" max="3845" width="11.85546875" style="474" customWidth="1"/>
    <col min="3846" max="3846" width="12.42578125" style="474" bestFit="1" customWidth="1"/>
    <col min="3847" max="3848" width="13" style="474" bestFit="1" customWidth="1"/>
    <col min="3849" max="3849" width="12.7109375" style="474" bestFit="1" customWidth="1"/>
    <col min="3850" max="3850" width="13.42578125" style="474" bestFit="1" customWidth="1"/>
    <col min="3851" max="3851" width="13.7109375" style="474" bestFit="1" customWidth="1"/>
    <col min="3852" max="3852" width="14.5703125" style="474" bestFit="1" customWidth="1"/>
    <col min="3853" max="3853" width="14.85546875" style="474" bestFit="1" customWidth="1"/>
    <col min="3854" max="3854" width="17.140625" style="474" customWidth="1"/>
    <col min="3855" max="3855" width="16.42578125" style="474" bestFit="1" customWidth="1"/>
    <col min="3856" max="3856" width="17.140625" style="474" bestFit="1" customWidth="1"/>
    <col min="3857" max="3857" width="24.28515625" style="474" customWidth="1"/>
    <col min="3858" max="3858" width="18.28515625" style="474" bestFit="1" customWidth="1"/>
    <col min="3859" max="3859" width="18.5703125" style="474" bestFit="1" customWidth="1"/>
    <col min="3860" max="3860" width="19.28515625" style="474" bestFit="1" customWidth="1"/>
    <col min="3861" max="3861" width="20.42578125" style="474" bestFit="1" customWidth="1"/>
    <col min="3862" max="3862" width="20.85546875" style="474" bestFit="1" customWidth="1"/>
    <col min="3863" max="3863" width="21.42578125" style="474" bestFit="1" customWidth="1"/>
    <col min="3864" max="3865" width="22.28515625" style="474" bestFit="1" customWidth="1"/>
    <col min="3866" max="3867" width="23.85546875" style="474" bestFit="1" customWidth="1"/>
    <col min="3868" max="3869" width="24.85546875" style="474" bestFit="1" customWidth="1"/>
    <col min="3870" max="3874" width="11.28515625" style="474" bestFit="1" customWidth="1"/>
    <col min="3875" max="3879" width="12.28515625" style="474" bestFit="1" customWidth="1"/>
    <col min="3880" max="3880" width="12" style="474" bestFit="1" customWidth="1"/>
    <col min="3881" max="4096" width="8.85546875" style="474"/>
    <col min="4097" max="4097" width="7.28515625" style="474" customWidth="1"/>
    <col min="4098" max="4098" width="41" style="474" customWidth="1"/>
    <col min="4099" max="4099" width="16" style="474" customWidth="1"/>
    <col min="4100" max="4100" width="16.140625" style="474" bestFit="1" customWidth="1"/>
    <col min="4101" max="4101" width="11.85546875" style="474" customWidth="1"/>
    <col min="4102" max="4102" width="12.42578125" style="474" bestFit="1" customWidth="1"/>
    <col min="4103" max="4104" width="13" style="474" bestFit="1" customWidth="1"/>
    <col min="4105" max="4105" width="12.7109375" style="474" bestFit="1" customWidth="1"/>
    <col min="4106" max="4106" width="13.42578125" style="474" bestFit="1" customWidth="1"/>
    <col min="4107" max="4107" width="13.7109375" style="474" bestFit="1" customWidth="1"/>
    <col min="4108" max="4108" width="14.5703125" style="474" bestFit="1" customWidth="1"/>
    <col min="4109" max="4109" width="14.85546875" style="474" bestFit="1" customWidth="1"/>
    <col min="4110" max="4110" width="17.140625" style="474" customWidth="1"/>
    <col min="4111" max="4111" width="16.42578125" style="474" bestFit="1" customWidth="1"/>
    <col min="4112" max="4112" width="17.140625" style="474" bestFit="1" customWidth="1"/>
    <col min="4113" max="4113" width="24.28515625" style="474" customWidth="1"/>
    <col min="4114" max="4114" width="18.28515625" style="474" bestFit="1" customWidth="1"/>
    <col min="4115" max="4115" width="18.5703125" style="474" bestFit="1" customWidth="1"/>
    <col min="4116" max="4116" width="19.28515625" style="474" bestFit="1" customWidth="1"/>
    <col min="4117" max="4117" width="20.42578125" style="474" bestFit="1" customWidth="1"/>
    <col min="4118" max="4118" width="20.85546875" style="474" bestFit="1" customWidth="1"/>
    <col min="4119" max="4119" width="21.42578125" style="474" bestFit="1" customWidth="1"/>
    <col min="4120" max="4121" width="22.28515625" style="474" bestFit="1" customWidth="1"/>
    <col min="4122" max="4123" width="23.85546875" style="474" bestFit="1" customWidth="1"/>
    <col min="4124" max="4125" width="24.85546875" style="474" bestFit="1" customWidth="1"/>
    <col min="4126" max="4130" width="11.28515625" style="474" bestFit="1" customWidth="1"/>
    <col min="4131" max="4135" width="12.28515625" style="474" bestFit="1" customWidth="1"/>
    <col min="4136" max="4136" width="12" style="474" bestFit="1" customWidth="1"/>
    <col min="4137" max="4352" width="8.85546875" style="474"/>
    <col min="4353" max="4353" width="7.28515625" style="474" customWidth="1"/>
    <col min="4354" max="4354" width="41" style="474" customWidth="1"/>
    <col min="4355" max="4355" width="16" style="474" customWidth="1"/>
    <col min="4356" max="4356" width="16.140625" style="474" bestFit="1" customWidth="1"/>
    <col min="4357" max="4357" width="11.85546875" style="474" customWidth="1"/>
    <col min="4358" max="4358" width="12.42578125" style="474" bestFit="1" customWidth="1"/>
    <col min="4359" max="4360" width="13" style="474" bestFit="1" customWidth="1"/>
    <col min="4361" max="4361" width="12.7109375" style="474" bestFit="1" customWidth="1"/>
    <col min="4362" max="4362" width="13.42578125" style="474" bestFit="1" customWidth="1"/>
    <col min="4363" max="4363" width="13.7109375" style="474" bestFit="1" customWidth="1"/>
    <col min="4364" max="4364" width="14.5703125" style="474" bestFit="1" customWidth="1"/>
    <col min="4365" max="4365" width="14.85546875" style="474" bestFit="1" customWidth="1"/>
    <col min="4366" max="4366" width="17.140625" style="474" customWidth="1"/>
    <col min="4367" max="4367" width="16.42578125" style="474" bestFit="1" customWidth="1"/>
    <col min="4368" max="4368" width="17.140625" style="474" bestFit="1" customWidth="1"/>
    <col min="4369" max="4369" width="24.28515625" style="474" customWidth="1"/>
    <col min="4370" max="4370" width="18.28515625" style="474" bestFit="1" customWidth="1"/>
    <col min="4371" max="4371" width="18.5703125" style="474" bestFit="1" customWidth="1"/>
    <col min="4372" max="4372" width="19.28515625" style="474" bestFit="1" customWidth="1"/>
    <col min="4373" max="4373" width="20.42578125" style="474" bestFit="1" customWidth="1"/>
    <col min="4374" max="4374" width="20.85546875" style="474" bestFit="1" customWidth="1"/>
    <col min="4375" max="4375" width="21.42578125" style="474" bestFit="1" customWidth="1"/>
    <col min="4376" max="4377" width="22.28515625" style="474" bestFit="1" customWidth="1"/>
    <col min="4378" max="4379" width="23.85546875" style="474" bestFit="1" customWidth="1"/>
    <col min="4380" max="4381" width="24.85546875" style="474" bestFit="1" customWidth="1"/>
    <col min="4382" max="4386" width="11.28515625" style="474" bestFit="1" customWidth="1"/>
    <col min="4387" max="4391" width="12.28515625" style="474" bestFit="1" customWidth="1"/>
    <col min="4392" max="4392" width="12" style="474" bestFit="1" customWidth="1"/>
    <col min="4393" max="4608" width="8.85546875" style="474"/>
    <col min="4609" max="4609" width="7.28515625" style="474" customWidth="1"/>
    <col min="4610" max="4610" width="41" style="474" customWidth="1"/>
    <col min="4611" max="4611" width="16" style="474" customWidth="1"/>
    <col min="4612" max="4612" width="16.140625" style="474" bestFit="1" customWidth="1"/>
    <col min="4613" max="4613" width="11.85546875" style="474" customWidth="1"/>
    <col min="4614" max="4614" width="12.42578125" style="474" bestFit="1" customWidth="1"/>
    <col min="4615" max="4616" width="13" style="474" bestFit="1" customWidth="1"/>
    <col min="4617" max="4617" width="12.7109375" style="474" bestFit="1" customWidth="1"/>
    <col min="4618" max="4618" width="13.42578125" style="474" bestFit="1" customWidth="1"/>
    <col min="4619" max="4619" width="13.7109375" style="474" bestFit="1" customWidth="1"/>
    <col min="4620" max="4620" width="14.5703125" style="474" bestFit="1" customWidth="1"/>
    <col min="4621" max="4621" width="14.85546875" style="474" bestFit="1" customWidth="1"/>
    <col min="4622" max="4622" width="17.140625" style="474" customWidth="1"/>
    <col min="4623" max="4623" width="16.42578125" style="474" bestFit="1" customWidth="1"/>
    <col min="4624" max="4624" width="17.140625" style="474" bestFit="1" customWidth="1"/>
    <col min="4625" max="4625" width="24.28515625" style="474" customWidth="1"/>
    <col min="4626" max="4626" width="18.28515625" style="474" bestFit="1" customWidth="1"/>
    <col min="4627" max="4627" width="18.5703125" style="474" bestFit="1" customWidth="1"/>
    <col min="4628" max="4628" width="19.28515625" style="474" bestFit="1" customWidth="1"/>
    <col min="4629" max="4629" width="20.42578125" style="474" bestFit="1" customWidth="1"/>
    <col min="4630" max="4630" width="20.85546875" style="474" bestFit="1" customWidth="1"/>
    <col min="4631" max="4631" width="21.42578125" style="474" bestFit="1" customWidth="1"/>
    <col min="4632" max="4633" width="22.28515625" style="474" bestFit="1" customWidth="1"/>
    <col min="4634" max="4635" width="23.85546875" style="474" bestFit="1" customWidth="1"/>
    <col min="4636" max="4637" width="24.85546875" style="474" bestFit="1" customWidth="1"/>
    <col min="4638" max="4642" width="11.28515625" style="474" bestFit="1" customWidth="1"/>
    <col min="4643" max="4647" width="12.28515625" style="474" bestFit="1" customWidth="1"/>
    <col min="4648" max="4648" width="12" style="474" bestFit="1" customWidth="1"/>
    <col min="4649" max="4864" width="8.85546875" style="474"/>
    <col min="4865" max="4865" width="7.28515625" style="474" customWidth="1"/>
    <col min="4866" max="4866" width="41" style="474" customWidth="1"/>
    <col min="4867" max="4867" width="16" style="474" customWidth="1"/>
    <col min="4868" max="4868" width="16.140625" style="474" bestFit="1" customWidth="1"/>
    <col min="4869" max="4869" width="11.85546875" style="474" customWidth="1"/>
    <col min="4870" max="4870" width="12.42578125" style="474" bestFit="1" customWidth="1"/>
    <col min="4871" max="4872" width="13" style="474" bestFit="1" customWidth="1"/>
    <col min="4873" max="4873" width="12.7109375" style="474" bestFit="1" customWidth="1"/>
    <col min="4874" max="4874" width="13.42578125" style="474" bestFit="1" customWidth="1"/>
    <col min="4875" max="4875" width="13.7109375" style="474" bestFit="1" customWidth="1"/>
    <col min="4876" max="4876" width="14.5703125" style="474" bestFit="1" customWidth="1"/>
    <col min="4877" max="4877" width="14.85546875" style="474" bestFit="1" customWidth="1"/>
    <col min="4878" max="4878" width="17.140625" style="474" customWidth="1"/>
    <col min="4879" max="4879" width="16.42578125" style="474" bestFit="1" customWidth="1"/>
    <col min="4880" max="4880" width="17.140625" style="474" bestFit="1" customWidth="1"/>
    <col min="4881" max="4881" width="24.28515625" style="474" customWidth="1"/>
    <col min="4882" max="4882" width="18.28515625" style="474" bestFit="1" customWidth="1"/>
    <col min="4883" max="4883" width="18.5703125" style="474" bestFit="1" customWidth="1"/>
    <col min="4884" max="4884" width="19.28515625" style="474" bestFit="1" customWidth="1"/>
    <col min="4885" max="4885" width="20.42578125" style="474" bestFit="1" customWidth="1"/>
    <col min="4886" max="4886" width="20.85546875" style="474" bestFit="1" customWidth="1"/>
    <col min="4887" max="4887" width="21.42578125" style="474" bestFit="1" customWidth="1"/>
    <col min="4888" max="4889" width="22.28515625" style="474" bestFit="1" customWidth="1"/>
    <col min="4890" max="4891" width="23.85546875" style="474" bestFit="1" customWidth="1"/>
    <col min="4892" max="4893" width="24.85546875" style="474" bestFit="1" customWidth="1"/>
    <col min="4894" max="4898" width="11.28515625" style="474" bestFit="1" customWidth="1"/>
    <col min="4899" max="4903" width="12.28515625" style="474" bestFit="1" customWidth="1"/>
    <col min="4904" max="4904" width="12" style="474" bestFit="1" customWidth="1"/>
    <col min="4905" max="5120" width="8.85546875" style="474"/>
    <col min="5121" max="5121" width="7.28515625" style="474" customWidth="1"/>
    <col min="5122" max="5122" width="41" style="474" customWidth="1"/>
    <col min="5123" max="5123" width="16" style="474" customWidth="1"/>
    <col min="5124" max="5124" width="16.140625" style="474" bestFit="1" customWidth="1"/>
    <col min="5125" max="5125" width="11.85546875" style="474" customWidth="1"/>
    <col min="5126" max="5126" width="12.42578125" style="474" bestFit="1" customWidth="1"/>
    <col min="5127" max="5128" width="13" style="474" bestFit="1" customWidth="1"/>
    <col min="5129" max="5129" width="12.7109375" style="474" bestFit="1" customWidth="1"/>
    <col min="5130" max="5130" width="13.42578125" style="474" bestFit="1" customWidth="1"/>
    <col min="5131" max="5131" width="13.7109375" style="474" bestFit="1" customWidth="1"/>
    <col min="5132" max="5132" width="14.5703125" style="474" bestFit="1" customWidth="1"/>
    <col min="5133" max="5133" width="14.85546875" style="474" bestFit="1" customWidth="1"/>
    <col min="5134" max="5134" width="17.140625" style="474" customWidth="1"/>
    <col min="5135" max="5135" width="16.42578125" style="474" bestFit="1" customWidth="1"/>
    <col min="5136" max="5136" width="17.140625" style="474" bestFit="1" customWidth="1"/>
    <col min="5137" max="5137" width="24.28515625" style="474" customWidth="1"/>
    <col min="5138" max="5138" width="18.28515625" style="474" bestFit="1" customWidth="1"/>
    <col min="5139" max="5139" width="18.5703125" style="474" bestFit="1" customWidth="1"/>
    <col min="5140" max="5140" width="19.28515625" style="474" bestFit="1" customWidth="1"/>
    <col min="5141" max="5141" width="20.42578125" style="474" bestFit="1" customWidth="1"/>
    <col min="5142" max="5142" width="20.85546875" style="474" bestFit="1" customWidth="1"/>
    <col min="5143" max="5143" width="21.42578125" style="474" bestFit="1" customWidth="1"/>
    <col min="5144" max="5145" width="22.28515625" style="474" bestFit="1" customWidth="1"/>
    <col min="5146" max="5147" width="23.85546875" style="474" bestFit="1" customWidth="1"/>
    <col min="5148" max="5149" width="24.85546875" style="474" bestFit="1" customWidth="1"/>
    <col min="5150" max="5154" width="11.28515625" style="474" bestFit="1" customWidth="1"/>
    <col min="5155" max="5159" width="12.28515625" style="474" bestFit="1" customWidth="1"/>
    <col min="5160" max="5160" width="12" style="474" bestFit="1" customWidth="1"/>
    <col min="5161" max="5376" width="8.85546875" style="474"/>
    <col min="5377" max="5377" width="7.28515625" style="474" customWidth="1"/>
    <col min="5378" max="5378" width="41" style="474" customWidth="1"/>
    <col min="5379" max="5379" width="16" style="474" customWidth="1"/>
    <col min="5380" max="5380" width="16.140625" style="474" bestFit="1" customWidth="1"/>
    <col min="5381" max="5381" width="11.85546875" style="474" customWidth="1"/>
    <col min="5382" max="5382" width="12.42578125" style="474" bestFit="1" customWidth="1"/>
    <col min="5383" max="5384" width="13" style="474" bestFit="1" customWidth="1"/>
    <col min="5385" max="5385" width="12.7109375" style="474" bestFit="1" customWidth="1"/>
    <col min="5386" max="5386" width="13.42578125" style="474" bestFit="1" customWidth="1"/>
    <col min="5387" max="5387" width="13.7109375" style="474" bestFit="1" customWidth="1"/>
    <col min="5388" max="5388" width="14.5703125" style="474" bestFit="1" customWidth="1"/>
    <col min="5389" max="5389" width="14.85546875" style="474" bestFit="1" customWidth="1"/>
    <col min="5390" max="5390" width="17.140625" style="474" customWidth="1"/>
    <col min="5391" max="5391" width="16.42578125" style="474" bestFit="1" customWidth="1"/>
    <col min="5392" max="5392" width="17.140625" style="474" bestFit="1" customWidth="1"/>
    <col min="5393" max="5393" width="24.28515625" style="474" customWidth="1"/>
    <col min="5394" max="5394" width="18.28515625" style="474" bestFit="1" customWidth="1"/>
    <col min="5395" max="5395" width="18.5703125" style="474" bestFit="1" customWidth="1"/>
    <col min="5396" max="5396" width="19.28515625" style="474" bestFit="1" customWidth="1"/>
    <col min="5397" max="5397" width="20.42578125" style="474" bestFit="1" customWidth="1"/>
    <col min="5398" max="5398" width="20.85546875" style="474" bestFit="1" customWidth="1"/>
    <col min="5399" max="5399" width="21.42578125" style="474" bestFit="1" customWidth="1"/>
    <col min="5400" max="5401" width="22.28515625" style="474" bestFit="1" customWidth="1"/>
    <col min="5402" max="5403" width="23.85546875" style="474" bestFit="1" customWidth="1"/>
    <col min="5404" max="5405" width="24.85546875" style="474" bestFit="1" customWidth="1"/>
    <col min="5406" max="5410" width="11.28515625" style="474" bestFit="1" customWidth="1"/>
    <col min="5411" max="5415" width="12.28515625" style="474" bestFit="1" customWidth="1"/>
    <col min="5416" max="5416" width="12" style="474" bestFit="1" customWidth="1"/>
    <col min="5417" max="5632" width="8.85546875" style="474"/>
    <col min="5633" max="5633" width="7.28515625" style="474" customWidth="1"/>
    <col min="5634" max="5634" width="41" style="474" customWidth="1"/>
    <col min="5635" max="5635" width="16" style="474" customWidth="1"/>
    <col min="5636" max="5636" width="16.140625" style="474" bestFit="1" customWidth="1"/>
    <col min="5637" max="5637" width="11.85546875" style="474" customWidth="1"/>
    <col min="5638" max="5638" width="12.42578125" style="474" bestFit="1" customWidth="1"/>
    <col min="5639" max="5640" width="13" style="474" bestFit="1" customWidth="1"/>
    <col min="5641" max="5641" width="12.7109375" style="474" bestFit="1" customWidth="1"/>
    <col min="5642" max="5642" width="13.42578125" style="474" bestFit="1" customWidth="1"/>
    <col min="5643" max="5643" width="13.7109375" style="474" bestFit="1" customWidth="1"/>
    <col min="5644" max="5644" width="14.5703125" style="474" bestFit="1" customWidth="1"/>
    <col min="5645" max="5645" width="14.85546875" style="474" bestFit="1" customWidth="1"/>
    <col min="5646" max="5646" width="17.140625" style="474" customWidth="1"/>
    <col min="5647" max="5647" width="16.42578125" style="474" bestFit="1" customWidth="1"/>
    <col min="5648" max="5648" width="17.140625" style="474" bestFit="1" customWidth="1"/>
    <col min="5649" max="5649" width="24.28515625" style="474" customWidth="1"/>
    <col min="5650" max="5650" width="18.28515625" style="474" bestFit="1" customWidth="1"/>
    <col min="5651" max="5651" width="18.5703125" style="474" bestFit="1" customWidth="1"/>
    <col min="5652" max="5652" width="19.28515625" style="474" bestFit="1" customWidth="1"/>
    <col min="5653" max="5653" width="20.42578125" style="474" bestFit="1" customWidth="1"/>
    <col min="5654" max="5654" width="20.85546875" style="474" bestFit="1" customWidth="1"/>
    <col min="5655" max="5655" width="21.42578125" style="474" bestFit="1" customWidth="1"/>
    <col min="5656" max="5657" width="22.28515625" style="474" bestFit="1" customWidth="1"/>
    <col min="5658" max="5659" width="23.85546875" style="474" bestFit="1" customWidth="1"/>
    <col min="5660" max="5661" width="24.85546875" style="474" bestFit="1" customWidth="1"/>
    <col min="5662" max="5666" width="11.28515625" style="474" bestFit="1" customWidth="1"/>
    <col min="5667" max="5671" width="12.28515625" style="474" bestFit="1" customWidth="1"/>
    <col min="5672" max="5672" width="12" style="474" bestFit="1" customWidth="1"/>
    <col min="5673" max="5888" width="8.85546875" style="474"/>
    <col min="5889" max="5889" width="7.28515625" style="474" customWidth="1"/>
    <col min="5890" max="5890" width="41" style="474" customWidth="1"/>
    <col min="5891" max="5891" width="16" style="474" customWidth="1"/>
    <col min="5892" max="5892" width="16.140625" style="474" bestFit="1" customWidth="1"/>
    <col min="5893" max="5893" width="11.85546875" style="474" customWidth="1"/>
    <col min="5894" max="5894" width="12.42578125" style="474" bestFit="1" customWidth="1"/>
    <col min="5895" max="5896" width="13" style="474" bestFit="1" customWidth="1"/>
    <col min="5897" max="5897" width="12.7109375" style="474" bestFit="1" customWidth="1"/>
    <col min="5898" max="5898" width="13.42578125" style="474" bestFit="1" customWidth="1"/>
    <col min="5899" max="5899" width="13.7109375" style="474" bestFit="1" customWidth="1"/>
    <col min="5900" max="5900" width="14.5703125" style="474" bestFit="1" customWidth="1"/>
    <col min="5901" max="5901" width="14.85546875" style="474" bestFit="1" customWidth="1"/>
    <col min="5902" max="5902" width="17.140625" style="474" customWidth="1"/>
    <col min="5903" max="5903" width="16.42578125" style="474" bestFit="1" customWidth="1"/>
    <col min="5904" max="5904" width="17.140625" style="474" bestFit="1" customWidth="1"/>
    <col min="5905" max="5905" width="24.28515625" style="474" customWidth="1"/>
    <col min="5906" max="5906" width="18.28515625" style="474" bestFit="1" customWidth="1"/>
    <col min="5907" max="5907" width="18.5703125" style="474" bestFit="1" customWidth="1"/>
    <col min="5908" max="5908" width="19.28515625" style="474" bestFit="1" customWidth="1"/>
    <col min="5909" max="5909" width="20.42578125" style="474" bestFit="1" customWidth="1"/>
    <col min="5910" max="5910" width="20.85546875" style="474" bestFit="1" customWidth="1"/>
    <col min="5911" max="5911" width="21.42578125" style="474" bestFit="1" customWidth="1"/>
    <col min="5912" max="5913" width="22.28515625" style="474" bestFit="1" customWidth="1"/>
    <col min="5914" max="5915" width="23.85546875" style="474" bestFit="1" customWidth="1"/>
    <col min="5916" max="5917" width="24.85546875" style="474" bestFit="1" customWidth="1"/>
    <col min="5918" max="5922" width="11.28515625" style="474" bestFit="1" customWidth="1"/>
    <col min="5923" max="5927" width="12.28515625" style="474" bestFit="1" customWidth="1"/>
    <col min="5928" max="5928" width="12" style="474" bestFit="1" customWidth="1"/>
    <col min="5929" max="6144" width="8.85546875" style="474"/>
    <col min="6145" max="6145" width="7.28515625" style="474" customWidth="1"/>
    <col min="6146" max="6146" width="41" style="474" customWidth="1"/>
    <col min="6147" max="6147" width="16" style="474" customWidth="1"/>
    <col min="6148" max="6148" width="16.140625" style="474" bestFit="1" customWidth="1"/>
    <col min="6149" max="6149" width="11.85546875" style="474" customWidth="1"/>
    <col min="6150" max="6150" width="12.42578125" style="474" bestFit="1" customWidth="1"/>
    <col min="6151" max="6152" width="13" style="474" bestFit="1" customWidth="1"/>
    <col min="6153" max="6153" width="12.7109375" style="474" bestFit="1" customWidth="1"/>
    <col min="6154" max="6154" width="13.42578125" style="474" bestFit="1" customWidth="1"/>
    <col min="6155" max="6155" width="13.7109375" style="474" bestFit="1" customWidth="1"/>
    <col min="6156" max="6156" width="14.5703125" style="474" bestFit="1" customWidth="1"/>
    <col min="6157" max="6157" width="14.85546875" style="474" bestFit="1" customWidth="1"/>
    <col min="6158" max="6158" width="17.140625" style="474" customWidth="1"/>
    <col min="6159" max="6159" width="16.42578125" style="474" bestFit="1" customWidth="1"/>
    <col min="6160" max="6160" width="17.140625" style="474" bestFit="1" customWidth="1"/>
    <col min="6161" max="6161" width="24.28515625" style="474" customWidth="1"/>
    <col min="6162" max="6162" width="18.28515625" style="474" bestFit="1" customWidth="1"/>
    <col min="6163" max="6163" width="18.5703125" style="474" bestFit="1" customWidth="1"/>
    <col min="6164" max="6164" width="19.28515625" style="474" bestFit="1" customWidth="1"/>
    <col min="6165" max="6165" width="20.42578125" style="474" bestFit="1" customWidth="1"/>
    <col min="6166" max="6166" width="20.85546875" style="474" bestFit="1" customWidth="1"/>
    <col min="6167" max="6167" width="21.42578125" style="474" bestFit="1" customWidth="1"/>
    <col min="6168" max="6169" width="22.28515625" style="474" bestFit="1" customWidth="1"/>
    <col min="6170" max="6171" width="23.85546875" style="474" bestFit="1" customWidth="1"/>
    <col min="6172" max="6173" width="24.85546875" style="474" bestFit="1" customWidth="1"/>
    <col min="6174" max="6178" width="11.28515625" style="474" bestFit="1" customWidth="1"/>
    <col min="6179" max="6183" width="12.28515625" style="474" bestFit="1" customWidth="1"/>
    <col min="6184" max="6184" width="12" style="474" bestFit="1" customWidth="1"/>
    <col min="6185" max="6400" width="8.85546875" style="474"/>
    <col min="6401" max="6401" width="7.28515625" style="474" customWidth="1"/>
    <col min="6402" max="6402" width="41" style="474" customWidth="1"/>
    <col min="6403" max="6403" width="16" style="474" customWidth="1"/>
    <col min="6404" max="6404" width="16.140625" style="474" bestFit="1" customWidth="1"/>
    <col min="6405" max="6405" width="11.85546875" style="474" customWidth="1"/>
    <col min="6406" max="6406" width="12.42578125" style="474" bestFit="1" customWidth="1"/>
    <col min="6407" max="6408" width="13" style="474" bestFit="1" customWidth="1"/>
    <col min="6409" max="6409" width="12.7109375" style="474" bestFit="1" customWidth="1"/>
    <col min="6410" max="6410" width="13.42578125" style="474" bestFit="1" customWidth="1"/>
    <col min="6411" max="6411" width="13.7109375" style="474" bestFit="1" customWidth="1"/>
    <col min="6412" max="6412" width="14.5703125" style="474" bestFit="1" customWidth="1"/>
    <col min="6413" max="6413" width="14.85546875" style="474" bestFit="1" customWidth="1"/>
    <col min="6414" max="6414" width="17.140625" style="474" customWidth="1"/>
    <col min="6415" max="6415" width="16.42578125" style="474" bestFit="1" customWidth="1"/>
    <col min="6416" max="6416" width="17.140625" style="474" bestFit="1" customWidth="1"/>
    <col min="6417" max="6417" width="24.28515625" style="474" customWidth="1"/>
    <col min="6418" max="6418" width="18.28515625" style="474" bestFit="1" customWidth="1"/>
    <col min="6419" max="6419" width="18.5703125" style="474" bestFit="1" customWidth="1"/>
    <col min="6420" max="6420" width="19.28515625" style="474" bestFit="1" customWidth="1"/>
    <col min="6421" max="6421" width="20.42578125" style="474" bestFit="1" customWidth="1"/>
    <col min="6422" max="6422" width="20.85546875" style="474" bestFit="1" customWidth="1"/>
    <col min="6423" max="6423" width="21.42578125" style="474" bestFit="1" customWidth="1"/>
    <col min="6424" max="6425" width="22.28515625" style="474" bestFit="1" customWidth="1"/>
    <col min="6426" max="6427" width="23.85546875" style="474" bestFit="1" customWidth="1"/>
    <col min="6428" max="6429" width="24.85546875" style="474" bestFit="1" customWidth="1"/>
    <col min="6430" max="6434" width="11.28515625" style="474" bestFit="1" customWidth="1"/>
    <col min="6435" max="6439" width="12.28515625" style="474" bestFit="1" customWidth="1"/>
    <col min="6440" max="6440" width="12" style="474" bestFit="1" customWidth="1"/>
    <col min="6441" max="6656" width="8.85546875" style="474"/>
    <col min="6657" max="6657" width="7.28515625" style="474" customWidth="1"/>
    <col min="6658" max="6658" width="41" style="474" customWidth="1"/>
    <col min="6659" max="6659" width="16" style="474" customWidth="1"/>
    <col min="6660" max="6660" width="16.140625" style="474" bestFit="1" customWidth="1"/>
    <col min="6661" max="6661" width="11.85546875" style="474" customWidth="1"/>
    <col min="6662" max="6662" width="12.42578125" style="474" bestFit="1" customWidth="1"/>
    <col min="6663" max="6664" width="13" style="474" bestFit="1" customWidth="1"/>
    <col min="6665" max="6665" width="12.7109375" style="474" bestFit="1" customWidth="1"/>
    <col min="6666" max="6666" width="13.42578125" style="474" bestFit="1" customWidth="1"/>
    <col min="6667" max="6667" width="13.7109375" style="474" bestFit="1" customWidth="1"/>
    <col min="6668" max="6668" width="14.5703125" style="474" bestFit="1" customWidth="1"/>
    <col min="6669" max="6669" width="14.85546875" style="474" bestFit="1" customWidth="1"/>
    <col min="6670" max="6670" width="17.140625" style="474" customWidth="1"/>
    <col min="6671" max="6671" width="16.42578125" style="474" bestFit="1" customWidth="1"/>
    <col min="6672" max="6672" width="17.140625" style="474" bestFit="1" customWidth="1"/>
    <col min="6673" max="6673" width="24.28515625" style="474" customWidth="1"/>
    <col min="6674" max="6674" width="18.28515625" style="474" bestFit="1" customWidth="1"/>
    <col min="6675" max="6675" width="18.5703125" style="474" bestFit="1" customWidth="1"/>
    <col min="6676" max="6676" width="19.28515625" style="474" bestFit="1" customWidth="1"/>
    <col min="6677" max="6677" width="20.42578125" style="474" bestFit="1" customWidth="1"/>
    <col min="6678" max="6678" width="20.85546875" style="474" bestFit="1" customWidth="1"/>
    <col min="6679" max="6679" width="21.42578125" style="474" bestFit="1" customWidth="1"/>
    <col min="6680" max="6681" width="22.28515625" style="474" bestFit="1" customWidth="1"/>
    <col min="6682" max="6683" width="23.85546875" style="474" bestFit="1" customWidth="1"/>
    <col min="6684" max="6685" width="24.85546875" style="474" bestFit="1" customWidth="1"/>
    <col min="6686" max="6690" width="11.28515625" style="474" bestFit="1" customWidth="1"/>
    <col min="6691" max="6695" width="12.28515625" style="474" bestFit="1" customWidth="1"/>
    <col min="6696" max="6696" width="12" style="474" bestFit="1" customWidth="1"/>
    <col min="6697" max="6912" width="8.85546875" style="474"/>
    <col min="6913" max="6913" width="7.28515625" style="474" customWidth="1"/>
    <col min="6914" max="6914" width="41" style="474" customWidth="1"/>
    <col min="6915" max="6915" width="16" style="474" customWidth="1"/>
    <col min="6916" max="6916" width="16.140625" style="474" bestFit="1" customWidth="1"/>
    <col min="6917" max="6917" width="11.85546875" style="474" customWidth="1"/>
    <col min="6918" max="6918" width="12.42578125" style="474" bestFit="1" customWidth="1"/>
    <col min="6919" max="6920" width="13" style="474" bestFit="1" customWidth="1"/>
    <col min="6921" max="6921" width="12.7109375" style="474" bestFit="1" customWidth="1"/>
    <col min="6922" max="6922" width="13.42578125" style="474" bestFit="1" customWidth="1"/>
    <col min="6923" max="6923" width="13.7109375" style="474" bestFit="1" customWidth="1"/>
    <col min="6924" max="6924" width="14.5703125" style="474" bestFit="1" customWidth="1"/>
    <col min="6925" max="6925" width="14.85546875" style="474" bestFit="1" customWidth="1"/>
    <col min="6926" max="6926" width="17.140625" style="474" customWidth="1"/>
    <col min="6927" max="6927" width="16.42578125" style="474" bestFit="1" customWidth="1"/>
    <col min="6928" max="6928" width="17.140625" style="474" bestFit="1" customWidth="1"/>
    <col min="6929" max="6929" width="24.28515625" style="474" customWidth="1"/>
    <col min="6930" max="6930" width="18.28515625" style="474" bestFit="1" customWidth="1"/>
    <col min="6931" max="6931" width="18.5703125" style="474" bestFit="1" customWidth="1"/>
    <col min="6932" max="6932" width="19.28515625" style="474" bestFit="1" customWidth="1"/>
    <col min="6933" max="6933" width="20.42578125" style="474" bestFit="1" customWidth="1"/>
    <col min="6934" max="6934" width="20.85546875" style="474" bestFit="1" customWidth="1"/>
    <col min="6935" max="6935" width="21.42578125" style="474" bestFit="1" customWidth="1"/>
    <col min="6936" max="6937" width="22.28515625" style="474" bestFit="1" customWidth="1"/>
    <col min="6938" max="6939" width="23.85546875" style="474" bestFit="1" customWidth="1"/>
    <col min="6940" max="6941" width="24.85546875" style="474" bestFit="1" customWidth="1"/>
    <col min="6942" max="6946" width="11.28515625" style="474" bestFit="1" customWidth="1"/>
    <col min="6947" max="6951" width="12.28515625" style="474" bestFit="1" customWidth="1"/>
    <col min="6952" max="6952" width="12" style="474" bestFit="1" customWidth="1"/>
    <col min="6953" max="7168" width="8.85546875" style="474"/>
    <col min="7169" max="7169" width="7.28515625" style="474" customWidth="1"/>
    <col min="7170" max="7170" width="41" style="474" customWidth="1"/>
    <col min="7171" max="7171" width="16" style="474" customWidth="1"/>
    <col min="7172" max="7172" width="16.140625" style="474" bestFit="1" customWidth="1"/>
    <col min="7173" max="7173" width="11.85546875" style="474" customWidth="1"/>
    <col min="7174" max="7174" width="12.42578125" style="474" bestFit="1" customWidth="1"/>
    <col min="7175" max="7176" width="13" style="474" bestFit="1" customWidth="1"/>
    <col min="7177" max="7177" width="12.7109375" style="474" bestFit="1" customWidth="1"/>
    <col min="7178" max="7178" width="13.42578125" style="474" bestFit="1" customWidth="1"/>
    <col min="7179" max="7179" width="13.7109375" style="474" bestFit="1" customWidth="1"/>
    <col min="7180" max="7180" width="14.5703125" style="474" bestFit="1" customWidth="1"/>
    <col min="7181" max="7181" width="14.85546875" style="474" bestFit="1" customWidth="1"/>
    <col min="7182" max="7182" width="17.140625" style="474" customWidth="1"/>
    <col min="7183" max="7183" width="16.42578125" style="474" bestFit="1" customWidth="1"/>
    <col min="7184" max="7184" width="17.140625" style="474" bestFit="1" customWidth="1"/>
    <col min="7185" max="7185" width="24.28515625" style="474" customWidth="1"/>
    <col min="7186" max="7186" width="18.28515625" style="474" bestFit="1" customWidth="1"/>
    <col min="7187" max="7187" width="18.5703125" style="474" bestFit="1" customWidth="1"/>
    <col min="7188" max="7188" width="19.28515625" style="474" bestFit="1" customWidth="1"/>
    <col min="7189" max="7189" width="20.42578125" style="474" bestFit="1" customWidth="1"/>
    <col min="7190" max="7190" width="20.85546875" style="474" bestFit="1" customWidth="1"/>
    <col min="7191" max="7191" width="21.42578125" style="474" bestFit="1" customWidth="1"/>
    <col min="7192" max="7193" width="22.28515625" style="474" bestFit="1" customWidth="1"/>
    <col min="7194" max="7195" width="23.85546875" style="474" bestFit="1" customWidth="1"/>
    <col min="7196" max="7197" width="24.85546875" style="474" bestFit="1" customWidth="1"/>
    <col min="7198" max="7202" width="11.28515625" style="474" bestFit="1" customWidth="1"/>
    <col min="7203" max="7207" width="12.28515625" style="474" bestFit="1" customWidth="1"/>
    <col min="7208" max="7208" width="12" style="474" bestFit="1" customWidth="1"/>
    <col min="7209" max="7424" width="8.85546875" style="474"/>
    <col min="7425" max="7425" width="7.28515625" style="474" customWidth="1"/>
    <col min="7426" max="7426" width="41" style="474" customWidth="1"/>
    <col min="7427" max="7427" width="16" style="474" customWidth="1"/>
    <col min="7428" max="7428" width="16.140625" style="474" bestFit="1" customWidth="1"/>
    <col min="7429" max="7429" width="11.85546875" style="474" customWidth="1"/>
    <col min="7430" max="7430" width="12.42578125" style="474" bestFit="1" customWidth="1"/>
    <col min="7431" max="7432" width="13" style="474" bestFit="1" customWidth="1"/>
    <col min="7433" max="7433" width="12.7109375" style="474" bestFit="1" customWidth="1"/>
    <col min="7434" max="7434" width="13.42578125" style="474" bestFit="1" customWidth="1"/>
    <col min="7435" max="7435" width="13.7109375" style="474" bestFit="1" customWidth="1"/>
    <col min="7436" max="7436" width="14.5703125" style="474" bestFit="1" customWidth="1"/>
    <col min="7437" max="7437" width="14.85546875" style="474" bestFit="1" customWidth="1"/>
    <col min="7438" max="7438" width="17.140625" style="474" customWidth="1"/>
    <col min="7439" max="7439" width="16.42578125" style="474" bestFit="1" customWidth="1"/>
    <col min="7440" max="7440" width="17.140625" style="474" bestFit="1" customWidth="1"/>
    <col min="7441" max="7441" width="24.28515625" style="474" customWidth="1"/>
    <col min="7442" max="7442" width="18.28515625" style="474" bestFit="1" customWidth="1"/>
    <col min="7443" max="7443" width="18.5703125" style="474" bestFit="1" customWidth="1"/>
    <col min="7444" max="7444" width="19.28515625" style="474" bestFit="1" customWidth="1"/>
    <col min="7445" max="7445" width="20.42578125" style="474" bestFit="1" customWidth="1"/>
    <col min="7446" max="7446" width="20.85546875" style="474" bestFit="1" customWidth="1"/>
    <col min="7447" max="7447" width="21.42578125" style="474" bestFit="1" customWidth="1"/>
    <col min="7448" max="7449" width="22.28515625" style="474" bestFit="1" customWidth="1"/>
    <col min="7450" max="7451" width="23.85546875" style="474" bestFit="1" customWidth="1"/>
    <col min="7452" max="7453" width="24.85546875" style="474" bestFit="1" customWidth="1"/>
    <col min="7454" max="7458" width="11.28515625" style="474" bestFit="1" customWidth="1"/>
    <col min="7459" max="7463" width="12.28515625" style="474" bestFit="1" customWidth="1"/>
    <col min="7464" max="7464" width="12" style="474" bestFit="1" customWidth="1"/>
    <col min="7465" max="7680" width="8.85546875" style="474"/>
    <col min="7681" max="7681" width="7.28515625" style="474" customWidth="1"/>
    <col min="7682" max="7682" width="41" style="474" customWidth="1"/>
    <col min="7683" max="7683" width="16" style="474" customWidth="1"/>
    <col min="7684" max="7684" width="16.140625" style="474" bestFit="1" customWidth="1"/>
    <col min="7685" max="7685" width="11.85546875" style="474" customWidth="1"/>
    <col min="7686" max="7686" width="12.42578125" style="474" bestFit="1" customWidth="1"/>
    <col min="7687" max="7688" width="13" style="474" bestFit="1" customWidth="1"/>
    <col min="7689" max="7689" width="12.7109375" style="474" bestFit="1" customWidth="1"/>
    <col min="7690" max="7690" width="13.42578125" style="474" bestFit="1" customWidth="1"/>
    <col min="7691" max="7691" width="13.7109375" style="474" bestFit="1" customWidth="1"/>
    <col min="7692" max="7692" width="14.5703125" style="474" bestFit="1" customWidth="1"/>
    <col min="7693" max="7693" width="14.85546875" style="474" bestFit="1" customWidth="1"/>
    <col min="7694" max="7694" width="17.140625" style="474" customWidth="1"/>
    <col min="7695" max="7695" width="16.42578125" style="474" bestFit="1" customWidth="1"/>
    <col min="7696" max="7696" width="17.140625" style="474" bestFit="1" customWidth="1"/>
    <col min="7697" max="7697" width="24.28515625" style="474" customWidth="1"/>
    <col min="7698" max="7698" width="18.28515625" style="474" bestFit="1" customWidth="1"/>
    <col min="7699" max="7699" width="18.5703125" style="474" bestFit="1" customWidth="1"/>
    <col min="7700" max="7700" width="19.28515625" style="474" bestFit="1" customWidth="1"/>
    <col min="7701" max="7701" width="20.42578125" style="474" bestFit="1" customWidth="1"/>
    <col min="7702" max="7702" width="20.85546875" style="474" bestFit="1" customWidth="1"/>
    <col min="7703" max="7703" width="21.42578125" style="474" bestFit="1" customWidth="1"/>
    <col min="7704" max="7705" width="22.28515625" style="474" bestFit="1" customWidth="1"/>
    <col min="7706" max="7707" width="23.85546875" style="474" bestFit="1" customWidth="1"/>
    <col min="7708" max="7709" width="24.85546875" style="474" bestFit="1" customWidth="1"/>
    <col min="7710" max="7714" width="11.28515625" style="474" bestFit="1" customWidth="1"/>
    <col min="7715" max="7719" width="12.28515625" style="474" bestFit="1" customWidth="1"/>
    <col min="7720" max="7720" width="12" style="474" bestFit="1" customWidth="1"/>
    <col min="7721" max="7936" width="8.85546875" style="474"/>
    <col min="7937" max="7937" width="7.28515625" style="474" customWidth="1"/>
    <col min="7938" max="7938" width="41" style="474" customWidth="1"/>
    <col min="7939" max="7939" width="16" style="474" customWidth="1"/>
    <col min="7940" max="7940" width="16.140625" style="474" bestFit="1" customWidth="1"/>
    <col min="7941" max="7941" width="11.85546875" style="474" customWidth="1"/>
    <col min="7942" max="7942" width="12.42578125" style="474" bestFit="1" customWidth="1"/>
    <col min="7943" max="7944" width="13" style="474" bestFit="1" customWidth="1"/>
    <col min="7945" max="7945" width="12.7109375" style="474" bestFit="1" customWidth="1"/>
    <col min="7946" max="7946" width="13.42578125" style="474" bestFit="1" customWidth="1"/>
    <col min="7947" max="7947" width="13.7109375" style="474" bestFit="1" customWidth="1"/>
    <col min="7948" max="7948" width="14.5703125" style="474" bestFit="1" customWidth="1"/>
    <col min="7949" max="7949" width="14.85546875" style="474" bestFit="1" customWidth="1"/>
    <col min="7950" max="7950" width="17.140625" style="474" customWidth="1"/>
    <col min="7951" max="7951" width="16.42578125" style="474" bestFit="1" customWidth="1"/>
    <col min="7952" max="7952" width="17.140625" style="474" bestFit="1" customWidth="1"/>
    <col min="7953" max="7953" width="24.28515625" style="474" customWidth="1"/>
    <col min="7954" max="7954" width="18.28515625" style="474" bestFit="1" customWidth="1"/>
    <col min="7955" max="7955" width="18.5703125" style="474" bestFit="1" customWidth="1"/>
    <col min="7956" max="7956" width="19.28515625" style="474" bestFit="1" customWidth="1"/>
    <col min="7957" max="7957" width="20.42578125" style="474" bestFit="1" customWidth="1"/>
    <col min="7958" max="7958" width="20.85546875" style="474" bestFit="1" customWidth="1"/>
    <col min="7959" max="7959" width="21.42578125" style="474" bestFit="1" customWidth="1"/>
    <col min="7960" max="7961" width="22.28515625" style="474" bestFit="1" customWidth="1"/>
    <col min="7962" max="7963" width="23.85546875" style="474" bestFit="1" customWidth="1"/>
    <col min="7964" max="7965" width="24.85546875" style="474" bestFit="1" customWidth="1"/>
    <col min="7966" max="7970" width="11.28515625" style="474" bestFit="1" customWidth="1"/>
    <col min="7971" max="7975" width="12.28515625" style="474" bestFit="1" customWidth="1"/>
    <col min="7976" max="7976" width="12" style="474" bestFit="1" customWidth="1"/>
    <col min="7977" max="8192" width="8.85546875" style="474"/>
    <col min="8193" max="8193" width="7.28515625" style="474" customWidth="1"/>
    <col min="8194" max="8194" width="41" style="474" customWidth="1"/>
    <col min="8195" max="8195" width="16" style="474" customWidth="1"/>
    <col min="8196" max="8196" width="16.140625" style="474" bestFit="1" customWidth="1"/>
    <col min="8197" max="8197" width="11.85546875" style="474" customWidth="1"/>
    <col min="8198" max="8198" width="12.42578125" style="474" bestFit="1" customWidth="1"/>
    <col min="8199" max="8200" width="13" style="474" bestFit="1" customWidth="1"/>
    <col min="8201" max="8201" width="12.7109375" style="474" bestFit="1" customWidth="1"/>
    <col min="8202" max="8202" width="13.42578125" style="474" bestFit="1" customWidth="1"/>
    <col min="8203" max="8203" width="13.7109375" style="474" bestFit="1" customWidth="1"/>
    <col min="8204" max="8204" width="14.5703125" style="474" bestFit="1" customWidth="1"/>
    <col min="8205" max="8205" width="14.85546875" style="474" bestFit="1" customWidth="1"/>
    <col min="8206" max="8206" width="17.140625" style="474" customWidth="1"/>
    <col min="8207" max="8207" width="16.42578125" style="474" bestFit="1" customWidth="1"/>
    <col min="8208" max="8208" width="17.140625" style="474" bestFit="1" customWidth="1"/>
    <col min="8209" max="8209" width="24.28515625" style="474" customWidth="1"/>
    <col min="8210" max="8210" width="18.28515625" style="474" bestFit="1" customWidth="1"/>
    <col min="8211" max="8211" width="18.5703125" style="474" bestFit="1" customWidth="1"/>
    <col min="8212" max="8212" width="19.28515625" style="474" bestFit="1" customWidth="1"/>
    <col min="8213" max="8213" width="20.42578125" style="474" bestFit="1" customWidth="1"/>
    <col min="8214" max="8214" width="20.85546875" style="474" bestFit="1" customWidth="1"/>
    <col min="8215" max="8215" width="21.42578125" style="474" bestFit="1" customWidth="1"/>
    <col min="8216" max="8217" width="22.28515625" style="474" bestFit="1" customWidth="1"/>
    <col min="8218" max="8219" width="23.85546875" style="474" bestFit="1" customWidth="1"/>
    <col min="8220" max="8221" width="24.85546875" style="474" bestFit="1" customWidth="1"/>
    <col min="8222" max="8226" width="11.28515625" style="474" bestFit="1" customWidth="1"/>
    <col min="8227" max="8231" width="12.28515625" style="474" bestFit="1" customWidth="1"/>
    <col min="8232" max="8232" width="12" style="474" bestFit="1" customWidth="1"/>
    <col min="8233" max="8448" width="8.85546875" style="474"/>
    <col min="8449" max="8449" width="7.28515625" style="474" customWidth="1"/>
    <col min="8450" max="8450" width="41" style="474" customWidth="1"/>
    <col min="8451" max="8451" width="16" style="474" customWidth="1"/>
    <col min="8452" max="8452" width="16.140625" style="474" bestFit="1" customWidth="1"/>
    <col min="8453" max="8453" width="11.85546875" style="474" customWidth="1"/>
    <col min="8454" max="8454" width="12.42578125" style="474" bestFit="1" customWidth="1"/>
    <col min="8455" max="8456" width="13" style="474" bestFit="1" customWidth="1"/>
    <col min="8457" max="8457" width="12.7109375" style="474" bestFit="1" customWidth="1"/>
    <col min="8458" max="8458" width="13.42578125" style="474" bestFit="1" customWidth="1"/>
    <col min="8459" max="8459" width="13.7109375" style="474" bestFit="1" customWidth="1"/>
    <col min="8460" max="8460" width="14.5703125" style="474" bestFit="1" customWidth="1"/>
    <col min="8461" max="8461" width="14.85546875" style="474" bestFit="1" customWidth="1"/>
    <col min="8462" max="8462" width="17.140625" style="474" customWidth="1"/>
    <col min="8463" max="8463" width="16.42578125" style="474" bestFit="1" customWidth="1"/>
    <col min="8464" max="8464" width="17.140625" style="474" bestFit="1" customWidth="1"/>
    <col min="8465" max="8465" width="24.28515625" style="474" customWidth="1"/>
    <col min="8466" max="8466" width="18.28515625" style="474" bestFit="1" customWidth="1"/>
    <col min="8467" max="8467" width="18.5703125" style="474" bestFit="1" customWidth="1"/>
    <col min="8468" max="8468" width="19.28515625" style="474" bestFit="1" customWidth="1"/>
    <col min="8469" max="8469" width="20.42578125" style="474" bestFit="1" customWidth="1"/>
    <col min="8470" max="8470" width="20.85546875" style="474" bestFit="1" customWidth="1"/>
    <col min="8471" max="8471" width="21.42578125" style="474" bestFit="1" customWidth="1"/>
    <col min="8472" max="8473" width="22.28515625" style="474" bestFit="1" customWidth="1"/>
    <col min="8474" max="8475" width="23.85546875" style="474" bestFit="1" customWidth="1"/>
    <col min="8476" max="8477" width="24.85546875" style="474" bestFit="1" customWidth="1"/>
    <col min="8478" max="8482" width="11.28515625" style="474" bestFit="1" customWidth="1"/>
    <col min="8483" max="8487" width="12.28515625" style="474" bestFit="1" customWidth="1"/>
    <col min="8488" max="8488" width="12" style="474" bestFit="1" customWidth="1"/>
    <col min="8489" max="8704" width="8.85546875" style="474"/>
    <col min="8705" max="8705" width="7.28515625" style="474" customWidth="1"/>
    <col min="8706" max="8706" width="41" style="474" customWidth="1"/>
    <col min="8707" max="8707" width="16" style="474" customWidth="1"/>
    <col min="8708" max="8708" width="16.140625" style="474" bestFit="1" customWidth="1"/>
    <col min="8709" max="8709" width="11.85546875" style="474" customWidth="1"/>
    <col min="8710" max="8710" width="12.42578125" style="474" bestFit="1" customWidth="1"/>
    <col min="8711" max="8712" width="13" style="474" bestFit="1" customWidth="1"/>
    <col min="8713" max="8713" width="12.7109375" style="474" bestFit="1" customWidth="1"/>
    <col min="8714" max="8714" width="13.42578125" style="474" bestFit="1" customWidth="1"/>
    <col min="8715" max="8715" width="13.7109375" style="474" bestFit="1" customWidth="1"/>
    <col min="8716" max="8716" width="14.5703125" style="474" bestFit="1" customWidth="1"/>
    <col min="8717" max="8717" width="14.85546875" style="474" bestFit="1" customWidth="1"/>
    <col min="8718" max="8718" width="17.140625" style="474" customWidth="1"/>
    <col min="8719" max="8719" width="16.42578125" style="474" bestFit="1" customWidth="1"/>
    <col min="8720" max="8720" width="17.140625" style="474" bestFit="1" customWidth="1"/>
    <col min="8721" max="8721" width="24.28515625" style="474" customWidth="1"/>
    <col min="8722" max="8722" width="18.28515625" style="474" bestFit="1" customWidth="1"/>
    <col min="8723" max="8723" width="18.5703125" style="474" bestFit="1" customWidth="1"/>
    <col min="8724" max="8724" width="19.28515625" style="474" bestFit="1" customWidth="1"/>
    <col min="8725" max="8725" width="20.42578125" style="474" bestFit="1" customWidth="1"/>
    <col min="8726" max="8726" width="20.85546875" style="474" bestFit="1" customWidth="1"/>
    <col min="8727" max="8727" width="21.42578125" style="474" bestFit="1" customWidth="1"/>
    <col min="8728" max="8729" width="22.28515625" style="474" bestFit="1" customWidth="1"/>
    <col min="8730" max="8731" width="23.85546875" style="474" bestFit="1" customWidth="1"/>
    <col min="8732" max="8733" width="24.85546875" style="474" bestFit="1" customWidth="1"/>
    <col min="8734" max="8738" width="11.28515625" style="474" bestFit="1" customWidth="1"/>
    <col min="8739" max="8743" width="12.28515625" style="474" bestFit="1" customWidth="1"/>
    <col min="8744" max="8744" width="12" style="474" bestFit="1" customWidth="1"/>
    <col min="8745" max="8960" width="8.85546875" style="474"/>
    <col min="8961" max="8961" width="7.28515625" style="474" customWidth="1"/>
    <col min="8962" max="8962" width="41" style="474" customWidth="1"/>
    <col min="8963" max="8963" width="16" style="474" customWidth="1"/>
    <col min="8964" max="8964" width="16.140625" style="474" bestFit="1" customWidth="1"/>
    <col min="8965" max="8965" width="11.85546875" style="474" customWidth="1"/>
    <col min="8966" max="8966" width="12.42578125" style="474" bestFit="1" customWidth="1"/>
    <col min="8967" max="8968" width="13" style="474" bestFit="1" customWidth="1"/>
    <col min="8969" max="8969" width="12.7109375" style="474" bestFit="1" customWidth="1"/>
    <col min="8970" max="8970" width="13.42578125" style="474" bestFit="1" customWidth="1"/>
    <col min="8971" max="8971" width="13.7109375" style="474" bestFit="1" customWidth="1"/>
    <col min="8972" max="8972" width="14.5703125" style="474" bestFit="1" customWidth="1"/>
    <col min="8973" max="8973" width="14.85546875" style="474" bestFit="1" customWidth="1"/>
    <col min="8974" max="8974" width="17.140625" style="474" customWidth="1"/>
    <col min="8975" max="8975" width="16.42578125" style="474" bestFit="1" customWidth="1"/>
    <col min="8976" max="8976" width="17.140625" style="474" bestFit="1" customWidth="1"/>
    <col min="8977" max="8977" width="24.28515625" style="474" customWidth="1"/>
    <col min="8978" max="8978" width="18.28515625" style="474" bestFit="1" customWidth="1"/>
    <col min="8979" max="8979" width="18.5703125" style="474" bestFit="1" customWidth="1"/>
    <col min="8980" max="8980" width="19.28515625" style="474" bestFit="1" customWidth="1"/>
    <col min="8981" max="8981" width="20.42578125" style="474" bestFit="1" customWidth="1"/>
    <col min="8982" max="8982" width="20.85546875" style="474" bestFit="1" customWidth="1"/>
    <col min="8983" max="8983" width="21.42578125" style="474" bestFit="1" customWidth="1"/>
    <col min="8984" max="8985" width="22.28515625" style="474" bestFit="1" customWidth="1"/>
    <col min="8986" max="8987" width="23.85546875" style="474" bestFit="1" customWidth="1"/>
    <col min="8988" max="8989" width="24.85546875" style="474" bestFit="1" customWidth="1"/>
    <col min="8990" max="8994" width="11.28515625" style="474" bestFit="1" customWidth="1"/>
    <col min="8995" max="8999" width="12.28515625" style="474" bestFit="1" customWidth="1"/>
    <col min="9000" max="9000" width="12" style="474" bestFit="1" customWidth="1"/>
    <col min="9001" max="9216" width="8.85546875" style="474"/>
    <col min="9217" max="9217" width="7.28515625" style="474" customWidth="1"/>
    <col min="9218" max="9218" width="41" style="474" customWidth="1"/>
    <col min="9219" max="9219" width="16" style="474" customWidth="1"/>
    <col min="9220" max="9220" width="16.140625" style="474" bestFit="1" customWidth="1"/>
    <col min="9221" max="9221" width="11.85546875" style="474" customWidth="1"/>
    <col min="9222" max="9222" width="12.42578125" style="474" bestFit="1" customWidth="1"/>
    <col min="9223" max="9224" width="13" style="474" bestFit="1" customWidth="1"/>
    <col min="9225" max="9225" width="12.7109375" style="474" bestFit="1" customWidth="1"/>
    <col min="9226" max="9226" width="13.42578125" style="474" bestFit="1" customWidth="1"/>
    <col min="9227" max="9227" width="13.7109375" style="474" bestFit="1" customWidth="1"/>
    <col min="9228" max="9228" width="14.5703125" style="474" bestFit="1" customWidth="1"/>
    <col min="9229" max="9229" width="14.85546875" style="474" bestFit="1" customWidth="1"/>
    <col min="9230" max="9230" width="17.140625" style="474" customWidth="1"/>
    <col min="9231" max="9231" width="16.42578125" style="474" bestFit="1" customWidth="1"/>
    <col min="9232" max="9232" width="17.140625" style="474" bestFit="1" customWidth="1"/>
    <col min="9233" max="9233" width="24.28515625" style="474" customWidth="1"/>
    <col min="9234" max="9234" width="18.28515625" style="474" bestFit="1" customWidth="1"/>
    <col min="9235" max="9235" width="18.5703125" style="474" bestFit="1" customWidth="1"/>
    <col min="9236" max="9236" width="19.28515625" style="474" bestFit="1" customWidth="1"/>
    <col min="9237" max="9237" width="20.42578125" style="474" bestFit="1" customWidth="1"/>
    <col min="9238" max="9238" width="20.85546875" style="474" bestFit="1" customWidth="1"/>
    <col min="9239" max="9239" width="21.42578125" style="474" bestFit="1" customWidth="1"/>
    <col min="9240" max="9241" width="22.28515625" style="474" bestFit="1" customWidth="1"/>
    <col min="9242" max="9243" width="23.85546875" style="474" bestFit="1" customWidth="1"/>
    <col min="9244" max="9245" width="24.85546875" style="474" bestFit="1" customWidth="1"/>
    <col min="9246" max="9250" width="11.28515625" style="474" bestFit="1" customWidth="1"/>
    <col min="9251" max="9255" width="12.28515625" style="474" bestFit="1" customWidth="1"/>
    <col min="9256" max="9256" width="12" style="474" bestFit="1" customWidth="1"/>
    <col min="9257" max="9472" width="8.85546875" style="474"/>
    <col min="9473" max="9473" width="7.28515625" style="474" customWidth="1"/>
    <col min="9474" max="9474" width="41" style="474" customWidth="1"/>
    <col min="9475" max="9475" width="16" style="474" customWidth="1"/>
    <col min="9476" max="9476" width="16.140625" style="474" bestFit="1" customWidth="1"/>
    <col min="9477" max="9477" width="11.85546875" style="474" customWidth="1"/>
    <col min="9478" max="9478" width="12.42578125" style="474" bestFit="1" customWidth="1"/>
    <col min="9479" max="9480" width="13" style="474" bestFit="1" customWidth="1"/>
    <col min="9481" max="9481" width="12.7109375" style="474" bestFit="1" customWidth="1"/>
    <col min="9482" max="9482" width="13.42578125" style="474" bestFit="1" customWidth="1"/>
    <col min="9483" max="9483" width="13.7109375" style="474" bestFit="1" customWidth="1"/>
    <col min="9484" max="9484" width="14.5703125" style="474" bestFit="1" customWidth="1"/>
    <col min="9485" max="9485" width="14.85546875" style="474" bestFit="1" customWidth="1"/>
    <col min="9486" max="9486" width="17.140625" style="474" customWidth="1"/>
    <col min="9487" max="9487" width="16.42578125" style="474" bestFit="1" customWidth="1"/>
    <col min="9488" max="9488" width="17.140625" style="474" bestFit="1" customWidth="1"/>
    <col min="9489" max="9489" width="24.28515625" style="474" customWidth="1"/>
    <col min="9490" max="9490" width="18.28515625" style="474" bestFit="1" customWidth="1"/>
    <col min="9491" max="9491" width="18.5703125" style="474" bestFit="1" customWidth="1"/>
    <col min="9492" max="9492" width="19.28515625" style="474" bestFit="1" customWidth="1"/>
    <col min="9493" max="9493" width="20.42578125" style="474" bestFit="1" customWidth="1"/>
    <col min="9494" max="9494" width="20.85546875" style="474" bestFit="1" customWidth="1"/>
    <col min="9495" max="9495" width="21.42578125" style="474" bestFit="1" customWidth="1"/>
    <col min="9496" max="9497" width="22.28515625" style="474" bestFit="1" customWidth="1"/>
    <col min="9498" max="9499" width="23.85546875" style="474" bestFit="1" customWidth="1"/>
    <col min="9500" max="9501" width="24.85546875" style="474" bestFit="1" customWidth="1"/>
    <col min="9502" max="9506" width="11.28515625" style="474" bestFit="1" customWidth="1"/>
    <col min="9507" max="9511" width="12.28515625" style="474" bestFit="1" customWidth="1"/>
    <col min="9512" max="9512" width="12" style="474" bestFit="1" customWidth="1"/>
    <col min="9513" max="9728" width="8.85546875" style="474"/>
    <col min="9729" max="9729" width="7.28515625" style="474" customWidth="1"/>
    <col min="9730" max="9730" width="41" style="474" customWidth="1"/>
    <col min="9731" max="9731" width="16" style="474" customWidth="1"/>
    <col min="9732" max="9732" width="16.140625" style="474" bestFit="1" customWidth="1"/>
    <col min="9733" max="9733" width="11.85546875" style="474" customWidth="1"/>
    <col min="9734" max="9734" width="12.42578125" style="474" bestFit="1" customWidth="1"/>
    <col min="9735" max="9736" width="13" style="474" bestFit="1" customWidth="1"/>
    <col min="9737" max="9737" width="12.7109375" style="474" bestFit="1" customWidth="1"/>
    <col min="9738" max="9738" width="13.42578125" style="474" bestFit="1" customWidth="1"/>
    <col min="9739" max="9739" width="13.7109375" style="474" bestFit="1" customWidth="1"/>
    <col min="9740" max="9740" width="14.5703125" style="474" bestFit="1" customWidth="1"/>
    <col min="9741" max="9741" width="14.85546875" style="474" bestFit="1" customWidth="1"/>
    <col min="9742" max="9742" width="17.140625" style="474" customWidth="1"/>
    <col min="9743" max="9743" width="16.42578125" style="474" bestFit="1" customWidth="1"/>
    <col min="9744" max="9744" width="17.140625" style="474" bestFit="1" customWidth="1"/>
    <col min="9745" max="9745" width="24.28515625" style="474" customWidth="1"/>
    <col min="9746" max="9746" width="18.28515625" style="474" bestFit="1" customWidth="1"/>
    <col min="9747" max="9747" width="18.5703125" style="474" bestFit="1" customWidth="1"/>
    <col min="9748" max="9748" width="19.28515625" style="474" bestFit="1" customWidth="1"/>
    <col min="9749" max="9749" width="20.42578125" style="474" bestFit="1" customWidth="1"/>
    <col min="9750" max="9750" width="20.85546875" style="474" bestFit="1" customWidth="1"/>
    <col min="9751" max="9751" width="21.42578125" style="474" bestFit="1" customWidth="1"/>
    <col min="9752" max="9753" width="22.28515625" style="474" bestFit="1" customWidth="1"/>
    <col min="9754" max="9755" width="23.85546875" style="474" bestFit="1" customWidth="1"/>
    <col min="9756" max="9757" width="24.85546875" style="474" bestFit="1" customWidth="1"/>
    <col min="9758" max="9762" width="11.28515625" style="474" bestFit="1" customWidth="1"/>
    <col min="9763" max="9767" width="12.28515625" style="474" bestFit="1" customWidth="1"/>
    <col min="9768" max="9768" width="12" style="474" bestFit="1" customWidth="1"/>
    <col min="9769" max="9984" width="8.85546875" style="474"/>
    <col min="9985" max="9985" width="7.28515625" style="474" customWidth="1"/>
    <col min="9986" max="9986" width="41" style="474" customWidth="1"/>
    <col min="9987" max="9987" width="16" style="474" customWidth="1"/>
    <col min="9988" max="9988" width="16.140625" style="474" bestFit="1" customWidth="1"/>
    <col min="9989" max="9989" width="11.85546875" style="474" customWidth="1"/>
    <col min="9990" max="9990" width="12.42578125" style="474" bestFit="1" customWidth="1"/>
    <col min="9991" max="9992" width="13" style="474" bestFit="1" customWidth="1"/>
    <col min="9993" max="9993" width="12.7109375" style="474" bestFit="1" customWidth="1"/>
    <col min="9994" max="9994" width="13.42578125" style="474" bestFit="1" customWidth="1"/>
    <col min="9995" max="9995" width="13.7109375" style="474" bestFit="1" customWidth="1"/>
    <col min="9996" max="9996" width="14.5703125" style="474" bestFit="1" customWidth="1"/>
    <col min="9997" max="9997" width="14.85546875" style="474" bestFit="1" customWidth="1"/>
    <col min="9998" max="9998" width="17.140625" style="474" customWidth="1"/>
    <col min="9999" max="9999" width="16.42578125" style="474" bestFit="1" customWidth="1"/>
    <col min="10000" max="10000" width="17.140625" style="474" bestFit="1" customWidth="1"/>
    <col min="10001" max="10001" width="24.28515625" style="474" customWidth="1"/>
    <col min="10002" max="10002" width="18.28515625" style="474" bestFit="1" customWidth="1"/>
    <col min="10003" max="10003" width="18.5703125" style="474" bestFit="1" customWidth="1"/>
    <col min="10004" max="10004" width="19.28515625" style="474" bestFit="1" customWidth="1"/>
    <col min="10005" max="10005" width="20.42578125" style="474" bestFit="1" customWidth="1"/>
    <col min="10006" max="10006" width="20.85546875" style="474" bestFit="1" customWidth="1"/>
    <col min="10007" max="10007" width="21.42578125" style="474" bestFit="1" customWidth="1"/>
    <col min="10008" max="10009" width="22.28515625" style="474" bestFit="1" customWidth="1"/>
    <col min="10010" max="10011" width="23.85546875" style="474" bestFit="1" customWidth="1"/>
    <col min="10012" max="10013" width="24.85546875" style="474" bestFit="1" customWidth="1"/>
    <col min="10014" max="10018" width="11.28515625" style="474" bestFit="1" customWidth="1"/>
    <col min="10019" max="10023" width="12.28515625" style="474" bestFit="1" customWidth="1"/>
    <col min="10024" max="10024" width="12" style="474" bestFit="1" customWidth="1"/>
    <col min="10025" max="10240" width="8.85546875" style="474"/>
    <col min="10241" max="10241" width="7.28515625" style="474" customWidth="1"/>
    <col min="10242" max="10242" width="41" style="474" customWidth="1"/>
    <col min="10243" max="10243" width="16" style="474" customWidth="1"/>
    <col min="10244" max="10244" width="16.140625" style="474" bestFit="1" customWidth="1"/>
    <col min="10245" max="10245" width="11.85546875" style="474" customWidth="1"/>
    <col min="10246" max="10246" width="12.42578125" style="474" bestFit="1" customWidth="1"/>
    <col min="10247" max="10248" width="13" style="474" bestFit="1" customWidth="1"/>
    <col min="10249" max="10249" width="12.7109375" style="474" bestFit="1" customWidth="1"/>
    <col min="10250" max="10250" width="13.42578125" style="474" bestFit="1" customWidth="1"/>
    <col min="10251" max="10251" width="13.7109375" style="474" bestFit="1" customWidth="1"/>
    <col min="10252" max="10252" width="14.5703125" style="474" bestFit="1" customWidth="1"/>
    <col min="10253" max="10253" width="14.85546875" style="474" bestFit="1" customWidth="1"/>
    <col min="10254" max="10254" width="17.140625" style="474" customWidth="1"/>
    <col min="10255" max="10255" width="16.42578125" style="474" bestFit="1" customWidth="1"/>
    <col min="10256" max="10256" width="17.140625" style="474" bestFit="1" customWidth="1"/>
    <col min="10257" max="10257" width="24.28515625" style="474" customWidth="1"/>
    <col min="10258" max="10258" width="18.28515625" style="474" bestFit="1" customWidth="1"/>
    <col min="10259" max="10259" width="18.5703125" style="474" bestFit="1" customWidth="1"/>
    <col min="10260" max="10260" width="19.28515625" style="474" bestFit="1" customWidth="1"/>
    <col min="10261" max="10261" width="20.42578125" style="474" bestFit="1" customWidth="1"/>
    <col min="10262" max="10262" width="20.85546875" style="474" bestFit="1" customWidth="1"/>
    <col min="10263" max="10263" width="21.42578125" style="474" bestFit="1" customWidth="1"/>
    <col min="10264" max="10265" width="22.28515625" style="474" bestFit="1" customWidth="1"/>
    <col min="10266" max="10267" width="23.85546875" style="474" bestFit="1" customWidth="1"/>
    <col min="10268" max="10269" width="24.85546875" style="474" bestFit="1" customWidth="1"/>
    <col min="10270" max="10274" width="11.28515625" style="474" bestFit="1" customWidth="1"/>
    <col min="10275" max="10279" width="12.28515625" style="474" bestFit="1" customWidth="1"/>
    <col min="10280" max="10280" width="12" style="474" bestFit="1" customWidth="1"/>
    <col min="10281" max="10496" width="8.85546875" style="474"/>
    <col min="10497" max="10497" width="7.28515625" style="474" customWidth="1"/>
    <col min="10498" max="10498" width="41" style="474" customWidth="1"/>
    <col min="10499" max="10499" width="16" style="474" customWidth="1"/>
    <col min="10500" max="10500" width="16.140625" style="474" bestFit="1" customWidth="1"/>
    <col min="10501" max="10501" width="11.85546875" style="474" customWidth="1"/>
    <col min="10502" max="10502" width="12.42578125" style="474" bestFit="1" customWidth="1"/>
    <col min="10503" max="10504" width="13" style="474" bestFit="1" customWidth="1"/>
    <col min="10505" max="10505" width="12.7109375" style="474" bestFit="1" customWidth="1"/>
    <col min="10506" max="10506" width="13.42578125" style="474" bestFit="1" customWidth="1"/>
    <col min="10507" max="10507" width="13.7109375" style="474" bestFit="1" customWidth="1"/>
    <col min="10508" max="10508" width="14.5703125" style="474" bestFit="1" customWidth="1"/>
    <col min="10509" max="10509" width="14.85546875" style="474" bestFit="1" customWidth="1"/>
    <col min="10510" max="10510" width="17.140625" style="474" customWidth="1"/>
    <col min="10511" max="10511" width="16.42578125" style="474" bestFit="1" customWidth="1"/>
    <col min="10512" max="10512" width="17.140625" style="474" bestFit="1" customWidth="1"/>
    <col min="10513" max="10513" width="24.28515625" style="474" customWidth="1"/>
    <col min="10514" max="10514" width="18.28515625" style="474" bestFit="1" customWidth="1"/>
    <col min="10515" max="10515" width="18.5703125" style="474" bestFit="1" customWidth="1"/>
    <col min="10516" max="10516" width="19.28515625" style="474" bestFit="1" customWidth="1"/>
    <col min="10517" max="10517" width="20.42578125" style="474" bestFit="1" customWidth="1"/>
    <col min="10518" max="10518" width="20.85546875" style="474" bestFit="1" customWidth="1"/>
    <col min="10519" max="10519" width="21.42578125" style="474" bestFit="1" customWidth="1"/>
    <col min="10520" max="10521" width="22.28515625" style="474" bestFit="1" customWidth="1"/>
    <col min="10522" max="10523" width="23.85546875" style="474" bestFit="1" customWidth="1"/>
    <col min="10524" max="10525" width="24.85546875" style="474" bestFit="1" customWidth="1"/>
    <col min="10526" max="10530" width="11.28515625" style="474" bestFit="1" customWidth="1"/>
    <col min="10531" max="10535" width="12.28515625" style="474" bestFit="1" customWidth="1"/>
    <col min="10536" max="10536" width="12" style="474" bestFit="1" customWidth="1"/>
    <col min="10537" max="10752" width="8.85546875" style="474"/>
    <col min="10753" max="10753" width="7.28515625" style="474" customWidth="1"/>
    <col min="10754" max="10754" width="41" style="474" customWidth="1"/>
    <col min="10755" max="10755" width="16" style="474" customWidth="1"/>
    <col min="10756" max="10756" width="16.140625" style="474" bestFit="1" customWidth="1"/>
    <col min="10757" max="10757" width="11.85546875" style="474" customWidth="1"/>
    <col min="10758" max="10758" width="12.42578125" style="474" bestFit="1" customWidth="1"/>
    <col min="10759" max="10760" width="13" style="474" bestFit="1" customWidth="1"/>
    <col min="10761" max="10761" width="12.7109375" style="474" bestFit="1" customWidth="1"/>
    <col min="10762" max="10762" width="13.42578125" style="474" bestFit="1" customWidth="1"/>
    <col min="10763" max="10763" width="13.7109375" style="474" bestFit="1" customWidth="1"/>
    <col min="10764" max="10764" width="14.5703125" style="474" bestFit="1" customWidth="1"/>
    <col min="10765" max="10765" width="14.85546875" style="474" bestFit="1" customWidth="1"/>
    <col min="10766" max="10766" width="17.140625" style="474" customWidth="1"/>
    <col min="10767" max="10767" width="16.42578125" style="474" bestFit="1" customWidth="1"/>
    <col min="10768" max="10768" width="17.140625" style="474" bestFit="1" customWidth="1"/>
    <col min="10769" max="10769" width="24.28515625" style="474" customWidth="1"/>
    <col min="10770" max="10770" width="18.28515625" style="474" bestFit="1" customWidth="1"/>
    <col min="10771" max="10771" width="18.5703125" style="474" bestFit="1" customWidth="1"/>
    <col min="10772" max="10772" width="19.28515625" style="474" bestFit="1" customWidth="1"/>
    <col min="10773" max="10773" width="20.42578125" style="474" bestFit="1" customWidth="1"/>
    <col min="10774" max="10774" width="20.85546875" style="474" bestFit="1" customWidth="1"/>
    <col min="10775" max="10775" width="21.42578125" style="474" bestFit="1" customWidth="1"/>
    <col min="10776" max="10777" width="22.28515625" style="474" bestFit="1" customWidth="1"/>
    <col min="10778" max="10779" width="23.85546875" style="474" bestFit="1" customWidth="1"/>
    <col min="10780" max="10781" width="24.85546875" style="474" bestFit="1" customWidth="1"/>
    <col min="10782" max="10786" width="11.28515625" style="474" bestFit="1" customWidth="1"/>
    <col min="10787" max="10791" width="12.28515625" style="474" bestFit="1" customWidth="1"/>
    <col min="10792" max="10792" width="12" style="474" bestFit="1" customWidth="1"/>
    <col min="10793" max="11008" width="8.85546875" style="474"/>
    <col min="11009" max="11009" width="7.28515625" style="474" customWidth="1"/>
    <col min="11010" max="11010" width="41" style="474" customWidth="1"/>
    <col min="11011" max="11011" width="16" style="474" customWidth="1"/>
    <col min="11012" max="11012" width="16.140625" style="474" bestFit="1" customWidth="1"/>
    <col min="11013" max="11013" width="11.85546875" style="474" customWidth="1"/>
    <col min="11014" max="11014" width="12.42578125" style="474" bestFit="1" customWidth="1"/>
    <col min="11015" max="11016" width="13" style="474" bestFit="1" customWidth="1"/>
    <col min="11017" max="11017" width="12.7109375" style="474" bestFit="1" customWidth="1"/>
    <col min="11018" max="11018" width="13.42578125" style="474" bestFit="1" customWidth="1"/>
    <col min="11019" max="11019" width="13.7109375" style="474" bestFit="1" customWidth="1"/>
    <col min="11020" max="11020" width="14.5703125" style="474" bestFit="1" customWidth="1"/>
    <col min="11021" max="11021" width="14.85546875" style="474" bestFit="1" customWidth="1"/>
    <col min="11022" max="11022" width="17.140625" style="474" customWidth="1"/>
    <col min="11023" max="11023" width="16.42578125" style="474" bestFit="1" customWidth="1"/>
    <col min="11024" max="11024" width="17.140625" style="474" bestFit="1" customWidth="1"/>
    <col min="11025" max="11025" width="24.28515625" style="474" customWidth="1"/>
    <col min="11026" max="11026" width="18.28515625" style="474" bestFit="1" customWidth="1"/>
    <col min="11027" max="11027" width="18.5703125" style="474" bestFit="1" customWidth="1"/>
    <col min="11028" max="11028" width="19.28515625" style="474" bestFit="1" customWidth="1"/>
    <col min="11029" max="11029" width="20.42578125" style="474" bestFit="1" customWidth="1"/>
    <col min="11030" max="11030" width="20.85546875" style="474" bestFit="1" customWidth="1"/>
    <col min="11031" max="11031" width="21.42578125" style="474" bestFit="1" customWidth="1"/>
    <col min="11032" max="11033" width="22.28515625" style="474" bestFit="1" customWidth="1"/>
    <col min="11034" max="11035" width="23.85546875" style="474" bestFit="1" customWidth="1"/>
    <col min="11036" max="11037" width="24.85546875" style="474" bestFit="1" customWidth="1"/>
    <col min="11038" max="11042" width="11.28515625" style="474" bestFit="1" customWidth="1"/>
    <col min="11043" max="11047" width="12.28515625" style="474" bestFit="1" customWidth="1"/>
    <col min="11048" max="11048" width="12" style="474" bestFit="1" customWidth="1"/>
    <col min="11049" max="11264" width="8.85546875" style="474"/>
    <col min="11265" max="11265" width="7.28515625" style="474" customWidth="1"/>
    <col min="11266" max="11266" width="41" style="474" customWidth="1"/>
    <col min="11267" max="11267" width="16" style="474" customWidth="1"/>
    <col min="11268" max="11268" width="16.140625" style="474" bestFit="1" customWidth="1"/>
    <col min="11269" max="11269" width="11.85546875" style="474" customWidth="1"/>
    <col min="11270" max="11270" width="12.42578125" style="474" bestFit="1" customWidth="1"/>
    <col min="11271" max="11272" width="13" style="474" bestFit="1" customWidth="1"/>
    <col min="11273" max="11273" width="12.7109375" style="474" bestFit="1" customWidth="1"/>
    <col min="11274" max="11274" width="13.42578125" style="474" bestFit="1" customWidth="1"/>
    <col min="11275" max="11275" width="13.7109375" style="474" bestFit="1" customWidth="1"/>
    <col min="11276" max="11276" width="14.5703125" style="474" bestFit="1" customWidth="1"/>
    <col min="11277" max="11277" width="14.85546875" style="474" bestFit="1" customWidth="1"/>
    <col min="11278" max="11278" width="17.140625" style="474" customWidth="1"/>
    <col min="11279" max="11279" width="16.42578125" style="474" bestFit="1" customWidth="1"/>
    <col min="11280" max="11280" width="17.140625" style="474" bestFit="1" customWidth="1"/>
    <col min="11281" max="11281" width="24.28515625" style="474" customWidth="1"/>
    <col min="11282" max="11282" width="18.28515625" style="474" bestFit="1" customWidth="1"/>
    <col min="11283" max="11283" width="18.5703125" style="474" bestFit="1" customWidth="1"/>
    <col min="11284" max="11284" width="19.28515625" style="474" bestFit="1" customWidth="1"/>
    <col min="11285" max="11285" width="20.42578125" style="474" bestFit="1" customWidth="1"/>
    <col min="11286" max="11286" width="20.85546875" style="474" bestFit="1" customWidth="1"/>
    <col min="11287" max="11287" width="21.42578125" style="474" bestFit="1" customWidth="1"/>
    <col min="11288" max="11289" width="22.28515625" style="474" bestFit="1" customWidth="1"/>
    <col min="11290" max="11291" width="23.85546875" style="474" bestFit="1" customWidth="1"/>
    <col min="11292" max="11293" width="24.85546875" style="474" bestFit="1" customWidth="1"/>
    <col min="11294" max="11298" width="11.28515625" style="474" bestFit="1" customWidth="1"/>
    <col min="11299" max="11303" width="12.28515625" style="474" bestFit="1" customWidth="1"/>
    <col min="11304" max="11304" width="12" style="474" bestFit="1" customWidth="1"/>
    <col min="11305" max="11520" width="8.85546875" style="474"/>
    <col min="11521" max="11521" width="7.28515625" style="474" customWidth="1"/>
    <col min="11522" max="11522" width="41" style="474" customWidth="1"/>
    <col min="11523" max="11523" width="16" style="474" customWidth="1"/>
    <col min="11524" max="11524" width="16.140625" style="474" bestFit="1" customWidth="1"/>
    <col min="11525" max="11525" width="11.85546875" style="474" customWidth="1"/>
    <col min="11526" max="11526" width="12.42578125" style="474" bestFit="1" customWidth="1"/>
    <col min="11527" max="11528" width="13" style="474" bestFit="1" customWidth="1"/>
    <col min="11529" max="11529" width="12.7109375" style="474" bestFit="1" customWidth="1"/>
    <col min="11530" max="11530" width="13.42578125" style="474" bestFit="1" customWidth="1"/>
    <col min="11531" max="11531" width="13.7109375" style="474" bestFit="1" customWidth="1"/>
    <col min="11532" max="11532" width="14.5703125" style="474" bestFit="1" customWidth="1"/>
    <col min="11533" max="11533" width="14.85546875" style="474" bestFit="1" customWidth="1"/>
    <col min="11534" max="11534" width="17.140625" style="474" customWidth="1"/>
    <col min="11535" max="11535" width="16.42578125" style="474" bestFit="1" customWidth="1"/>
    <col min="11536" max="11536" width="17.140625" style="474" bestFit="1" customWidth="1"/>
    <col min="11537" max="11537" width="24.28515625" style="474" customWidth="1"/>
    <col min="11538" max="11538" width="18.28515625" style="474" bestFit="1" customWidth="1"/>
    <col min="11539" max="11539" width="18.5703125" style="474" bestFit="1" customWidth="1"/>
    <col min="11540" max="11540" width="19.28515625" style="474" bestFit="1" customWidth="1"/>
    <col min="11541" max="11541" width="20.42578125" style="474" bestFit="1" customWidth="1"/>
    <col min="11542" max="11542" width="20.85546875" style="474" bestFit="1" customWidth="1"/>
    <col min="11543" max="11543" width="21.42578125" style="474" bestFit="1" customWidth="1"/>
    <col min="11544" max="11545" width="22.28515625" style="474" bestFit="1" customWidth="1"/>
    <col min="11546" max="11547" width="23.85546875" style="474" bestFit="1" customWidth="1"/>
    <col min="11548" max="11549" width="24.85546875" style="474" bestFit="1" customWidth="1"/>
    <col min="11550" max="11554" width="11.28515625" style="474" bestFit="1" customWidth="1"/>
    <col min="11555" max="11559" width="12.28515625" style="474" bestFit="1" customWidth="1"/>
    <col min="11560" max="11560" width="12" style="474" bestFit="1" customWidth="1"/>
    <col min="11561" max="11776" width="8.85546875" style="474"/>
    <col min="11777" max="11777" width="7.28515625" style="474" customWidth="1"/>
    <col min="11778" max="11778" width="41" style="474" customWidth="1"/>
    <col min="11779" max="11779" width="16" style="474" customWidth="1"/>
    <col min="11780" max="11780" width="16.140625" style="474" bestFit="1" customWidth="1"/>
    <col min="11781" max="11781" width="11.85546875" style="474" customWidth="1"/>
    <col min="11782" max="11782" width="12.42578125" style="474" bestFit="1" customWidth="1"/>
    <col min="11783" max="11784" width="13" style="474" bestFit="1" customWidth="1"/>
    <col min="11785" max="11785" width="12.7109375" style="474" bestFit="1" customWidth="1"/>
    <col min="11786" max="11786" width="13.42578125" style="474" bestFit="1" customWidth="1"/>
    <col min="11787" max="11787" width="13.7109375" style="474" bestFit="1" customWidth="1"/>
    <col min="11788" max="11788" width="14.5703125" style="474" bestFit="1" customWidth="1"/>
    <col min="11789" max="11789" width="14.85546875" style="474" bestFit="1" customWidth="1"/>
    <col min="11790" max="11790" width="17.140625" style="474" customWidth="1"/>
    <col min="11791" max="11791" width="16.42578125" style="474" bestFit="1" customWidth="1"/>
    <col min="11792" max="11792" width="17.140625" style="474" bestFit="1" customWidth="1"/>
    <col min="11793" max="11793" width="24.28515625" style="474" customWidth="1"/>
    <col min="11794" max="11794" width="18.28515625" style="474" bestFit="1" customWidth="1"/>
    <col min="11795" max="11795" width="18.5703125" style="474" bestFit="1" customWidth="1"/>
    <col min="11796" max="11796" width="19.28515625" style="474" bestFit="1" customWidth="1"/>
    <col min="11797" max="11797" width="20.42578125" style="474" bestFit="1" customWidth="1"/>
    <col min="11798" max="11798" width="20.85546875" style="474" bestFit="1" customWidth="1"/>
    <col min="11799" max="11799" width="21.42578125" style="474" bestFit="1" customWidth="1"/>
    <col min="11800" max="11801" width="22.28515625" style="474" bestFit="1" customWidth="1"/>
    <col min="11802" max="11803" width="23.85546875" style="474" bestFit="1" customWidth="1"/>
    <col min="11804" max="11805" width="24.85546875" style="474" bestFit="1" customWidth="1"/>
    <col min="11806" max="11810" width="11.28515625" style="474" bestFit="1" customWidth="1"/>
    <col min="11811" max="11815" width="12.28515625" style="474" bestFit="1" customWidth="1"/>
    <col min="11816" max="11816" width="12" style="474" bestFit="1" customWidth="1"/>
    <col min="11817" max="12032" width="8.85546875" style="474"/>
    <col min="12033" max="12033" width="7.28515625" style="474" customWidth="1"/>
    <col min="12034" max="12034" width="41" style="474" customWidth="1"/>
    <col min="12035" max="12035" width="16" style="474" customWidth="1"/>
    <col min="12036" max="12036" width="16.140625" style="474" bestFit="1" customWidth="1"/>
    <col min="12037" max="12037" width="11.85546875" style="474" customWidth="1"/>
    <col min="12038" max="12038" width="12.42578125" style="474" bestFit="1" customWidth="1"/>
    <col min="12039" max="12040" width="13" style="474" bestFit="1" customWidth="1"/>
    <col min="12041" max="12041" width="12.7109375" style="474" bestFit="1" customWidth="1"/>
    <col min="12042" max="12042" width="13.42578125" style="474" bestFit="1" customWidth="1"/>
    <col min="12043" max="12043" width="13.7109375" style="474" bestFit="1" customWidth="1"/>
    <col min="12044" max="12044" width="14.5703125" style="474" bestFit="1" customWidth="1"/>
    <col min="12045" max="12045" width="14.85546875" style="474" bestFit="1" customWidth="1"/>
    <col min="12046" max="12046" width="17.140625" style="474" customWidth="1"/>
    <col min="12047" max="12047" width="16.42578125" style="474" bestFit="1" customWidth="1"/>
    <col min="12048" max="12048" width="17.140625" style="474" bestFit="1" customWidth="1"/>
    <col min="12049" max="12049" width="24.28515625" style="474" customWidth="1"/>
    <col min="12050" max="12050" width="18.28515625" style="474" bestFit="1" customWidth="1"/>
    <col min="12051" max="12051" width="18.5703125" style="474" bestFit="1" customWidth="1"/>
    <col min="12052" max="12052" width="19.28515625" style="474" bestFit="1" customWidth="1"/>
    <col min="12053" max="12053" width="20.42578125" style="474" bestFit="1" customWidth="1"/>
    <col min="12054" max="12054" width="20.85546875" style="474" bestFit="1" customWidth="1"/>
    <col min="12055" max="12055" width="21.42578125" style="474" bestFit="1" customWidth="1"/>
    <col min="12056" max="12057" width="22.28515625" style="474" bestFit="1" customWidth="1"/>
    <col min="12058" max="12059" width="23.85546875" style="474" bestFit="1" customWidth="1"/>
    <col min="12060" max="12061" width="24.85546875" style="474" bestFit="1" customWidth="1"/>
    <col min="12062" max="12066" width="11.28515625" style="474" bestFit="1" customWidth="1"/>
    <col min="12067" max="12071" width="12.28515625" style="474" bestFit="1" customWidth="1"/>
    <col min="12072" max="12072" width="12" style="474" bestFit="1" customWidth="1"/>
    <col min="12073" max="12288" width="8.85546875" style="474"/>
    <col min="12289" max="12289" width="7.28515625" style="474" customWidth="1"/>
    <col min="12290" max="12290" width="41" style="474" customWidth="1"/>
    <col min="12291" max="12291" width="16" style="474" customWidth="1"/>
    <col min="12292" max="12292" width="16.140625" style="474" bestFit="1" customWidth="1"/>
    <col min="12293" max="12293" width="11.85546875" style="474" customWidth="1"/>
    <col min="12294" max="12294" width="12.42578125" style="474" bestFit="1" customWidth="1"/>
    <col min="12295" max="12296" width="13" style="474" bestFit="1" customWidth="1"/>
    <col min="12297" max="12297" width="12.7109375" style="474" bestFit="1" customWidth="1"/>
    <col min="12298" max="12298" width="13.42578125" style="474" bestFit="1" customWidth="1"/>
    <col min="12299" max="12299" width="13.7109375" style="474" bestFit="1" customWidth="1"/>
    <col min="12300" max="12300" width="14.5703125" style="474" bestFit="1" customWidth="1"/>
    <col min="12301" max="12301" width="14.85546875" style="474" bestFit="1" customWidth="1"/>
    <col min="12302" max="12302" width="17.140625" style="474" customWidth="1"/>
    <col min="12303" max="12303" width="16.42578125" style="474" bestFit="1" customWidth="1"/>
    <col min="12304" max="12304" width="17.140625" style="474" bestFit="1" customWidth="1"/>
    <col min="12305" max="12305" width="24.28515625" style="474" customWidth="1"/>
    <col min="12306" max="12306" width="18.28515625" style="474" bestFit="1" customWidth="1"/>
    <col min="12307" max="12307" width="18.5703125" style="474" bestFit="1" customWidth="1"/>
    <col min="12308" max="12308" width="19.28515625" style="474" bestFit="1" customWidth="1"/>
    <col min="12309" max="12309" width="20.42578125" style="474" bestFit="1" customWidth="1"/>
    <col min="12310" max="12310" width="20.85546875" style="474" bestFit="1" customWidth="1"/>
    <col min="12311" max="12311" width="21.42578125" style="474" bestFit="1" customWidth="1"/>
    <col min="12312" max="12313" width="22.28515625" style="474" bestFit="1" customWidth="1"/>
    <col min="12314" max="12315" width="23.85546875" style="474" bestFit="1" customWidth="1"/>
    <col min="12316" max="12317" width="24.85546875" style="474" bestFit="1" customWidth="1"/>
    <col min="12318" max="12322" width="11.28515625" style="474" bestFit="1" customWidth="1"/>
    <col min="12323" max="12327" width="12.28515625" style="474" bestFit="1" customWidth="1"/>
    <col min="12328" max="12328" width="12" style="474" bestFit="1" customWidth="1"/>
    <col min="12329" max="12544" width="8.85546875" style="474"/>
    <col min="12545" max="12545" width="7.28515625" style="474" customWidth="1"/>
    <col min="12546" max="12546" width="41" style="474" customWidth="1"/>
    <col min="12547" max="12547" width="16" style="474" customWidth="1"/>
    <col min="12548" max="12548" width="16.140625" style="474" bestFit="1" customWidth="1"/>
    <col min="12549" max="12549" width="11.85546875" style="474" customWidth="1"/>
    <col min="12550" max="12550" width="12.42578125" style="474" bestFit="1" customWidth="1"/>
    <col min="12551" max="12552" width="13" style="474" bestFit="1" customWidth="1"/>
    <col min="12553" max="12553" width="12.7109375" style="474" bestFit="1" customWidth="1"/>
    <col min="12554" max="12554" width="13.42578125" style="474" bestFit="1" customWidth="1"/>
    <col min="12555" max="12555" width="13.7109375" style="474" bestFit="1" customWidth="1"/>
    <col min="12556" max="12556" width="14.5703125" style="474" bestFit="1" customWidth="1"/>
    <col min="12557" max="12557" width="14.85546875" style="474" bestFit="1" customWidth="1"/>
    <col min="12558" max="12558" width="17.140625" style="474" customWidth="1"/>
    <col min="12559" max="12559" width="16.42578125" style="474" bestFit="1" customWidth="1"/>
    <col min="12560" max="12560" width="17.140625" style="474" bestFit="1" customWidth="1"/>
    <col min="12561" max="12561" width="24.28515625" style="474" customWidth="1"/>
    <col min="12562" max="12562" width="18.28515625" style="474" bestFit="1" customWidth="1"/>
    <col min="12563" max="12563" width="18.5703125" style="474" bestFit="1" customWidth="1"/>
    <col min="12564" max="12564" width="19.28515625" style="474" bestFit="1" customWidth="1"/>
    <col min="12565" max="12565" width="20.42578125" style="474" bestFit="1" customWidth="1"/>
    <col min="12566" max="12566" width="20.85546875" style="474" bestFit="1" customWidth="1"/>
    <col min="12567" max="12567" width="21.42578125" style="474" bestFit="1" customWidth="1"/>
    <col min="12568" max="12569" width="22.28515625" style="474" bestFit="1" customWidth="1"/>
    <col min="12570" max="12571" width="23.85546875" style="474" bestFit="1" customWidth="1"/>
    <col min="12572" max="12573" width="24.85546875" style="474" bestFit="1" customWidth="1"/>
    <col min="12574" max="12578" width="11.28515625" style="474" bestFit="1" customWidth="1"/>
    <col min="12579" max="12583" width="12.28515625" style="474" bestFit="1" customWidth="1"/>
    <col min="12584" max="12584" width="12" style="474" bestFit="1" customWidth="1"/>
    <col min="12585" max="12800" width="8.85546875" style="474"/>
    <col min="12801" max="12801" width="7.28515625" style="474" customWidth="1"/>
    <col min="12802" max="12802" width="41" style="474" customWidth="1"/>
    <col min="12803" max="12803" width="16" style="474" customWidth="1"/>
    <col min="12804" max="12804" width="16.140625" style="474" bestFit="1" customWidth="1"/>
    <col min="12805" max="12805" width="11.85546875" style="474" customWidth="1"/>
    <col min="12806" max="12806" width="12.42578125" style="474" bestFit="1" customWidth="1"/>
    <col min="12807" max="12808" width="13" style="474" bestFit="1" customWidth="1"/>
    <col min="12809" max="12809" width="12.7109375" style="474" bestFit="1" customWidth="1"/>
    <col min="12810" max="12810" width="13.42578125" style="474" bestFit="1" customWidth="1"/>
    <col min="12811" max="12811" width="13.7109375" style="474" bestFit="1" customWidth="1"/>
    <col min="12812" max="12812" width="14.5703125" style="474" bestFit="1" customWidth="1"/>
    <col min="12813" max="12813" width="14.85546875" style="474" bestFit="1" customWidth="1"/>
    <col min="12814" max="12814" width="17.140625" style="474" customWidth="1"/>
    <col min="12815" max="12815" width="16.42578125" style="474" bestFit="1" customWidth="1"/>
    <col min="12816" max="12816" width="17.140625" style="474" bestFit="1" customWidth="1"/>
    <col min="12817" max="12817" width="24.28515625" style="474" customWidth="1"/>
    <col min="12818" max="12818" width="18.28515625" style="474" bestFit="1" customWidth="1"/>
    <col min="12819" max="12819" width="18.5703125" style="474" bestFit="1" customWidth="1"/>
    <col min="12820" max="12820" width="19.28515625" style="474" bestFit="1" customWidth="1"/>
    <col min="12821" max="12821" width="20.42578125" style="474" bestFit="1" customWidth="1"/>
    <col min="12822" max="12822" width="20.85546875" style="474" bestFit="1" customWidth="1"/>
    <col min="12823" max="12823" width="21.42578125" style="474" bestFit="1" customWidth="1"/>
    <col min="12824" max="12825" width="22.28515625" style="474" bestFit="1" customWidth="1"/>
    <col min="12826" max="12827" width="23.85546875" style="474" bestFit="1" customWidth="1"/>
    <col min="12828" max="12829" width="24.85546875" style="474" bestFit="1" customWidth="1"/>
    <col min="12830" max="12834" width="11.28515625" style="474" bestFit="1" customWidth="1"/>
    <col min="12835" max="12839" width="12.28515625" style="474" bestFit="1" customWidth="1"/>
    <col min="12840" max="12840" width="12" style="474" bestFit="1" customWidth="1"/>
    <col min="12841" max="13056" width="8.85546875" style="474"/>
    <col min="13057" max="13057" width="7.28515625" style="474" customWidth="1"/>
    <col min="13058" max="13058" width="41" style="474" customWidth="1"/>
    <col min="13059" max="13059" width="16" style="474" customWidth="1"/>
    <col min="13060" max="13060" width="16.140625" style="474" bestFit="1" customWidth="1"/>
    <col min="13061" max="13061" width="11.85546875" style="474" customWidth="1"/>
    <col min="13062" max="13062" width="12.42578125" style="474" bestFit="1" customWidth="1"/>
    <col min="13063" max="13064" width="13" style="474" bestFit="1" customWidth="1"/>
    <col min="13065" max="13065" width="12.7109375" style="474" bestFit="1" customWidth="1"/>
    <col min="13066" max="13066" width="13.42578125" style="474" bestFit="1" customWidth="1"/>
    <col min="13067" max="13067" width="13.7109375" style="474" bestFit="1" customWidth="1"/>
    <col min="13068" max="13068" width="14.5703125" style="474" bestFit="1" customWidth="1"/>
    <col min="13069" max="13069" width="14.85546875" style="474" bestFit="1" customWidth="1"/>
    <col min="13070" max="13070" width="17.140625" style="474" customWidth="1"/>
    <col min="13071" max="13071" width="16.42578125" style="474" bestFit="1" customWidth="1"/>
    <col min="13072" max="13072" width="17.140625" style="474" bestFit="1" customWidth="1"/>
    <col min="13073" max="13073" width="24.28515625" style="474" customWidth="1"/>
    <col min="13074" max="13074" width="18.28515625" style="474" bestFit="1" customWidth="1"/>
    <col min="13075" max="13075" width="18.5703125" style="474" bestFit="1" customWidth="1"/>
    <col min="13076" max="13076" width="19.28515625" style="474" bestFit="1" customWidth="1"/>
    <col min="13077" max="13077" width="20.42578125" style="474" bestFit="1" customWidth="1"/>
    <col min="13078" max="13078" width="20.85546875" style="474" bestFit="1" customWidth="1"/>
    <col min="13079" max="13079" width="21.42578125" style="474" bestFit="1" customWidth="1"/>
    <col min="13080" max="13081" width="22.28515625" style="474" bestFit="1" customWidth="1"/>
    <col min="13082" max="13083" width="23.85546875" style="474" bestFit="1" customWidth="1"/>
    <col min="13084" max="13085" width="24.85546875" style="474" bestFit="1" customWidth="1"/>
    <col min="13086" max="13090" width="11.28515625" style="474" bestFit="1" customWidth="1"/>
    <col min="13091" max="13095" width="12.28515625" style="474" bestFit="1" customWidth="1"/>
    <col min="13096" max="13096" width="12" style="474" bestFit="1" customWidth="1"/>
    <col min="13097" max="13312" width="8.85546875" style="474"/>
    <col min="13313" max="13313" width="7.28515625" style="474" customWidth="1"/>
    <col min="13314" max="13314" width="41" style="474" customWidth="1"/>
    <col min="13315" max="13315" width="16" style="474" customWidth="1"/>
    <col min="13316" max="13316" width="16.140625" style="474" bestFit="1" customWidth="1"/>
    <col min="13317" max="13317" width="11.85546875" style="474" customWidth="1"/>
    <col min="13318" max="13318" width="12.42578125" style="474" bestFit="1" customWidth="1"/>
    <col min="13319" max="13320" width="13" style="474" bestFit="1" customWidth="1"/>
    <col min="13321" max="13321" width="12.7109375" style="474" bestFit="1" customWidth="1"/>
    <col min="13322" max="13322" width="13.42578125" style="474" bestFit="1" customWidth="1"/>
    <col min="13323" max="13323" width="13.7109375" style="474" bestFit="1" customWidth="1"/>
    <col min="13324" max="13324" width="14.5703125" style="474" bestFit="1" customWidth="1"/>
    <col min="13325" max="13325" width="14.85546875" style="474" bestFit="1" customWidth="1"/>
    <col min="13326" max="13326" width="17.140625" style="474" customWidth="1"/>
    <col min="13327" max="13327" width="16.42578125" style="474" bestFit="1" customWidth="1"/>
    <col min="13328" max="13328" width="17.140625" style="474" bestFit="1" customWidth="1"/>
    <col min="13329" max="13329" width="24.28515625" style="474" customWidth="1"/>
    <col min="13330" max="13330" width="18.28515625" style="474" bestFit="1" customWidth="1"/>
    <col min="13331" max="13331" width="18.5703125" style="474" bestFit="1" customWidth="1"/>
    <col min="13332" max="13332" width="19.28515625" style="474" bestFit="1" customWidth="1"/>
    <col min="13333" max="13333" width="20.42578125" style="474" bestFit="1" customWidth="1"/>
    <col min="13334" max="13334" width="20.85546875" style="474" bestFit="1" customWidth="1"/>
    <col min="13335" max="13335" width="21.42578125" style="474" bestFit="1" customWidth="1"/>
    <col min="13336" max="13337" width="22.28515625" style="474" bestFit="1" customWidth="1"/>
    <col min="13338" max="13339" width="23.85546875" style="474" bestFit="1" customWidth="1"/>
    <col min="13340" max="13341" width="24.85546875" style="474" bestFit="1" customWidth="1"/>
    <col min="13342" max="13346" width="11.28515625" style="474" bestFit="1" customWidth="1"/>
    <col min="13347" max="13351" width="12.28515625" style="474" bestFit="1" customWidth="1"/>
    <col min="13352" max="13352" width="12" style="474" bestFit="1" customWidth="1"/>
    <col min="13353" max="13568" width="8.85546875" style="474"/>
    <col min="13569" max="13569" width="7.28515625" style="474" customWidth="1"/>
    <col min="13570" max="13570" width="41" style="474" customWidth="1"/>
    <col min="13571" max="13571" width="16" style="474" customWidth="1"/>
    <col min="13572" max="13572" width="16.140625" style="474" bestFit="1" customWidth="1"/>
    <col min="13573" max="13573" width="11.85546875" style="474" customWidth="1"/>
    <col min="13574" max="13574" width="12.42578125" style="474" bestFit="1" customWidth="1"/>
    <col min="13575" max="13576" width="13" style="474" bestFit="1" customWidth="1"/>
    <col min="13577" max="13577" width="12.7109375" style="474" bestFit="1" customWidth="1"/>
    <col min="13578" max="13578" width="13.42578125" style="474" bestFit="1" customWidth="1"/>
    <col min="13579" max="13579" width="13.7109375" style="474" bestFit="1" customWidth="1"/>
    <col min="13580" max="13580" width="14.5703125" style="474" bestFit="1" customWidth="1"/>
    <col min="13581" max="13581" width="14.85546875" style="474" bestFit="1" customWidth="1"/>
    <col min="13582" max="13582" width="17.140625" style="474" customWidth="1"/>
    <col min="13583" max="13583" width="16.42578125" style="474" bestFit="1" customWidth="1"/>
    <col min="13584" max="13584" width="17.140625" style="474" bestFit="1" customWidth="1"/>
    <col min="13585" max="13585" width="24.28515625" style="474" customWidth="1"/>
    <col min="13586" max="13586" width="18.28515625" style="474" bestFit="1" customWidth="1"/>
    <col min="13587" max="13587" width="18.5703125" style="474" bestFit="1" customWidth="1"/>
    <col min="13588" max="13588" width="19.28515625" style="474" bestFit="1" customWidth="1"/>
    <col min="13589" max="13589" width="20.42578125" style="474" bestFit="1" customWidth="1"/>
    <col min="13590" max="13590" width="20.85546875" style="474" bestFit="1" customWidth="1"/>
    <col min="13591" max="13591" width="21.42578125" style="474" bestFit="1" customWidth="1"/>
    <col min="13592" max="13593" width="22.28515625" style="474" bestFit="1" customWidth="1"/>
    <col min="13594" max="13595" width="23.85546875" style="474" bestFit="1" customWidth="1"/>
    <col min="13596" max="13597" width="24.85546875" style="474" bestFit="1" customWidth="1"/>
    <col min="13598" max="13602" width="11.28515625" style="474" bestFit="1" customWidth="1"/>
    <col min="13603" max="13607" width="12.28515625" style="474" bestFit="1" customWidth="1"/>
    <col min="13608" max="13608" width="12" style="474" bestFit="1" customWidth="1"/>
    <col min="13609" max="13824" width="8.85546875" style="474"/>
    <col min="13825" max="13825" width="7.28515625" style="474" customWidth="1"/>
    <col min="13826" max="13826" width="41" style="474" customWidth="1"/>
    <col min="13827" max="13827" width="16" style="474" customWidth="1"/>
    <col min="13828" max="13828" width="16.140625" style="474" bestFit="1" customWidth="1"/>
    <col min="13829" max="13829" width="11.85546875" style="474" customWidth="1"/>
    <col min="13830" max="13830" width="12.42578125" style="474" bestFit="1" customWidth="1"/>
    <col min="13831" max="13832" width="13" style="474" bestFit="1" customWidth="1"/>
    <col min="13833" max="13833" width="12.7109375" style="474" bestFit="1" customWidth="1"/>
    <col min="13834" max="13834" width="13.42578125" style="474" bestFit="1" customWidth="1"/>
    <col min="13835" max="13835" width="13.7109375" style="474" bestFit="1" customWidth="1"/>
    <col min="13836" max="13836" width="14.5703125" style="474" bestFit="1" customWidth="1"/>
    <col min="13837" max="13837" width="14.85546875" style="474" bestFit="1" customWidth="1"/>
    <col min="13838" max="13838" width="17.140625" style="474" customWidth="1"/>
    <col min="13839" max="13839" width="16.42578125" style="474" bestFit="1" customWidth="1"/>
    <col min="13840" max="13840" width="17.140625" style="474" bestFit="1" customWidth="1"/>
    <col min="13841" max="13841" width="24.28515625" style="474" customWidth="1"/>
    <col min="13842" max="13842" width="18.28515625" style="474" bestFit="1" customWidth="1"/>
    <col min="13843" max="13843" width="18.5703125" style="474" bestFit="1" customWidth="1"/>
    <col min="13844" max="13844" width="19.28515625" style="474" bestFit="1" customWidth="1"/>
    <col min="13845" max="13845" width="20.42578125" style="474" bestFit="1" customWidth="1"/>
    <col min="13846" max="13846" width="20.85546875" style="474" bestFit="1" customWidth="1"/>
    <col min="13847" max="13847" width="21.42578125" style="474" bestFit="1" customWidth="1"/>
    <col min="13848" max="13849" width="22.28515625" style="474" bestFit="1" customWidth="1"/>
    <col min="13850" max="13851" width="23.85546875" style="474" bestFit="1" customWidth="1"/>
    <col min="13852" max="13853" width="24.85546875" style="474" bestFit="1" customWidth="1"/>
    <col min="13854" max="13858" width="11.28515625" style="474" bestFit="1" customWidth="1"/>
    <col min="13859" max="13863" width="12.28515625" style="474" bestFit="1" customWidth="1"/>
    <col min="13864" max="13864" width="12" style="474" bestFit="1" customWidth="1"/>
    <col min="13865" max="14080" width="8.85546875" style="474"/>
    <col min="14081" max="14081" width="7.28515625" style="474" customWidth="1"/>
    <col min="14082" max="14082" width="41" style="474" customWidth="1"/>
    <col min="14083" max="14083" width="16" style="474" customWidth="1"/>
    <col min="14084" max="14084" width="16.140625" style="474" bestFit="1" customWidth="1"/>
    <col min="14085" max="14085" width="11.85546875" style="474" customWidth="1"/>
    <col min="14086" max="14086" width="12.42578125" style="474" bestFit="1" customWidth="1"/>
    <col min="14087" max="14088" width="13" style="474" bestFit="1" customWidth="1"/>
    <col min="14089" max="14089" width="12.7109375" style="474" bestFit="1" customWidth="1"/>
    <col min="14090" max="14090" width="13.42578125" style="474" bestFit="1" customWidth="1"/>
    <col min="14091" max="14091" width="13.7109375" style="474" bestFit="1" customWidth="1"/>
    <col min="14092" max="14092" width="14.5703125" style="474" bestFit="1" customWidth="1"/>
    <col min="14093" max="14093" width="14.85546875" style="474" bestFit="1" customWidth="1"/>
    <col min="14094" max="14094" width="17.140625" style="474" customWidth="1"/>
    <col min="14095" max="14095" width="16.42578125" style="474" bestFit="1" customWidth="1"/>
    <col min="14096" max="14096" width="17.140625" style="474" bestFit="1" customWidth="1"/>
    <col min="14097" max="14097" width="24.28515625" style="474" customWidth="1"/>
    <col min="14098" max="14098" width="18.28515625" style="474" bestFit="1" customWidth="1"/>
    <col min="14099" max="14099" width="18.5703125" style="474" bestFit="1" customWidth="1"/>
    <col min="14100" max="14100" width="19.28515625" style="474" bestFit="1" customWidth="1"/>
    <col min="14101" max="14101" width="20.42578125" style="474" bestFit="1" customWidth="1"/>
    <col min="14102" max="14102" width="20.85546875" style="474" bestFit="1" customWidth="1"/>
    <col min="14103" max="14103" width="21.42578125" style="474" bestFit="1" customWidth="1"/>
    <col min="14104" max="14105" width="22.28515625" style="474" bestFit="1" customWidth="1"/>
    <col min="14106" max="14107" width="23.85546875" style="474" bestFit="1" customWidth="1"/>
    <col min="14108" max="14109" width="24.85546875" style="474" bestFit="1" customWidth="1"/>
    <col min="14110" max="14114" width="11.28515625" style="474" bestFit="1" customWidth="1"/>
    <col min="14115" max="14119" width="12.28515625" style="474" bestFit="1" customWidth="1"/>
    <col min="14120" max="14120" width="12" style="474" bestFit="1" customWidth="1"/>
    <col min="14121" max="14336" width="8.85546875" style="474"/>
    <col min="14337" max="14337" width="7.28515625" style="474" customWidth="1"/>
    <col min="14338" max="14338" width="41" style="474" customWidth="1"/>
    <col min="14339" max="14339" width="16" style="474" customWidth="1"/>
    <col min="14340" max="14340" width="16.140625" style="474" bestFit="1" customWidth="1"/>
    <col min="14341" max="14341" width="11.85546875" style="474" customWidth="1"/>
    <col min="14342" max="14342" width="12.42578125" style="474" bestFit="1" customWidth="1"/>
    <col min="14343" max="14344" width="13" style="474" bestFit="1" customWidth="1"/>
    <col min="14345" max="14345" width="12.7109375" style="474" bestFit="1" customWidth="1"/>
    <col min="14346" max="14346" width="13.42578125" style="474" bestFit="1" customWidth="1"/>
    <col min="14347" max="14347" width="13.7109375" style="474" bestFit="1" customWidth="1"/>
    <col min="14348" max="14348" width="14.5703125" style="474" bestFit="1" customWidth="1"/>
    <col min="14349" max="14349" width="14.85546875" style="474" bestFit="1" customWidth="1"/>
    <col min="14350" max="14350" width="17.140625" style="474" customWidth="1"/>
    <col min="14351" max="14351" width="16.42578125" style="474" bestFit="1" customWidth="1"/>
    <col min="14352" max="14352" width="17.140625" style="474" bestFit="1" customWidth="1"/>
    <col min="14353" max="14353" width="24.28515625" style="474" customWidth="1"/>
    <col min="14354" max="14354" width="18.28515625" style="474" bestFit="1" customWidth="1"/>
    <col min="14355" max="14355" width="18.5703125" style="474" bestFit="1" customWidth="1"/>
    <col min="14356" max="14356" width="19.28515625" style="474" bestFit="1" customWidth="1"/>
    <col min="14357" max="14357" width="20.42578125" style="474" bestFit="1" customWidth="1"/>
    <col min="14358" max="14358" width="20.85546875" style="474" bestFit="1" customWidth="1"/>
    <col min="14359" max="14359" width="21.42578125" style="474" bestFit="1" customWidth="1"/>
    <col min="14360" max="14361" width="22.28515625" style="474" bestFit="1" customWidth="1"/>
    <col min="14362" max="14363" width="23.85546875" style="474" bestFit="1" customWidth="1"/>
    <col min="14364" max="14365" width="24.85546875" style="474" bestFit="1" customWidth="1"/>
    <col min="14366" max="14370" width="11.28515625" style="474" bestFit="1" customWidth="1"/>
    <col min="14371" max="14375" width="12.28515625" style="474" bestFit="1" customWidth="1"/>
    <col min="14376" max="14376" width="12" style="474" bestFit="1" customWidth="1"/>
    <col min="14377" max="14592" width="8.85546875" style="474"/>
    <col min="14593" max="14593" width="7.28515625" style="474" customWidth="1"/>
    <col min="14594" max="14594" width="41" style="474" customWidth="1"/>
    <col min="14595" max="14595" width="16" style="474" customWidth="1"/>
    <col min="14596" max="14596" width="16.140625" style="474" bestFit="1" customWidth="1"/>
    <col min="14597" max="14597" width="11.85546875" style="474" customWidth="1"/>
    <col min="14598" max="14598" width="12.42578125" style="474" bestFit="1" customWidth="1"/>
    <col min="14599" max="14600" width="13" style="474" bestFit="1" customWidth="1"/>
    <col min="14601" max="14601" width="12.7109375" style="474" bestFit="1" customWidth="1"/>
    <col min="14602" max="14602" width="13.42578125" style="474" bestFit="1" customWidth="1"/>
    <col min="14603" max="14603" width="13.7109375" style="474" bestFit="1" customWidth="1"/>
    <col min="14604" max="14604" width="14.5703125" style="474" bestFit="1" customWidth="1"/>
    <col min="14605" max="14605" width="14.85546875" style="474" bestFit="1" customWidth="1"/>
    <col min="14606" max="14606" width="17.140625" style="474" customWidth="1"/>
    <col min="14607" max="14607" width="16.42578125" style="474" bestFit="1" customWidth="1"/>
    <col min="14608" max="14608" width="17.140625" style="474" bestFit="1" customWidth="1"/>
    <col min="14609" max="14609" width="24.28515625" style="474" customWidth="1"/>
    <col min="14610" max="14610" width="18.28515625" style="474" bestFit="1" customWidth="1"/>
    <col min="14611" max="14611" width="18.5703125" style="474" bestFit="1" customWidth="1"/>
    <col min="14612" max="14612" width="19.28515625" style="474" bestFit="1" customWidth="1"/>
    <col min="14613" max="14613" width="20.42578125" style="474" bestFit="1" customWidth="1"/>
    <col min="14614" max="14614" width="20.85546875" style="474" bestFit="1" customWidth="1"/>
    <col min="14615" max="14615" width="21.42578125" style="474" bestFit="1" customWidth="1"/>
    <col min="14616" max="14617" width="22.28515625" style="474" bestFit="1" customWidth="1"/>
    <col min="14618" max="14619" width="23.85546875" style="474" bestFit="1" customWidth="1"/>
    <col min="14620" max="14621" width="24.85546875" style="474" bestFit="1" customWidth="1"/>
    <col min="14622" max="14626" width="11.28515625" style="474" bestFit="1" customWidth="1"/>
    <col min="14627" max="14631" width="12.28515625" style="474" bestFit="1" customWidth="1"/>
    <col min="14632" max="14632" width="12" style="474" bestFit="1" customWidth="1"/>
    <col min="14633" max="14848" width="8.85546875" style="474"/>
    <col min="14849" max="14849" width="7.28515625" style="474" customWidth="1"/>
    <col min="14850" max="14850" width="41" style="474" customWidth="1"/>
    <col min="14851" max="14851" width="16" style="474" customWidth="1"/>
    <col min="14852" max="14852" width="16.140625" style="474" bestFit="1" customWidth="1"/>
    <col min="14853" max="14853" width="11.85546875" style="474" customWidth="1"/>
    <col min="14854" max="14854" width="12.42578125" style="474" bestFit="1" customWidth="1"/>
    <col min="14855" max="14856" width="13" style="474" bestFit="1" customWidth="1"/>
    <col min="14857" max="14857" width="12.7109375" style="474" bestFit="1" customWidth="1"/>
    <col min="14858" max="14858" width="13.42578125" style="474" bestFit="1" customWidth="1"/>
    <col min="14859" max="14859" width="13.7109375" style="474" bestFit="1" customWidth="1"/>
    <col min="14860" max="14860" width="14.5703125" style="474" bestFit="1" customWidth="1"/>
    <col min="14861" max="14861" width="14.85546875" style="474" bestFit="1" customWidth="1"/>
    <col min="14862" max="14862" width="17.140625" style="474" customWidth="1"/>
    <col min="14863" max="14863" width="16.42578125" style="474" bestFit="1" customWidth="1"/>
    <col min="14864" max="14864" width="17.140625" style="474" bestFit="1" customWidth="1"/>
    <col min="14865" max="14865" width="24.28515625" style="474" customWidth="1"/>
    <col min="14866" max="14866" width="18.28515625" style="474" bestFit="1" customWidth="1"/>
    <col min="14867" max="14867" width="18.5703125" style="474" bestFit="1" customWidth="1"/>
    <col min="14868" max="14868" width="19.28515625" style="474" bestFit="1" customWidth="1"/>
    <col min="14869" max="14869" width="20.42578125" style="474" bestFit="1" customWidth="1"/>
    <col min="14870" max="14870" width="20.85546875" style="474" bestFit="1" customWidth="1"/>
    <col min="14871" max="14871" width="21.42578125" style="474" bestFit="1" customWidth="1"/>
    <col min="14872" max="14873" width="22.28515625" style="474" bestFit="1" customWidth="1"/>
    <col min="14874" max="14875" width="23.85546875" style="474" bestFit="1" customWidth="1"/>
    <col min="14876" max="14877" width="24.85546875" style="474" bestFit="1" customWidth="1"/>
    <col min="14878" max="14882" width="11.28515625" style="474" bestFit="1" customWidth="1"/>
    <col min="14883" max="14887" width="12.28515625" style="474" bestFit="1" customWidth="1"/>
    <col min="14888" max="14888" width="12" style="474" bestFit="1" customWidth="1"/>
    <col min="14889" max="15104" width="8.85546875" style="474"/>
    <col min="15105" max="15105" width="7.28515625" style="474" customWidth="1"/>
    <col min="15106" max="15106" width="41" style="474" customWidth="1"/>
    <col min="15107" max="15107" width="16" style="474" customWidth="1"/>
    <col min="15108" max="15108" width="16.140625" style="474" bestFit="1" customWidth="1"/>
    <col min="15109" max="15109" width="11.85546875" style="474" customWidth="1"/>
    <col min="15110" max="15110" width="12.42578125" style="474" bestFit="1" customWidth="1"/>
    <col min="15111" max="15112" width="13" style="474" bestFit="1" customWidth="1"/>
    <col min="15113" max="15113" width="12.7109375" style="474" bestFit="1" customWidth="1"/>
    <col min="15114" max="15114" width="13.42578125" style="474" bestFit="1" customWidth="1"/>
    <col min="15115" max="15115" width="13.7109375" style="474" bestFit="1" customWidth="1"/>
    <col min="15116" max="15116" width="14.5703125" style="474" bestFit="1" customWidth="1"/>
    <col min="15117" max="15117" width="14.85546875" style="474" bestFit="1" customWidth="1"/>
    <col min="15118" max="15118" width="17.140625" style="474" customWidth="1"/>
    <col min="15119" max="15119" width="16.42578125" style="474" bestFit="1" customWidth="1"/>
    <col min="15120" max="15120" width="17.140625" style="474" bestFit="1" customWidth="1"/>
    <col min="15121" max="15121" width="24.28515625" style="474" customWidth="1"/>
    <col min="15122" max="15122" width="18.28515625" style="474" bestFit="1" customWidth="1"/>
    <col min="15123" max="15123" width="18.5703125" style="474" bestFit="1" customWidth="1"/>
    <col min="15124" max="15124" width="19.28515625" style="474" bestFit="1" customWidth="1"/>
    <col min="15125" max="15125" width="20.42578125" style="474" bestFit="1" customWidth="1"/>
    <col min="15126" max="15126" width="20.85546875" style="474" bestFit="1" customWidth="1"/>
    <col min="15127" max="15127" width="21.42578125" style="474" bestFit="1" customWidth="1"/>
    <col min="15128" max="15129" width="22.28515625" style="474" bestFit="1" customWidth="1"/>
    <col min="15130" max="15131" width="23.85546875" style="474" bestFit="1" customWidth="1"/>
    <col min="15132" max="15133" width="24.85546875" style="474" bestFit="1" customWidth="1"/>
    <col min="15134" max="15138" width="11.28515625" style="474" bestFit="1" customWidth="1"/>
    <col min="15139" max="15143" width="12.28515625" style="474" bestFit="1" customWidth="1"/>
    <col min="15144" max="15144" width="12" style="474" bestFit="1" customWidth="1"/>
    <col min="15145" max="15360" width="8.85546875" style="474"/>
    <col min="15361" max="15361" width="7.28515625" style="474" customWidth="1"/>
    <col min="15362" max="15362" width="41" style="474" customWidth="1"/>
    <col min="15363" max="15363" width="16" style="474" customWidth="1"/>
    <col min="15364" max="15364" width="16.140625" style="474" bestFit="1" customWidth="1"/>
    <col min="15365" max="15365" width="11.85546875" style="474" customWidth="1"/>
    <col min="15366" max="15366" width="12.42578125" style="474" bestFit="1" customWidth="1"/>
    <col min="15367" max="15368" width="13" style="474" bestFit="1" customWidth="1"/>
    <col min="15369" max="15369" width="12.7109375" style="474" bestFit="1" customWidth="1"/>
    <col min="15370" max="15370" width="13.42578125" style="474" bestFit="1" customWidth="1"/>
    <col min="15371" max="15371" width="13.7109375" style="474" bestFit="1" customWidth="1"/>
    <col min="15372" max="15372" width="14.5703125" style="474" bestFit="1" customWidth="1"/>
    <col min="15373" max="15373" width="14.85546875" style="474" bestFit="1" customWidth="1"/>
    <col min="15374" max="15374" width="17.140625" style="474" customWidth="1"/>
    <col min="15375" max="15375" width="16.42578125" style="474" bestFit="1" customWidth="1"/>
    <col min="15376" max="15376" width="17.140625" style="474" bestFit="1" customWidth="1"/>
    <col min="15377" max="15377" width="24.28515625" style="474" customWidth="1"/>
    <col min="15378" max="15378" width="18.28515625" style="474" bestFit="1" customWidth="1"/>
    <col min="15379" max="15379" width="18.5703125" style="474" bestFit="1" customWidth="1"/>
    <col min="15380" max="15380" width="19.28515625" style="474" bestFit="1" customWidth="1"/>
    <col min="15381" max="15381" width="20.42578125" style="474" bestFit="1" customWidth="1"/>
    <col min="15382" max="15382" width="20.85546875" style="474" bestFit="1" customWidth="1"/>
    <col min="15383" max="15383" width="21.42578125" style="474" bestFit="1" customWidth="1"/>
    <col min="15384" max="15385" width="22.28515625" style="474" bestFit="1" customWidth="1"/>
    <col min="15386" max="15387" width="23.85546875" style="474" bestFit="1" customWidth="1"/>
    <col min="15388" max="15389" width="24.85546875" style="474" bestFit="1" customWidth="1"/>
    <col min="15390" max="15394" width="11.28515625" style="474" bestFit="1" customWidth="1"/>
    <col min="15395" max="15399" width="12.28515625" style="474" bestFit="1" customWidth="1"/>
    <col min="15400" max="15400" width="12" style="474" bestFit="1" customWidth="1"/>
    <col min="15401" max="15616" width="8.85546875" style="474"/>
    <col min="15617" max="15617" width="7.28515625" style="474" customWidth="1"/>
    <col min="15618" max="15618" width="41" style="474" customWidth="1"/>
    <col min="15619" max="15619" width="16" style="474" customWidth="1"/>
    <col min="15620" max="15620" width="16.140625" style="474" bestFit="1" customWidth="1"/>
    <col min="15621" max="15621" width="11.85546875" style="474" customWidth="1"/>
    <col min="15622" max="15622" width="12.42578125" style="474" bestFit="1" customWidth="1"/>
    <col min="15623" max="15624" width="13" style="474" bestFit="1" customWidth="1"/>
    <col min="15625" max="15625" width="12.7109375" style="474" bestFit="1" customWidth="1"/>
    <col min="15626" max="15626" width="13.42578125" style="474" bestFit="1" customWidth="1"/>
    <col min="15627" max="15627" width="13.7109375" style="474" bestFit="1" customWidth="1"/>
    <col min="15628" max="15628" width="14.5703125" style="474" bestFit="1" customWidth="1"/>
    <col min="15629" max="15629" width="14.85546875" style="474" bestFit="1" customWidth="1"/>
    <col min="15630" max="15630" width="17.140625" style="474" customWidth="1"/>
    <col min="15631" max="15631" width="16.42578125" style="474" bestFit="1" customWidth="1"/>
    <col min="15632" max="15632" width="17.140625" style="474" bestFit="1" customWidth="1"/>
    <col min="15633" max="15633" width="24.28515625" style="474" customWidth="1"/>
    <col min="15634" max="15634" width="18.28515625" style="474" bestFit="1" customWidth="1"/>
    <col min="15635" max="15635" width="18.5703125" style="474" bestFit="1" customWidth="1"/>
    <col min="15636" max="15636" width="19.28515625" style="474" bestFit="1" customWidth="1"/>
    <col min="15637" max="15637" width="20.42578125" style="474" bestFit="1" customWidth="1"/>
    <col min="15638" max="15638" width="20.85546875" style="474" bestFit="1" customWidth="1"/>
    <col min="15639" max="15639" width="21.42578125" style="474" bestFit="1" customWidth="1"/>
    <col min="15640" max="15641" width="22.28515625" style="474" bestFit="1" customWidth="1"/>
    <col min="15642" max="15643" width="23.85546875" style="474" bestFit="1" customWidth="1"/>
    <col min="15644" max="15645" width="24.85546875" style="474" bestFit="1" customWidth="1"/>
    <col min="15646" max="15650" width="11.28515625" style="474" bestFit="1" customWidth="1"/>
    <col min="15651" max="15655" width="12.28515625" style="474" bestFit="1" customWidth="1"/>
    <col min="15656" max="15656" width="12" style="474" bestFit="1" customWidth="1"/>
    <col min="15657" max="15872" width="8.85546875" style="474"/>
    <col min="15873" max="15873" width="7.28515625" style="474" customWidth="1"/>
    <col min="15874" max="15874" width="41" style="474" customWidth="1"/>
    <col min="15875" max="15875" width="16" style="474" customWidth="1"/>
    <col min="15876" max="15876" width="16.140625" style="474" bestFit="1" customWidth="1"/>
    <col min="15877" max="15877" width="11.85546875" style="474" customWidth="1"/>
    <col min="15878" max="15878" width="12.42578125" style="474" bestFit="1" customWidth="1"/>
    <col min="15879" max="15880" width="13" style="474" bestFit="1" customWidth="1"/>
    <col min="15881" max="15881" width="12.7109375" style="474" bestFit="1" customWidth="1"/>
    <col min="15882" max="15882" width="13.42578125" style="474" bestFit="1" customWidth="1"/>
    <col min="15883" max="15883" width="13.7109375" style="474" bestFit="1" customWidth="1"/>
    <col min="15884" max="15884" width="14.5703125" style="474" bestFit="1" customWidth="1"/>
    <col min="15885" max="15885" width="14.85546875" style="474" bestFit="1" customWidth="1"/>
    <col min="15886" max="15886" width="17.140625" style="474" customWidth="1"/>
    <col min="15887" max="15887" width="16.42578125" style="474" bestFit="1" customWidth="1"/>
    <col min="15888" max="15888" width="17.140625" style="474" bestFit="1" customWidth="1"/>
    <col min="15889" max="15889" width="24.28515625" style="474" customWidth="1"/>
    <col min="15890" max="15890" width="18.28515625" style="474" bestFit="1" customWidth="1"/>
    <col min="15891" max="15891" width="18.5703125" style="474" bestFit="1" customWidth="1"/>
    <col min="15892" max="15892" width="19.28515625" style="474" bestFit="1" customWidth="1"/>
    <col min="15893" max="15893" width="20.42578125" style="474" bestFit="1" customWidth="1"/>
    <col min="15894" max="15894" width="20.85546875" style="474" bestFit="1" customWidth="1"/>
    <col min="15895" max="15895" width="21.42578125" style="474" bestFit="1" customWidth="1"/>
    <col min="15896" max="15897" width="22.28515625" style="474" bestFit="1" customWidth="1"/>
    <col min="15898" max="15899" width="23.85546875" style="474" bestFit="1" customWidth="1"/>
    <col min="15900" max="15901" width="24.85546875" style="474" bestFit="1" customWidth="1"/>
    <col min="15902" max="15906" width="11.28515625" style="474" bestFit="1" customWidth="1"/>
    <col min="15907" max="15911" width="12.28515625" style="474" bestFit="1" customWidth="1"/>
    <col min="15912" max="15912" width="12" style="474" bestFit="1" customWidth="1"/>
    <col min="15913" max="16128" width="8.85546875" style="474"/>
    <col min="16129" max="16129" width="7.28515625" style="474" customWidth="1"/>
    <col min="16130" max="16130" width="41" style="474" customWidth="1"/>
    <col min="16131" max="16131" width="16" style="474" customWidth="1"/>
    <col min="16132" max="16132" width="16.140625" style="474" bestFit="1" customWidth="1"/>
    <col min="16133" max="16133" width="11.85546875" style="474" customWidth="1"/>
    <col min="16134" max="16134" width="12.42578125" style="474" bestFit="1" customWidth="1"/>
    <col min="16135" max="16136" width="13" style="474" bestFit="1" customWidth="1"/>
    <col min="16137" max="16137" width="12.7109375" style="474" bestFit="1" customWidth="1"/>
    <col min="16138" max="16138" width="13.42578125" style="474" bestFit="1" customWidth="1"/>
    <col min="16139" max="16139" width="13.7109375" style="474" bestFit="1" customWidth="1"/>
    <col min="16140" max="16140" width="14.5703125" style="474" bestFit="1" customWidth="1"/>
    <col min="16141" max="16141" width="14.85546875" style="474" bestFit="1" customWidth="1"/>
    <col min="16142" max="16142" width="17.140625" style="474" customWidth="1"/>
    <col min="16143" max="16143" width="16.42578125" style="474" bestFit="1" customWidth="1"/>
    <col min="16144" max="16144" width="17.140625" style="474" bestFit="1" customWidth="1"/>
    <col min="16145" max="16145" width="24.28515625" style="474" customWidth="1"/>
    <col min="16146" max="16146" width="18.28515625" style="474" bestFit="1" customWidth="1"/>
    <col min="16147" max="16147" width="18.5703125" style="474" bestFit="1" customWidth="1"/>
    <col min="16148" max="16148" width="19.28515625" style="474" bestFit="1" customWidth="1"/>
    <col min="16149" max="16149" width="20.42578125" style="474" bestFit="1" customWidth="1"/>
    <col min="16150" max="16150" width="20.85546875" style="474" bestFit="1" customWidth="1"/>
    <col min="16151" max="16151" width="21.42578125" style="474" bestFit="1" customWidth="1"/>
    <col min="16152" max="16153" width="22.28515625" style="474" bestFit="1" customWidth="1"/>
    <col min="16154" max="16155" width="23.85546875" style="474" bestFit="1" customWidth="1"/>
    <col min="16156" max="16157" width="24.85546875" style="474" bestFit="1" customWidth="1"/>
    <col min="16158" max="16162" width="11.28515625" style="474" bestFit="1" customWidth="1"/>
    <col min="16163" max="16167" width="12.28515625" style="474" bestFit="1" customWidth="1"/>
    <col min="16168" max="16168" width="12" style="474" bestFit="1" customWidth="1"/>
    <col min="16169" max="16384" width="8.85546875" style="474"/>
  </cols>
  <sheetData>
    <row r="1" spans="2:14" ht="12.95">
      <c r="B1" s="505" t="s">
        <v>293</v>
      </c>
      <c r="C1" s="506"/>
      <c r="D1" s="507"/>
      <c r="E1" s="474" t="s">
        <v>294</v>
      </c>
    </row>
    <row r="2" spans="2:14">
      <c r="B2" s="508"/>
      <c r="C2" s="509"/>
      <c r="D2" s="510"/>
    </row>
    <row r="3" spans="2:14">
      <c r="B3" s="508" t="s">
        <v>96</v>
      </c>
      <c r="C3" s="509"/>
      <c r="D3" s="511">
        <f>GuineaDigesterAnaly!B69</f>
        <v>4130.9396822318349</v>
      </c>
    </row>
    <row r="4" spans="2:14">
      <c r="B4" s="508" t="s">
        <v>295</v>
      </c>
      <c r="C4" s="509"/>
      <c r="D4" s="708">
        <v>2570</v>
      </c>
      <c r="E4" s="474" t="s">
        <v>296</v>
      </c>
    </row>
    <row r="5" spans="2:14">
      <c r="B5" s="508" t="s">
        <v>297</v>
      </c>
      <c r="C5" s="509"/>
      <c r="D5" s="512">
        <f>D3*CapitalCostperKW</f>
        <v>10616514.983335815</v>
      </c>
      <c r="F5" s="709" t="s">
        <v>298</v>
      </c>
      <c r="G5" s="710" t="s">
        <v>299</v>
      </c>
    </row>
    <row r="6" spans="2:14">
      <c r="B6" s="508"/>
      <c r="C6" s="509"/>
      <c r="D6" s="510"/>
      <c r="F6" s="709"/>
      <c r="G6" s="711"/>
    </row>
    <row r="7" spans="2:14">
      <c r="B7" s="508" t="s">
        <v>300</v>
      </c>
      <c r="C7" s="509" t="s">
        <v>301</v>
      </c>
      <c r="D7" s="513">
        <v>0</v>
      </c>
      <c r="F7" s="709" t="s">
        <v>10</v>
      </c>
      <c r="G7" s="711">
        <v>677</v>
      </c>
    </row>
    <row r="8" spans="2:14">
      <c r="B8" s="508" t="s">
        <v>302</v>
      </c>
      <c r="C8" s="509" t="s">
        <v>301</v>
      </c>
      <c r="D8" s="514">
        <v>0</v>
      </c>
      <c r="F8" s="709" t="s">
        <v>8</v>
      </c>
      <c r="G8" s="711">
        <v>674</v>
      </c>
    </row>
    <row r="9" spans="2:14">
      <c r="B9" s="508" t="s">
        <v>303</v>
      </c>
      <c r="C9" s="509" t="s">
        <v>304</v>
      </c>
      <c r="D9" s="514">
        <v>0</v>
      </c>
      <c r="F9" s="709" t="s">
        <v>6</v>
      </c>
      <c r="G9" s="711">
        <v>527</v>
      </c>
    </row>
    <row r="10" spans="2:14">
      <c r="B10" s="508" t="s">
        <v>305</v>
      </c>
      <c r="C10" s="509" t="s">
        <v>304</v>
      </c>
      <c r="D10" s="515">
        <f>0.9/100</f>
        <v>9.0000000000000011E-3</v>
      </c>
      <c r="F10" s="709"/>
      <c r="G10" s="711">
        <f>SUM(G6:G9)</f>
        <v>1878</v>
      </c>
    </row>
    <row r="11" spans="2:14">
      <c r="B11" s="508"/>
      <c r="C11" s="509"/>
      <c r="D11" s="510"/>
      <c r="F11" s="709"/>
      <c r="G11" s="709"/>
    </row>
    <row r="12" spans="2:14">
      <c r="B12" s="508" t="s">
        <v>306</v>
      </c>
      <c r="C12" s="516" t="s">
        <v>307</v>
      </c>
      <c r="D12" s="517">
        <v>0.3</v>
      </c>
      <c r="E12" s="474" t="s">
        <v>308</v>
      </c>
      <c r="F12" s="709"/>
      <c r="G12" s="709">
        <f>G10/4</f>
        <v>469.5</v>
      </c>
      <c r="H12" s="474">
        <f>(G7+G8+G9)/3</f>
        <v>626</v>
      </c>
      <c r="I12" s="474" t="s">
        <v>309</v>
      </c>
    </row>
    <row r="13" spans="2:14">
      <c r="B13" s="508" t="s">
        <v>310</v>
      </c>
      <c r="C13" s="516" t="s">
        <v>307</v>
      </c>
      <c r="D13" s="518">
        <v>0.44</v>
      </c>
      <c r="E13" s="474" t="s">
        <v>308</v>
      </c>
      <c r="F13" t="s">
        <v>311</v>
      </c>
    </row>
    <row r="14" spans="2:14" ht="17.25" customHeight="1">
      <c r="B14" s="508" t="s">
        <v>312</v>
      </c>
      <c r="C14" s="516" t="s">
        <v>313</v>
      </c>
      <c r="D14" s="519">
        <f>12*365</f>
        <v>4380</v>
      </c>
      <c r="F14" s="474" t="s">
        <v>314</v>
      </c>
      <c r="N14" s="477"/>
    </row>
    <row r="15" spans="2:14">
      <c r="B15" s="508"/>
      <c r="C15" s="509"/>
      <c r="D15" s="510"/>
      <c r="F15" s="474" t="s">
        <v>315</v>
      </c>
      <c r="N15" s="477"/>
    </row>
    <row r="16" spans="2:14">
      <c r="B16" s="508" t="s">
        <v>316</v>
      </c>
      <c r="C16" s="509" t="s">
        <v>304</v>
      </c>
      <c r="D16" s="520">
        <v>0.08</v>
      </c>
      <c r="E16" s="474" t="s">
        <v>317</v>
      </c>
    </row>
    <row r="17" spans="2:27" s="478" customFormat="1" ht="12.95">
      <c r="B17" s="508" t="s">
        <v>318</v>
      </c>
      <c r="C17" s="509" t="s">
        <v>304</v>
      </c>
      <c r="D17" s="521">
        <v>0.23</v>
      </c>
      <c r="E17" s="478" t="s">
        <v>319</v>
      </c>
      <c r="O17" s="479"/>
      <c r="R17" s="480"/>
    </row>
    <row r="18" spans="2:27">
      <c r="B18" s="508"/>
      <c r="C18" s="509"/>
      <c r="D18" s="510"/>
      <c r="U18" s="481"/>
      <c r="V18" s="481"/>
      <c r="Z18" s="482"/>
    </row>
    <row r="19" spans="2:27">
      <c r="B19" s="508"/>
      <c r="C19" s="509"/>
      <c r="D19" s="510"/>
      <c r="Q19" s="483"/>
      <c r="U19" s="481"/>
      <c r="V19" s="481"/>
      <c r="Z19" s="482"/>
    </row>
    <row r="20" spans="2:27">
      <c r="B20" s="508"/>
      <c r="C20" s="509"/>
      <c r="D20" s="510"/>
      <c r="U20" s="481"/>
      <c r="V20" s="481"/>
      <c r="Z20" s="482"/>
    </row>
    <row r="21" spans="2:27">
      <c r="B21" s="508" t="s">
        <v>320</v>
      </c>
      <c r="C21" s="516" t="s">
        <v>321</v>
      </c>
      <c r="D21" s="522">
        <f>G7/1000</f>
        <v>0.67700000000000005</v>
      </c>
      <c r="E21" s="707" t="s">
        <v>322</v>
      </c>
      <c r="U21" s="481"/>
      <c r="V21" s="481"/>
      <c r="Z21" s="482"/>
    </row>
    <row r="22" spans="2:27">
      <c r="B22" s="508" t="s">
        <v>323</v>
      </c>
      <c r="C22" s="516" t="s">
        <v>321</v>
      </c>
      <c r="D22" s="523">
        <f>H12/1000</f>
        <v>0.626</v>
      </c>
      <c r="E22" s="707"/>
      <c r="U22" s="481"/>
      <c r="V22" s="481"/>
      <c r="Z22" s="482"/>
    </row>
    <row r="23" spans="2:27">
      <c r="B23" s="508" t="s">
        <v>327</v>
      </c>
      <c r="C23" s="516" t="s">
        <v>321</v>
      </c>
      <c r="D23" s="523">
        <v>0.64</v>
      </c>
      <c r="E23" s="474" t="s">
        <v>328</v>
      </c>
      <c r="P23" s="481"/>
      <c r="V23" s="481"/>
      <c r="Z23" s="482"/>
    </row>
    <row r="24" spans="2:27">
      <c r="B24" s="508" t="s">
        <v>329</v>
      </c>
      <c r="C24" s="516" t="s">
        <v>307</v>
      </c>
      <c r="D24" s="524">
        <v>0</v>
      </c>
      <c r="U24" s="481"/>
      <c r="V24" s="481"/>
      <c r="Z24" s="482"/>
    </row>
    <row r="25" spans="2:27">
      <c r="B25" s="508"/>
      <c r="C25" s="509"/>
      <c r="D25" s="510"/>
      <c r="U25" s="481"/>
      <c r="V25" s="481"/>
      <c r="Z25" s="482"/>
    </row>
    <row r="26" spans="2:27">
      <c r="B26" s="508"/>
      <c r="C26" s="509"/>
      <c r="D26" s="510"/>
      <c r="U26" s="481"/>
      <c r="V26" s="481"/>
      <c r="Z26" s="482"/>
    </row>
    <row r="27" spans="2:27">
      <c r="B27" s="525" t="s">
        <v>330</v>
      </c>
      <c r="C27" s="526" t="s">
        <v>331</v>
      </c>
      <c r="D27" s="527">
        <f>D5</f>
        <v>10616514.983335815</v>
      </c>
      <c r="U27" s="481"/>
      <c r="V27" s="481"/>
      <c r="Z27" s="482"/>
    </row>
    <row r="28" spans="2:27">
      <c r="U28" s="481"/>
      <c r="V28" s="481"/>
      <c r="Z28" s="482"/>
    </row>
    <row r="29" spans="2:27">
      <c r="B29" s="528" t="s">
        <v>332</v>
      </c>
      <c r="C29" s="529">
        <v>1</v>
      </c>
      <c r="D29" s="530" t="s">
        <v>333</v>
      </c>
      <c r="M29" s="481"/>
      <c r="U29" s="481"/>
      <c r="V29" s="481"/>
      <c r="Z29" s="482"/>
    </row>
    <row r="30" spans="2:27">
      <c r="B30" s="531" t="s">
        <v>334</v>
      </c>
      <c r="C30" s="532">
        <v>1000</v>
      </c>
      <c r="D30" s="533" t="s">
        <v>335</v>
      </c>
      <c r="O30" s="481"/>
      <c r="P30" s="481"/>
      <c r="V30" s="481"/>
      <c r="W30" s="481"/>
      <c r="AA30" s="482"/>
    </row>
    <row r="31" spans="2:27">
      <c r="B31" s="531" t="s">
        <v>336</v>
      </c>
      <c r="C31" s="534">
        <v>3.5999999999999999E-3</v>
      </c>
      <c r="D31" s="533" t="s">
        <v>337</v>
      </c>
      <c r="O31" s="481"/>
      <c r="P31" s="481"/>
      <c r="V31" s="481"/>
      <c r="W31" s="481"/>
      <c r="AA31" s="482"/>
    </row>
    <row r="33" spans="2:5" ht="12.95">
      <c r="B33" s="880" t="s">
        <v>338</v>
      </c>
      <c r="C33" s="881"/>
      <c r="D33" s="882"/>
    </row>
    <row r="34" spans="2:5">
      <c r="B34" s="535" t="s">
        <v>339</v>
      </c>
      <c r="C34" s="536" t="s">
        <v>307</v>
      </c>
      <c r="D34" s="517">
        <v>1</v>
      </c>
    </row>
    <row r="35" spans="2:5">
      <c r="B35" s="531" t="s">
        <v>340</v>
      </c>
      <c r="C35" s="533" t="s">
        <v>307</v>
      </c>
      <c r="D35" s="524">
        <v>0</v>
      </c>
    </row>
    <row r="36" spans="2:5">
      <c r="B36" s="537" t="s">
        <v>341</v>
      </c>
      <c r="C36" s="538" t="s">
        <v>342</v>
      </c>
      <c r="D36" s="539">
        <v>25</v>
      </c>
    </row>
    <row r="37" spans="2:5">
      <c r="B37" s="531" t="s">
        <v>343</v>
      </c>
      <c r="C37" s="533" t="s">
        <v>342</v>
      </c>
      <c r="D37" s="540">
        <v>25</v>
      </c>
    </row>
    <row r="38" spans="2:5">
      <c r="B38" s="537" t="s">
        <v>344</v>
      </c>
      <c r="C38" s="538" t="s">
        <v>307</v>
      </c>
      <c r="D38" s="518">
        <v>0.14699999999999999</v>
      </c>
      <c r="E38" s="474" t="s">
        <v>308</v>
      </c>
    </row>
    <row r="39" spans="2:5">
      <c r="B39" s="537" t="s">
        <v>345</v>
      </c>
      <c r="C39" s="538" t="s">
        <v>307</v>
      </c>
      <c r="D39" s="518">
        <f>0.0075</f>
        <v>7.4999999999999997E-3</v>
      </c>
    </row>
    <row r="40" spans="2:5">
      <c r="B40" s="537" t="s">
        <v>346</v>
      </c>
      <c r="C40" s="538" t="s">
        <v>307</v>
      </c>
      <c r="D40" s="518">
        <v>0.12</v>
      </c>
      <c r="E40" s="474" t="s">
        <v>347</v>
      </c>
    </row>
    <row r="41" spans="2:5">
      <c r="B41" s="531" t="s">
        <v>348</v>
      </c>
      <c r="C41" s="533" t="s">
        <v>307</v>
      </c>
      <c r="D41" s="524">
        <v>0.2</v>
      </c>
      <c r="E41" s="474" t="s">
        <v>349</v>
      </c>
    </row>
    <row r="43" spans="2:5" ht="13.5" thickBot="1">
      <c r="B43" s="883" t="s">
        <v>350</v>
      </c>
      <c r="C43" s="883"/>
      <c r="D43" s="883"/>
    </row>
    <row r="44" spans="2:5" ht="12.95" thickTop="1">
      <c r="B44" s="509" t="s">
        <v>351</v>
      </c>
      <c r="C44" s="541">
        <f>D101</f>
        <v>10616514.983335815</v>
      </c>
      <c r="D44" s="516" t="s">
        <v>331</v>
      </c>
    </row>
    <row r="45" spans="2:5">
      <c r="B45" s="509" t="s">
        <v>352</v>
      </c>
      <c r="C45" s="541">
        <f>SUM(D83:AB84)</f>
        <v>4071041.0568394726</v>
      </c>
      <c r="D45" s="516" t="s">
        <v>331</v>
      </c>
    </row>
    <row r="46" spans="2:5" ht="13.5" thickBot="1">
      <c r="B46" s="542" t="s">
        <v>97</v>
      </c>
      <c r="C46" s="543">
        <f>C45+C44</f>
        <v>14687556.040175289</v>
      </c>
      <c r="D46" s="544" t="s">
        <v>331</v>
      </c>
    </row>
    <row r="47" spans="2:5">
      <c r="B47" s="509" t="s">
        <v>353</v>
      </c>
      <c r="C47" s="541">
        <f>D125</f>
        <v>-22262265.697396062</v>
      </c>
      <c r="D47" s="516" t="s">
        <v>331</v>
      </c>
    </row>
    <row r="48" spans="2:5">
      <c r="B48" s="509" t="s">
        <v>354</v>
      </c>
      <c r="C48" s="541">
        <f>D131</f>
        <v>-9354112.4571211971</v>
      </c>
      <c r="D48" s="516" t="s">
        <v>331</v>
      </c>
    </row>
    <row r="49" spans="2:4" ht="13.5" thickBot="1">
      <c r="B49" s="542" t="s">
        <v>355</v>
      </c>
      <c r="C49" s="543">
        <f>C46-C47-C48</f>
        <v>46303934.194692552</v>
      </c>
      <c r="D49" s="544" t="s">
        <v>331</v>
      </c>
    </row>
    <row r="51" spans="2:4" ht="13.5" thickBot="1">
      <c r="B51" s="883" t="s">
        <v>356</v>
      </c>
      <c r="C51" s="883"/>
      <c r="D51" s="883"/>
    </row>
    <row r="52" spans="2:4" ht="12.95" thickTop="1">
      <c r="B52" s="509" t="s">
        <v>351</v>
      </c>
      <c r="C52" s="541">
        <f>C44/D79</f>
        <v>2.3470319634703189E-2</v>
      </c>
      <c r="D52" s="516" t="s">
        <v>331</v>
      </c>
    </row>
    <row r="53" spans="2:4">
      <c r="B53" s="509" t="s">
        <v>352</v>
      </c>
      <c r="C53" s="541">
        <f>C45/D79</f>
        <v>8.9999999999999959E-3</v>
      </c>
      <c r="D53" s="516" t="s">
        <v>331</v>
      </c>
    </row>
    <row r="54" spans="2:4" ht="13.5" thickBot="1">
      <c r="B54" s="542" t="s">
        <v>97</v>
      </c>
      <c r="C54" s="543">
        <f>C53+C52</f>
        <v>3.2470319634703183E-2</v>
      </c>
      <c r="D54" s="544" t="s">
        <v>331</v>
      </c>
    </row>
    <row r="55" spans="2:4">
      <c r="B55" s="509" t="s">
        <v>353</v>
      </c>
      <c r="C55" s="541">
        <f>C47/D79</f>
        <v>-4.9216008504741782E-2</v>
      </c>
      <c r="D55" s="516" t="s">
        <v>331</v>
      </c>
    </row>
    <row r="56" spans="2:4">
      <c r="B56" s="509" t="s">
        <v>354</v>
      </c>
      <c r="C56" s="541">
        <f>C48/D79</f>
        <v>-2.067948E-2</v>
      </c>
      <c r="D56" s="516" t="s">
        <v>331</v>
      </c>
    </row>
    <row r="57" spans="2:4" ht="13.5" thickBot="1">
      <c r="B57" s="542" t="s">
        <v>355</v>
      </c>
      <c r="C57" s="543">
        <f>C54-C55-C56</f>
        <v>0.10236580813944496</v>
      </c>
      <c r="D57" s="544" t="s">
        <v>331</v>
      </c>
    </row>
    <row r="59" spans="2:4" ht="12.95">
      <c r="B59" s="880" t="s">
        <v>357</v>
      </c>
      <c r="C59" s="881"/>
      <c r="D59" s="882"/>
    </row>
    <row r="60" spans="2:4" ht="12.95">
      <c r="B60" s="528" t="s">
        <v>358</v>
      </c>
      <c r="C60" s="545" t="s">
        <v>359</v>
      </c>
      <c r="D60" s="521">
        <f>SUM(D111:AM111)/SUM(D110:AM110)</f>
        <v>0.12732308510071325</v>
      </c>
    </row>
    <row r="61" spans="2:4" ht="12.95">
      <c r="B61" s="528" t="s">
        <v>360</v>
      </c>
      <c r="C61" s="545" t="s">
        <v>359</v>
      </c>
      <c r="D61" s="521">
        <f>SUM(D112:AM112)/SUM(D110:AM110)</f>
        <v>0.14716510668317745</v>
      </c>
    </row>
    <row r="62" spans="2:4" ht="12.95">
      <c r="B62" s="528" t="s">
        <v>358</v>
      </c>
      <c r="C62" s="545" t="s">
        <v>361</v>
      </c>
      <c r="D62" s="546">
        <f>D60/$C$31</f>
        <v>35.367523639087011</v>
      </c>
    </row>
    <row r="63" spans="2:4" ht="12.95">
      <c r="B63" s="528" t="s">
        <v>362</v>
      </c>
      <c r="C63" s="545" t="s">
        <v>361</v>
      </c>
      <c r="D63" s="546">
        <f>D61/C31</f>
        <v>40.879196300882626</v>
      </c>
    </row>
    <row r="65" spans="1:39" ht="13.5" thickBot="1">
      <c r="B65" s="547" t="s">
        <v>363</v>
      </c>
      <c r="C65" s="548" t="s">
        <v>364</v>
      </c>
      <c r="D65" s="547"/>
    </row>
    <row r="66" spans="1:39" ht="12.95" thickTop="1">
      <c r="B66" s="549" t="s">
        <v>365</v>
      </c>
      <c r="C66" s="516" t="s">
        <v>331</v>
      </c>
      <c r="D66" s="550">
        <f>(D16-D60)*SUM(D78:AB78)</f>
        <v>-21406024.70903467</v>
      </c>
    </row>
    <row r="67" spans="1:39">
      <c r="B67" s="549" t="s">
        <v>366</v>
      </c>
      <c r="C67" s="516" t="s">
        <v>331</v>
      </c>
      <c r="D67" s="550">
        <f>(D17-D60)*SUM(D78:AB78)</f>
        <v>46444659.571623243</v>
      </c>
    </row>
    <row r="68" spans="1:39">
      <c r="B68" s="549" t="s">
        <v>367</v>
      </c>
      <c r="C68" s="516" t="s">
        <v>368</v>
      </c>
      <c r="D68" s="551">
        <f>D21*SUM(D78:AB78)</f>
        <v>306232755.0533694</v>
      </c>
      <c r="E68" s="484"/>
    </row>
    <row r="69" spans="1:39">
      <c r="B69" s="549" t="s">
        <v>369</v>
      </c>
      <c r="C69" s="516" t="s">
        <v>368</v>
      </c>
      <c r="D69" s="551">
        <f>D23*SUM(D78:AB78)</f>
        <v>289496252.93080705</v>
      </c>
      <c r="E69" s="484"/>
    </row>
    <row r="71" spans="1:39">
      <c r="B71" s="509" t="s">
        <v>370</v>
      </c>
      <c r="C71" s="516" t="s">
        <v>371</v>
      </c>
      <c r="D71" s="551">
        <f>SUM(D78:AB78)</f>
        <v>452337895.20438606</v>
      </c>
    </row>
    <row r="72" spans="1:39">
      <c r="B72" s="509" t="s">
        <v>372</v>
      </c>
      <c r="C72" s="552" t="s">
        <v>373</v>
      </c>
      <c r="D72" s="553">
        <f>D120</f>
        <v>-289496.25293080695</v>
      </c>
    </row>
    <row r="75" spans="1:39" ht="12.95">
      <c r="B75" s="554" t="s">
        <v>67</v>
      </c>
      <c r="C75" s="555"/>
      <c r="D75" s="556" t="s">
        <v>374</v>
      </c>
      <c r="E75" s="556" t="s">
        <v>375</v>
      </c>
      <c r="F75" s="556" t="s">
        <v>376</v>
      </c>
      <c r="G75" s="556" t="s">
        <v>377</v>
      </c>
      <c r="H75" s="556" t="s">
        <v>378</v>
      </c>
      <c r="I75" s="556" t="s">
        <v>379</v>
      </c>
      <c r="J75" s="556" t="s">
        <v>380</v>
      </c>
      <c r="K75" s="556" t="s">
        <v>381</v>
      </c>
      <c r="L75" s="556" t="s">
        <v>382</v>
      </c>
      <c r="M75" s="556" t="s">
        <v>383</v>
      </c>
      <c r="N75" s="556" t="s">
        <v>384</v>
      </c>
      <c r="O75" s="556" t="s">
        <v>385</v>
      </c>
      <c r="P75" s="556" t="s">
        <v>386</v>
      </c>
      <c r="Q75" s="556" t="s">
        <v>387</v>
      </c>
      <c r="R75" s="556" t="s">
        <v>388</v>
      </c>
      <c r="S75" s="556" t="s">
        <v>389</v>
      </c>
      <c r="T75" s="556" t="s">
        <v>390</v>
      </c>
      <c r="U75" s="556" t="s">
        <v>391</v>
      </c>
      <c r="V75" s="556" t="s">
        <v>392</v>
      </c>
      <c r="W75" s="556" t="s">
        <v>393</v>
      </c>
      <c r="X75" s="556" t="s">
        <v>394</v>
      </c>
      <c r="Y75" s="556" t="s">
        <v>395</v>
      </c>
      <c r="Z75" s="556" t="s">
        <v>396</v>
      </c>
      <c r="AA75" s="556" t="s">
        <v>397</v>
      </c>
      <c r="AB75" s="556" t="s">
        <v>398</v>
      </c>
      <c r="AC75" s="556" t="s">
        <v>399</v>
      </c>
      <c r="AD75" s="556" t="s">
        <v>400</v>
      </c>
      <c r="AE75" s="556" t="s">
        <v>401</v>
      </c>
      <c r="AF75" s="556" t="s">
        <v>402</v>
      </c>
      <c r="AG75" s="556" t="s">
        <v>403</v>
      </c>
      <c r="AH75" s="556" t="s">
        <v>404</v>
      </c>
      <c r="AI75" s="556" t="s">
        <v>405</v>
      </c>
      <c r="AJ75" s="556" t="s">
        <v>406</v>
      </c>
      <c r="AK75" s="556" t="s">
        <v>407</v>
      </c>
      <c r="AL75" s="556" t="s">
        <v>408</v>
      </c>
      <c r="AM75" s="556" t="s">
        <v>409</v>
      </c>
    </row>
    <row r="76" spans="1:39">
      <c r="B76" s="557" t="s">
        <v>410</v>
      </c>
      <c r="C76" s="558"/>
      <c r="D76" s="559">
        <v>0</v>
      </c>
      <c r="E76" s="559">
        <v>1</v>
      </c>
      <c r="F76" s="559">
        <v>2</v>
      </c>
      <c r="G76" s="559">
        <v>3</v>
      </c>
      <c r="H76" s="559">
        <v>4</v>
      </c>
      <c r="I76" s="559">
        <v>5</v>
      </c>
      <c r="J76" s="559">
        <v>6</v>
      </c>
      <c r="K76" s="559">
        <v>7</v>
      </c>
      <c r="L76" s="559">
        <v>8</v>
      </c>
      <c r="M76" s="559">
        <v>9</v>
      </c>
      <c r="N76" s="559">
        <v>10</v>
      </c>
      <c r="O76" s="559">
        <v>11</v>
      </c>
      <c r="P76" s="559">
        <v>12</v>
      </c>
      <c r="Q76" s="559">
        <v>13</v>
      </c>
      <c r="R76" s="559">
        <v>14</v>
      </c>
      <c r="S76" s="559">
        <v>15</v>
      </c>
      <c r="T76" s="559">
        <v>16</v>
      </c>
      <c r="U76" s="559">
        <v>17</v>
      </c>
      <c r="V76" s="559">
        <v>18</v>
      </c>
      <c r="W76" s="559">
        <v>19</v>
      </c>
      <c r="X76" s="559">
        <v>20</v>
      </c>
      <c r="Y76" s="559">
        <v>21</v>
      </c>
      <c r="Z76" s="559">
        <v>22</v>
      </c>
      <c r="AA76" s="559">
        <v>23</v>
      </c>
      <c r="AB76" s="559">
        <v>24</v>
      </c>
      <c r="AC76" s="559">
        <v>25</v>
      </c>
      <c r="AD76" s="559">
        <v>26</v>
      </c>
      <c r="AE76" s="559">
        <v>27</v>
      </c>
      <c r="AF76" s="559">
        <v>28</v>
      </c>
      <c r="AG76" s="559">
        <v>29</v>
      </c>
      <c r="AH76" s="559">
        <v>30</v>
      </c>
      <c r="AI76" s="559">
        <v>31</v>
      </c>
      <c r="AJ76" s="559">
        <v>32</v>
      </c>
      <c r="AK76" s="559">
        <v>33</v>
      </c>
      <c r="AL76" s="559">
        <v>34</v>
      </c>
      <c r="AM76" s="560">
        <v>35</v>
      </c>
    </row>
    <row r="77" spans="1:39" ht="18" customHeight="1">
      <c r="B77" s="478"/>
      <c r="C77" s="485"/>
      <c r="D77" s="485"/>
    </row>
    <row r="78" spans="1:39">
      <c r="B78" s="561" t="s">
        <v>411</v>
      </c>
      <c r="C78" s="545" t="s">
        <v>412</v>
      </c>
      <c r="D78" s="562">
        <f>GuineaDigesterAnaly!B68</f>
        <v>18093515.808175437</v>
      </c>
      <c r="E78" s="532">
        <f>'GuiBiogas Electricity Fin '!$D$78</f>
        <v>18093515.808175437</v>
      </c>
      <c r="F78" s="532">
        <f>'GuiBiogas Electricity Fin '!$D$78</f>
        <v>18093515.808175437</v>
      </c>
      <c r="G78" s="532">
        <f>'GuiBiogas Electricity Fin '!$D$78</f>
        <v>18093515.808175437</v>
      </c>
      <c r="H78" s="532">
        <f>'GuiBiogas Electricity Fin '!$D$78</f>
        <v>18093515.808175437</v>
      </c>
      <c r="I78" s="532">
        <f>'GuiBiogas Electricity Fin '!$D$78</f>
        <v>18093515.808175437</v>
      </c>
      <c r="J78" s="532">
        <f>'GuiBiogas Electricity Fin '!$D$78</f>
        <v>18093515.808175437</v>
      </c>
      <c r="K78" s="532">
        <f>'GuiBiogas Electricity Fin '!$D$78</f>
        <v>18093515.808175437</v>
      </c>
      <c r="L78" s="532">
        <f>'GuiBiogas Electricity Fin '!$D$78</f>
        <v>18093515.808175437</v>
      </c>
      <c r="M78" s="532">
        <f>'GuiBiogas Electricity Fin '!$D$78</f>
        <v>18093515.808175437</v>
      </c>
      <c r="N78" s="532">
        <f>'GuiBiogas Electricity Fin '!$D$78</f>
        <v>18093515.808175437</v>
      </c>
      <c r="O78" s="532">
        <f>'GuiBiogas Electricity Fin '!$D$78</f>
        <v>18093515.808175437</v>
      </c>
      <c r="P78" s="532">
        <f>'GuiBiogas Electricity Fin '!$D$78</f>
        <v>18093515.808175437</v>
      </c>
      <c r="Q78" s="532">
        <f>'GuiBiogas Electricity Fin '!$D$78</f>
        <v>18093515.808175437</v>
      </c>
      <c r="R78" s="719">
        <f>'GuiBiogas Electricity Fin '!$D$78</f>
        <v>18093515.808175437</v>
      </c>
      <c r="S78" s="532">
        <f>'GuiBiogas Electricity Fin '!$D$78</f>
        <v>18093515.808175437</v>
      </c>
      <c r="T78" s="532">
        <f>'GuiBiogas Electricity Fin '!$D$78</f>
        <v>18093515.808175437</v>
      </c>
      <c r="U78" s="532">
        <f>'GuiBiogas Electricity Fin '!$D$78</f>
        <v>18093515.808175437</v>
      </c>
      <c r="V78" s="532">
        <f>'GuiBiogas Electricity Fin '!$D$78</f>
        <v>18093515.808175437</v>
      </c>
      <c r="W78" s="532">
        <f>'GuiBiogas Electricity Fin '!$D$78</f>
        <v>18093515.808175437</v>
      </c>
      <c r="X78" s="532">
        <f>'GuiBiogas Electricity Fin '!$D$78</f>
        <v>18093515.808175437</v>
      </c>
      <c r="Y78" s="532">
        <f>'GuiBiogas Electricity Fin '!$D$78</f>
        <v>18093515.808175437</v>
      </c>
      <c r="Z78" s="532">
        <f>'GuiBiogas Electricity Fin '!$D$78</f>
        <v>18093515.808175437</v>
      </c>
      <c r="AA78" s="532">
        <f>'GuiBiogas Electricity Fin '!$D$78</f>
        <v>18093515.808175437</v>
      </c>
      <c r="AB78" s="532">
        <f>'GuiBiogas Electricity Fin '!$D$78</f>
        <v>18093515.808175437</v>
      </c>
      <c r="AC78" s="532">
        <f>AB78</f>
        <v>18093515.808175437</v>
      </c>
      <c r="AD78" s="532">
        <f>IF(AD76&lt;=$D$37,AC78*(1-'GuiBiogas Electricity Fin '!$D$24),0)</f>
        <v>0</v>
      </c>
      <c r="AE78" s="532">
        <f>IF(AE76&lt;=$D$37,AD78*(1-'GuiBiogas Electricity Fin '!$D$24),0)</f>
        <v>0</v>
      </c>
      <c r="AF78" s="532">
        <f>IF(AF76&lt;=$D$37,AE78*(1-'GuiBiogas Electricity Fin '!$D$24),0)</f>
        <v>0</v>
      </c>
      <c r="AG78" s="532">
        <f>IF(AG76&lt;=$D$37,AF78*(1-'GuiBiogas Electricity Fin '!$D$24),0)</f>
        <v>0</v>
      </c>
      <c r="AH78" s="532">
        <f>IF(AH76&lt;=$D$37,AG78*(1-'GuiBiogas Electricity Fin '!$D$24),0)</f>
        <v>0</v>
      </c>
      <c r="AI78" s="532">
        <f>IF(AI76&lt;=$D$37,AH78*(1-'GuiBiogas Electricity Fin '!$D$24),0)</f>
        <v>0</v>
      </c>
      <c r="AJ78" s="532">
        <f>IF(AJ76&lt;=$D$37,AI78*(1-'GuiBiogas Electricity Fin '!$D$24),0)</f>
        <v>0</v>
      </c>
      <c r="AK78" s="532">
        <f>IF(AK76&lt;=$D$37,AJ78*(1-'GuiBiogas Electricity Fin '!$D$24),0)</f>
        <v>0</v>
      </c>
      <c r="AL78" s="532">
        <f>IF(AL76&lt;=$D$37,AK78*(1-'GuiBiogas Electricity Fin '!$D$24),0)</f>
        <v>0</v>
      </c>
      <c r="AM78" s="563">
        <f>IF(AM76&lt;=$D$37,AL78*(1-'GuiBiogas Electricity Fin '!$D$24),0)</f>
        <v>0</v>
      </c>
    </row>
    <row r="79" spans="1:39" s="487" customFormat="1">
      <c r="A79" s="474"/>
      <c r="B79" s="564" t="s">
        <v>413</v>
      </c>
      <c r="C79" s="545" t="s">
        <v>371</v>
      </c>
      <c r="D79" s="563">
        <f>SUM(D78:AB78)</f>
        <v>452337895.20438606</v>
      </c>
      <c r="E79" s="486"/>
      <c r="F79" s="486"/>
      <c r="G79" s="486"/>
      <c r="H79" s="486"/>
      <c r="I79" s="486"/>
      <c r="J79" s="486"/>
      <c r="K79" s="486"/>
      <c r="L79" s="486"/>
      <c r="M79" s="486"/>
      <c r="N79" s="486"/>
      <c r="O79" s="486"/>
      <c r="P79" s="486"/>
      <c r="Q79" s="486"/>
      <c r="R79" s="720"/>
      <c r="S79" s="486"/>
      <c r="T79" s="486"/>
      <c r="U79" s="486"/>
      <c r="V79" s="486"/>
      <c r="W79" s="486"/>
      <c r="X79" s="486"/>
      <c r="Y79" s="486"/>
      <c r="Z79" s="486"/>
      <c r="AA79" s="486"/>
      <c r="AB79" s="486"/>
      <c r="AC79" s="486"/>
      <c r="AD79" s="486"/>
      <c r="AE79" s="486"/>
      <c r="AF79" s="486"/>
      <c r="AG79" s="486"/>
      <c r="AH79" s="486"/>
      <c r="AI79" s="486"/>
      <c r="AJ79" s="486"/>
      <c r="AK79" s="486"/>
      <c r="AL79" s="486"/>
      <c r="AM79" s="486"/>
    </row>
    <row r="80" spans="1:39">
      <c r="B80" s="478"/>
      <c r="C80" s="485"/>
      <c r="D80" s="488"/>
      <c r="E80" s="488"/>
      <c r="F80" s="488"/>
      <c r="G80" s="488"/>
      <c r="H80" s="488"/>
      <c r="I80" s="488"/>
      <c r="J80" s="488"/>
      <c r="K80" s="488"/>
      <c r="L80" s="488"/>
      <c r="M80" s="488"/>
      <c r="N80" s="488"/>
      <c r="O80" s="488"/>
      <c r="P80" s="488"/>
      <c r="Q80" s="488"/>
      <c r="R80" s="488"/>
      <c r="S80" s="488"/>
      <c r="T80" s="488"/>
      <c r="U80" s="488"/>
      <c r="V80" s="488"/>
      <c r="W80" s="488"/>
      <c r="X80" s="488"/>
      <c r="Y80" s="488"/>
      <c r="Z80" s="488"/>
      <c r="AA80" s="488"/>
      <c r="AB80" s="488"/>
      <c r="AC80" s="488"/>
      <c r="AD80" s="488"/>
      <c r="AE80" s="488"/>
      <c r="AF80" s="488"/>
      <c r="AG80" s="488"/>
      <c r="AH80" s="488"/>
      <c r="AI80" s="488"/>
      <c r="AJ80" s="488"/>
      <c r="AK80" s="488"/>
      <c r="AL80" s="488"/>
      <c r="AM80" s="488"/>
    </row>
    <row r="81" spans="2:39" ht="12.95">
      <c r="B81" s="565" t="s">
        <v>414</v>
      </c>
      <c r="C81" s="566" t="s">
        <v>364</v>
      </c>
      <c r="D81" s="485"/>
      <c r="E81" s="489"/>
      <c r="F81" s="489"/>
      <c r="G81" s="489"/>
      <c r="H81" s="489"/>
      <c r="I81" s="489"/>
      <c r="J81" s="489"/>
      <c r="K81" s="489"/>
      <c r="L81" s="489"/>
      <c r="M81" s="489"/>
      <c r="N81" s="489"/>
      <c r="O81" s="489"/>
      <c r="P81" s="489"/>
      <c r="Q81" s="489"/>
      <c r="R81" s="489"/>
      <c r="S81" s="489"/>
      <c r="T81" s="489"/>
      <c r="U81" s="489"/>
      <c r="V81" s="489"/>
      <c r="W81" s="489"/>
      <c r="X81" s="489"/>
      <c r="Y81" s="489"/>
      <c r="Z81" s="489"/>
      <c r="AA81" s="489"/>
      <c r="AB81" s="489"/>
      <c r="AC81" s="489"/>
      <c r="AD81" s="489"/>
      <c r="AE81" s="489"/>
      <c r="AF81" s="489"/>
      <c r="AG81" s="489"/>
      <c r="AH81" s="489"/>
      <c r="AI81" s="489"/>
      <c r="AJ81" s="489"/>
      <c r="AK81" s="489"/>
      <c r="AL81" s="489"/>
      <c r="AM81" s="489"/>
    </row>
    <row r="82" spans="2:39" ht="12.95">
      <c r="B82" s="505" t="s">
        <v>415</v>
      </c>
      <c r="C82" s="567">
        <f>0.9/100</f>
        <v>9.0000000000000011E-3</v>
      </c>
      <c r="D82" s="485"/>
      <c r="E82" s="489"/>
      <c r="F82" s="489"/>
      <c r="G82" s="489"/>
      <c r="H82" s="489"/>
      <c r="I82" s="489"/>
      <c r="J82" s="489"/>
      <c r="K82" s="489"/>
      <c r="L82" s="489"/>
      <c r="M82" s="489"/>
      <c r="N82" s="489"/>
      <c r="O82" s="489"/>
      <c r="P82" s="489"/>
      <c r="Q82" s="489"/>
      <c r="R82" s="489"/>
      <c r="S82" s="489"/>
      <c r="T82" s="489"/>
      <c r="U82" s="489"/>
      <c r="V82" s="489"/>
      <c r="W82" s="489"/>
      <c r="X82" s="489"/>
      <c r="Y82" s="489"/>
      <c r="Z82" s="489"/>
      <c r="AA82" s="489"/>
      <c r="AB82" s="489"/>
      <c r="AC82" s="489"/>
      <c r="AD82" s="489"/>
      <c r="AE82" s="489"/>
      <c r="AF82" s="489"/>
      <c r="AG82" s="489"/>
      <c r="AH82" s="489"/>
      <c r="AI82" s="489"/>
      <c r="AJ82" s="489"/>
      <c r="AK82" s="489"/>
      <c r="AL82" s="489"/>
      <c r="AM82" s="489"/>
    </row>
    <row r="83" spans="2:39">
      <c r="B83" s="568" t="s">
        <v>416</v>
      </c>
      <c r="C83" s="569" t="s">
        <v>417</v>
      </c>
      <c r="D83" s="570">
        <f>D78*C82</f>
        <v>162841.64227357897</v>
      </c>
      <c r="E83" s="571">
        <f>'GuiBiogas Electricity Fin '!$D$83</f>
        <v>162841.64227357897</v>
      </c>
      <c r="F83" s="571">
        <f>'GuiBiogas Electricity Fin '!$D$83</f>
        <v>162841.64227357897</v>
      </c>
      <c r="G83" s="571">
        <f>'GuiBiogas Electricity Fin '!$D$83</f>
        <v>162841.64227357897</v>
      </c>
      <c r="H83" s="571">
        <f>'GuiBiogas Electricity Fin '!$D$83</f>
        <v>162841.64227357897</v>
      </c>
      <c r="I83" s="571">
        <f>'GuiBiogas Electricity Fin '!$D$83</f>
        <v>162841.64227357897</v>
      </c>
      <c r="J83" s="571">
        <f>'GuiBiogas Electricity Fin '!$D$83</f>
        <v>162841.64227357897</v>
      </c>
      <c r="K83" s="571">
        <f>'GuiBiogas Electricity Fin '!$D$83</f>
        <v>162841.64227357897</v>
      </c>
      <c r="L83" s="571">
        <f>'GuiBiogas Electricity Fin '!$D$83</f>
        <v>162841.64227357897</v>
      </c>
      <c r="M83" s="571">
        <f>'GuiBiogas Electricity Fin '!$D$83</f>
        <v>162841.64227357897</v>
      </c>
      <c r="N83" s="571">
        <f>'GuiBiogas Electricity Fin '!$D$83</f>
        <v>162841.64227357897</v>
      </c>
      <c r="O83" s="571">
        <f>'GuiBiogas Electricity Fin '!$D$83</f>
        <v>162841.64227357897</v>
      </c>
      <c r="P83" s="571">
        <f>'GuiBiogas Electricity Fin '!$D$83</f>
        <v>162841.64227357897</v>
      </c>
      <c r="Q83" s="571">
        <f>'GuiBiogas Electricity Fin '!$D$83</f>
        <v>162841.64227357897</v>
      </c>
      <c r="R83" s="715">
        <f>'GuiBiogas Electricity Fin '!$D$83</f>
        <v>162841.64227357897</v>
      </c>
      <c r="S83" s="571">
        <f>'GuiBiogas Electricity Fin '!$D$83</f>
        <v>162841.64227357897</v>
      </c>
      <c r="T83" s="571">
        <f>'GuiBiogas Electricity Fin '!$D$83</f>
        <v>162841.64227357897</v>
      </c>
      <c r="U83" s="571">
        <f>'GuiBiogas Electricity Fin '!$D$83</f>
        <v>162841.64227357897</v>
      </c>
      <c r="V83" s="571">
        <f>'GuiBiogas Electricity Fin '!$D$83</f>
        <v>162841.64227357897</v>
      </c>
      <c r="W83" s="571">
        <f>'GuiBiogas Electricity Fin '!$D$83</f>
        <v>162841.64227357897</v>
      </c>
      <c r="X83" s="571">
        <f>'GuiBiogas Electricity Fin '!$D$83</f>
        <v>162841.64227357897</v>
      </c>
      <c r="Y83" s="571">
        <f>'GuiBiogas Electricity Fin '!$D$83</f>
        <v>162841.64227357897</v>
      </c>
      <c r="Z83" s="571">
        <f>'GuiBiogas Electricity Fin '!$D$83</f>
        <v>162841.64227357897</v>
      </c>
      <c r="AA83" s="571">
        <f>'GuiBiogas Electricity Fin '!$D$83</f>
        <v>162841.64227357897</v>
      </c>
      <c r="AB83" s="571">
        <f>'GuiBiogas Electricity Fin '!$D$83</f>
        <v>162841.64227357897</v>
      </c>
      <c r="AC83" s="571">
        <v>1642768.8673553236</v>
      </c>
      <c r="AD83" s="571">
        <f t="shared" ref="AD83:AM83" si="0">IF(AD76&lt;=$D$37,$D$7*$D$3*(1+$D$8)^(AD76-1),0)</f>
        <v>0</v>
      </c>
      <c r="AE83" s="571">
        <f t="shared" si="0"/>
        <v>0</v>
      </c>
      <c r="AF83" s="571">
        <f t="shared" si="0"/>
        <v>0</v>
      </c>
      <c r="AG83" s="571">
        <f t="shared" si="0"/>
        <v>0</v>
      </c>
      <c r="AH83" s="571">
        <f t="shared" si="0"/>
        <v>0</v>
      </c>
      <c r="AI83" s="571">
        <f t="shared" si="0"/>
        <v>0</v>
      </c>
      <c r="AJ83" s="571">
        <f t="shared" si="0"/>
        <v>0</v>
      </c>
      <c r="AK83" s="571">
        <f t="shared" si="0"/>
        <v>0</v>
      </c>
      <c r="AL83" s="571">
        <f t="shared" si="0"/>
        <v>0</v>
      </c>
      <c r="AM83" s="572">
        <f t="shared" si="0"/>
        <v>0</v>
      </c>
    </row>
    <row r="84" spans="2:39">
      <c r="B84" s="573" t="s">
        <v>418</v>
      </c>
      <c r="C84" s="574" t="s">
        <v>417</v>
      </c>
      <c r="D84" s="575">
        <f>'GuiBiogas Electricity Fin '!$D$9*D78*(1+'GuiBiogas Electricity Fin '!$D$10)^(D76-1)</f>
        <v>0</v>
      </c>
      <c r="E84" s="541">
        <f>'GuiBiogas Electricity Fin '!$D$9*E78*(1+'GuiBiogas Electricity Fin '!$D$10)^(E76-1)</f>
        <v>0</v>
      </c>
      <c r="F84" s="541">
        <f>'GuiBiogas Electricity Fin '!$D$9*F78*(1+'GuiBiogas Electricity Fin '!$D$10)^(F76-1)</f>
        <v>0</v>
      </c>
      <c r="G84" s="541">
        <f>'GuiBiogas Electricity Fin '!$D$9*G78*(1+'GuiBiogas Electricity Fin '!$D$10)^(G76-1)</f>
        <v>0</v>
      </c>
      <c r="H84" s="541">
        <f>'GuiBiogas Electricity Fin '!$D$9*H78*(1+'GuiBiogas Electricity Fin '!$D$10)^(H76-1)</f>
        <v>0</v>
      </c>
      <c r="I84" s="541">
        <f>'GuiBiogas Electricity Fin '!$D$9*I78*(1+'GuiBiogas Electricity Fin '!$D$10)^(I76-1)</f>
        <v>0</v>
      </c>
      <c r="J84" s="541">
        <f>'GuiBiogas Electricity Fin '!$D$9*J78*(1+'GuiBiogas Electricity Fin '!$D$10)^(J76-1)</f>
        <v>0</v>
      </c>
      <c r="K84" s="541">
        <f>'GuiBiogas Electricity Fin '!$D$9*K78*(1+'GuiBiogas Electricity Fin '!$D$10)^(K76-1)</f>
        <v>0</v>
      </c>
      <c r="L84" s="541">
        <f>'GuiBiogas Electricity Fin '!$D$9*L78*(1+'GuiBiogas Electricity Fin '!$D$10)^(L76-1)</f>
        <v>0</v>
      </c>
      <c r="M84" s="541">
        <f>'GuiBiogas Electricity Fin '!$D$9*M78*(1+'GuiBiogas Electricity Fin '!$D$10)^(M76-1)</f>
        <v>0</v>
      </c>
      <c r="N84" s="541">
        <f>'GuiBiogas Electricity Fin '!$D$9*N78*(1+'GuiBiogas Electricity Fin '!$D$10)^(N76-1)</f>
        <v>0</v>
      </c>
      <c r="O84" s="541">
        <f>'GuiBiogas Electricity Fin '!$D$9*O78*(1+'GuiBiogas Electricity Fin '!$D$10)^(O76-1)</f>
        <v>0</v>
      </c>
      <c r="P84" s="541">
        <f>'GuiBiogas Electricity Fin '!$D$9*P78*(1+'GuiBiogas Electricity Fin '!$D$10)^(P76-1)</f>
        <v>0</v>
      </c>
      <c r="Q84" s="541">
        <f>'GuiBiogas Electricity Fin '!$D$9*Q78*(1+'GuiBiogas Electricity Fin '!$D$10)^(Q76-1)</f>
        <v>0</v>
      </c>
      <c r="R84" s="721">
        <f>'GuiBiogas Electricity Fin '!$D$9*R78*(1+'GuiBiogas Electricity Fin '!$D$10)^(R76-1)</f>
        <v>0</v>
      </c>
      <c r="S84" s="541">
        <f>'GuiBiogas Electricity Fin '!$D$9*S78*(1+'GuiBiogas Electricity Fin '!$D$10)^(S76-1)</f>
        <v>0</v>
      </c>
      <c r="T84" s="541">
        <f>'GuiBiogas Electricity Fin '!$D$9*T78*(1+'GuiBiogas Electricity Fin '!$D$10)^(T76-1)</f>
        <v>0</v>
      </c>
      <c r="U84" s="541">
        <f>'GuiBiogas Electricity Fin '!$D$9*U78*(1+'GuiBiogas Electricity Fin '!$D$10)^(U76-1)</f>
        <v>0</v>
      </c>
      <c r="V84" s="541">
        <f>'GuiBiogas Electricity Fin '!$D$9*V78*(1+'GuiBiogas Electricity Fin '!$D$10)^(V76-1)</f>
        <v>0</v>
      </c>
      <c r="W84" s="541">
        <f>'GuiBiogas Electricity Fin '!$D$9*W78*(1+'GuiBiogas Electricity Fin '!$D$10)^(W76-1)</f>
        <v>0</v>
      </c>
      <c r="X84" s="541">
        <f>'GuiBiogas Electricity Fin '!$D$9*X78*(1+'GuiBiogas Electricity Fin '!$D$10)^(X76-1)</f>
        <v>0</v>
      </c>
      <c r="Y84" s="541">
        <f>'GuiBiogas Electricity Fin '!$D$9*Y78*(1+'GuiBiogas Electricity Fin '!$D$10)^(Y76-1)</f>
        <v>0</v>
      </c>
      <c r="Z84" s="541">
        <f>'GuiBiogas Electricity Fin '!$D$9*Z78*(1+'GuiBiogas Electricity Fin '!$D$10)^(Z76-1)</f>
        <v>0</v>
      </c>
      <c r="AA84" s="541">
        <f>'GuiBiogas Electricity Fin '!$D$9*AA78*(1+'GuiBiogas Electricity Fin '!$D$10)^(AA76-1)</f>
        <v>0</v>
      </c>
      <c r="AB84" s="541">
        <f>'GuiBiogas Electricity Fin '!$D$9*AB78*(1+'GuiBiogas Electricity Fin '!$D$10)^(AB76-1)</f>
        <v>0</v>
      </c>
      <c r="AC84" s="541">
        <f>'GuiBiogas Electricity Fin '!$D$9*AC78*(1+'GuiBiogas Electricity Fin '!$D$10)^(AC76-1)</f>
        <v>0</v>
      </c>
      <c r="AD84" s="541">
        <f>'GuiBiogas Electricity Fin '!$D$9*AD78*(1+'GuiBiogas Electricity Fin '!$D$10)^(AD76-1)</f>
        <v>0</v>
      </c>
      <c r="AE84" s="541">
        <f>'GuiBiogas Electricity Fin '!$D$9*AE78*(1+'GuiBiogas Electricity Fin '!$D$10)^(AE76-1)</f>
        <v>0</v>
      </c>
      <c r="AF84" s="541">
        <f>'GuiBiogas Electricity Fin '!$D$9*AF78*(1+'GuiBiogas Electricity Fin '!$D$10)^(AF76-1)</f>
        <v>0</v>
      </c>
      <c r="AG84" s="541">
        <f>'GuiBiogas Electricity Fin '!$D$9*AG78*(1+'GuiBiogas Electricity Fin '!$D$10)^(AG76-1)</f>
        <v>0</v>
      </c>
      <c r="AH84" s="541">
        <f>'GuiBiogas Electricity Fin '!$D$9*AH78*(1+'GuiBiogas Electricity Fin '!$D$10)^(AH76-1)</f>
        <v>0</v>
      </c>
      <c r="AI84" s="541">
        <f>'GuiBiogas Electricity Fin '!$D$9*AI78*(1+'GuiBiogas Electricity Fin '!$D$10)^(AI76-1)</f>
        <v>0</v>
      </c>
      <c r="AJ84" s="541">
        <f>'GuiBiogas Electricity Fin '!$D$9*AJ78*(1+'GuiBiogas Electricity Fin '!$D$10)^(AJ76-1)</f>
        <v>0</v>
      </c>
      <c r="AK84" s="541">
        <f>'GuiBiogas Electricity Fin '!$D$9*AK78*(1+'GuiBiogas Electricity Fin '!$D$10)^(AK76-1)</f>
        <v>0</v>
      </c>
      <c r="AL84" s="541">
        <f>'GuiBiogas Electricity Fin '!$D$9*AL78*(1+'GuiBiogas Electricity Fin '!$D$10)^(AL76-1)</f>
        <v>0</v>
      </c>
      <c r="AM84" s="576">
        <f>'GuiBiogas Electricity Fin '!$D$9*AM78*(1+'GuiBiogas Electricity Fin '!$D$10)^(AM76-1)</f>
        <v>0</v>
      </c>
    </row>
    <row r="85" spans="2:39">
      <c r="B85" s="577" t="s">
        <v>419</v>
      </c>
      <c r="C85" s="578" t="s">
        <v>417</v>
      </c>
      <c r="D85" s="579">
        <f>0</f>
        <v>0</v>
      </c>
      <c r="E85" s="580">
        <f>0</f>
        <v>0</v>
      </c>
      <c r="F85" s="580">
        <f>0</f>
        <v>0</v>
      </c>
      <c r="G85" s="580">
        <f>0</f>
        <v>0</v>
      </c>
      <c r="H85" s="580">
        <f>0</f>
        <v>0</v>
      </c>
      <c r="I85" s="580">
        <f>0</f>
        <v>0</v>
      </c>
      <c r="J85" s="580">
        <f>0</f>
        <v>0</v>
      </c>
      <c r="K85" s="580">
        <f>0</f>
        <v>0</v>
      </c>
      <c r="L85" s="580">
        <f>0</f>
        <v>0</v>
      </c>
      <c r="M85" s="580">
        <f>0</f>
        <v>0</v>
      </c>
      <c r="N85" s="580">
        <f>0</f>
        <v>0</v>
      </c>
      <c r="O85" s="580">
        <f>0</f>
        <v>0</v>
      </c>
      <c r="P85" s="580">
        <f>0</f>
        <v>0</v>
      </c>
      <c r="Q85" s="580">
        <f>0</f>
        <v>0</v>
      </c>
      <c r="R85" s="716">
        <f>0</f>
        <v>0</v>
      </c>
      <c r="S85" s="580">
        <f>0</f>
        <v>0</v>
      </c>
      <c r="T85" s="580">
        <f>0</f>
        <v>0</v>
      </c>
      <c r="U85" s="580">
        <f>0</f>
        <v>0</v>
      </c>
      <c r="V85" s="580">
        <f>0</f>
        <v>0</v>
      </c>
      <c r="W85" s="580">
        <f>0</f>
        <v>0</v>
      </c>
      <c r="X85" s="580">
        <f>0</f>
        <v>0</v>
      </c>
      <c r="Y85" s="580">
        <f>0</f>
        <v>0</v>
      </c>
      <c r="Z85" s="580">
        <f>0</f>
        <v>0</v>
      </c>
      <c r="AA85" s="580">
        <f>0</f>
        <v>0</v>
      </c>
      <c r="AB85" s="580">
        <f>0</f>
        <v>0</v>
      </c>
      <c r="AC85" s="580">
        <f>0</f>
        <v>0</v>
      </c>
      <c r="AD85" s="580">
        <f>0</f>
        <v>0</v>
      </c>
      <c r="AE85" s="580">
        <f>0</f>
        <v>0</v>
      </c>
      <c r="AF85" s="580">
        <f>0</f>
        <v>0</v>
      </c>
      <c r="AG85" s="580">
        <f>0</f>
        <v>0</v>
      </c>
      <c r="AH85" s="580">
        <f>0</f>
        <v>0</v>
      </c>
      <c r="AI85" s="580">
        <f>0</f>
        <v>0</v>
      </c>
      <c r="AJ85" s="580">
        <f>0</f>
        <v>0</v>
      </c>
      <c r="AK85" s="580">
        <f>0</f>
        <v>0</v>
      </c>
      <c r="AL85" s="580">
        <f>0</f>
        <v>0</v>
      </c>
      <c r="AM85" s="581">
        <f>0</f>
        <v>0</v>
      </c>
    </row>
    <row r="86" spans="2:39" ht="12.95">
      <c r="B86" s="582" t="s">
        <v>420</v>
      </c>
      <c r="C86" s="583" t="s">
        <v>417</v>
      </c>
      <c r="D86" s="584">
        <f>IF(D76&lt;=$D$37,SUM(D83:D84),0)</f>
        <v>162841.64227357897</v>
      </c>
      <c r="E86" s="585">
        <f t="shared" ref="E86:AM86" si="1">IF(E76&lt;=$D$37,SUM(E83:E84),0)</f>
        <v>162841.64227357897</v>
      </c>
      <c r="F86" s="585">
        <f t="shared" si="1"/>
        <v>162841.64227357897</v>
      </c>
      <c r="G86" s="585">
        <f t="shared" si="1"/>
        <v>162841.64227357897</v>
      </c>
      <c r="H86" s="585">
        <f t="shared" si="1"/>
        <v>162841.64227357897</v>
      </c>
      <c r="I86" s="585">
        <f t="shared" si="1"/>
        <v>162841.64227357897</v>
      </c>
      <c r="J86" s="585">
        <f t="shared" si="1"/>
        <v>162841.64227357897</v>
      </c>
      <c r="K86" s="585">
        <f t="shared" si="1"/>
        <v>162841.64227357897</v>
      </c>
      <c r="L86" s="585">
        <f t="shared" si="1"/>
        <v>162841.64227357897</v>
      </c>
      <c r="M86" s="585">
        <f t="shared" si="1"/>
        <v>162841.64227357897</v>
      </c>
      <c r="N86" s="585">
        <f t="shared" si="1"/>
        <v>162841.64227357897</v>
      </c>
      <c r="O86" s="585">
        <f t="shared" si="1"/>
        <v>162841.64227357897</v>
      </c>
      <c r="P86" s="585">
        <f t="shared" si="1"/>
        <v>162841.64227357897</v>
      </c>
      <c r="Q86" s="585">
        <f t="shared" si="1"/>
        <v>162841.64227357897</v>
      </c>
      <c r="R86" s="585">
        <f t="shared" si="1"/>
        <v>162841.64227357897</v>
      </c>
      <c r="S86" s="585">
        <f t="shared" si="1"/>
        <v>162841.64227357897</v>
      </c>
      <c r="T86" s="585">
        <f t="shared" si="1"/>
        <v>162841.64227357897</v>
      </c>
      <c r="U86" s="585">
        <f t="shared" si="1"/>
        <v>162841.64227357897</v>
      </c>
      <c r="V86" s="585">
        <f t="shared" si="1"/>
        <v>162841.64227357897</v>
      </c>
      <c r="W86" s="585">
        <f t="shared" si="1"/>
        <v>162841.64227357897</v>
      </c>
      <c r="X86" s="585">
        <f t="shared" si="1"/>
        <v>162841.64227357897</v>
      </c>
      <c r="Y86" s="585">
        <f t="shared" si="1"/>
        <v>162841.64227357897</v>
      </c>
      <c r="Z86" s="585">
        <f t="shared" si="1"/>
        <v>162841.64227357897</v>
      </c>
      <c r="AA86" s="585">
        <f t="shared" si="1"/>
        <v>162841.64227357897</v>
      </c>
      <c r="AB86" s="585">
        <f t="shared" si="1"/>
        <v>162841.64227357897</v>
      </c>
      <c r="AC86" s="585">
        <f t="shared" si="1"/>
        <v>1642768.8673553236</v>
      </c>
      <c r="AD86" s="585">
        <f t="shared" si="1"/>
        <v>0</v>
      </c>
      <c r="AE86" s="585">
        <f t="shared" si="1"/>
        <v>0</v>
      </c>
      <c r="AF86" s="585">
        <f t="shared" si="1"/>
        <v>0</v>
      </c>
      <c r="AG86" s="585">
        <f t="shared" si="1"/>
        <v>0</v>
      </c>
      <c r="AH86" s="585">
        <f t="shared" si="1"/>
        <v>0</v>
      </c>
      <c r="AI86" s="585">
        <f t="shared" si="1"/>
        <v>0</v>
      </c>
      <c r="AJ86" s="585">
        <f t="shared" si="1"/>
        <v>0</v>
      </c>
      <c r="AK86" s="585">
        <f t="shared" si="1"/>
        <v>0</v>
      </c>
      <c r="AL86" s="585">
        <f t="shared" si="1"/>
        <v>0</v>
      </c>
      <c r="AM86" s="586">
        <f t="shared" si="1"/>
        <v>0</v>
      </c>
    </row>
    <row r="87" spans="2:39" ht="12.95">
      <c r="B87" s="479"/>
      <c r="C87" s="491"/>
      <c r="D87" s="491"/>
      <c r="E87" s="492"/>
      <c r="F87" s="492"/>
      <c r="G87" s="492"/>
      <c r="H87" s="492"/>
      <c r="I87" s="492"/>
      <c r="J87" s="492"/>
      <c r="K87" s="492"/>
      <c r="L87" s="492"/>
      <c r="M87" s="492"/>
      <c r="N87" s="492"/>
      <c r="O87" s="492"/>
      <c r="P87" s="492"/>
      <c r="Q87" s="492"/>
      <c r="R87" s="493"/>
      <c r="S87" s="492"/>
      <c r="T87" s="492"/>
      <c r="U87" s="492"/>
      <c r="V87" s="492"/>
      <c r="W87" s="492"/>
      <c r="X87" s="492"/>
      <c r="Y87" s="492"/>
      <c r="Z87" s="492"/>
      <c r="AA87" s="492"/>
      <c r="AB87" s="492"/>
      <c r="AC87" s="492"/>
      <c r="AD87" s="492"/>
      <c r="AE87" s="492"/>
      <c r="AF87" s="492"/>
      <c r="AG87" s="492"/>
      <c r="AH87" s="492"/>
      <c r="AI87" s="492"/>
      <c r="AJ87" s="492"/>
      <c r="AK87" s="492"/>
      <c r="AL87" s="492"/>
      <c r="AM87" s="492"/>
    </row>
    <row r="88" spans="2:39" ht="12.95">
      <c r="B88" s="479"/>
      <c r="C88" s="491"/>
      <c r="D88" s="491"/>
      <c r="E88" s="492"/>
      <c r="F88" s="492"/>
      <c r="G88" s="492"/>
      <c r="H88" s="492"/>
      <c r="I88" s="492"/>
      <c r="J88" s="492"/>
      <c r="K88" s="492"/>
      <c r="L88" s="492"/>
      <c r="M88" s="492"/>
      <c r="N88" s="492"/>
      <c r="O88" s="492"/>
      <c r="P88" s="492"/>
      <c r="Q88" s="492"/>
      <c r="R88" s="493"/>
      <c r="S88" s="492"/>
      <c r="T88" s="492"/>
      <c r="U88" s="492"/>
      <c r="V88" s="492"/>
      <c r="W88" s="492"/>
      <c r="X88" s="492"/>
      <c r="Y88" s="492"/>
      <c r="Z88" s="492"/>
      <c r="AA88" s="492"/>
      <c r="AB88" s="492"/>
      <c r="AC88" s="492"/>
      <c r="AD88" s="492"/>
      <c r="AE88" s="492"/>
      <c r="AF88" s="492"/>
      <c r="AG88" s="492"/>
      <c r="AH88" s="492"/>
      <c r="AI88" s="492"/>
      <c r="AJ88" s="492"/>
      <c r="AK88" s="492"/>
      <c r="AL88" s="492"/>
      <c r="AM88" s="492"/>
    </row>
    <row r="89" spans="2:39" ht="12.95">
      <c r="B89" s="565" t="s">
        <v>421</v>
      </c>
      <c r="C89" s="566" t="s">
        <v>364</v>
      </c>
      <c r="D89" s="491"/>
      <c r="E89" s="492"/>
      <c r="F89" s="492"/>
      <c r="G89" s="492"/>
      <c r="H89" s="492"/>
      <c r="I89" s="492"/>
      <c r="J89" s="492"/>
      <c r="K89" s="492"/>
      <c r="L89" s="492"/>
      <c r="M89" s="492"/>
      <c r="N89" s="492"/>
      <c r="O89" s="492"/>
      <c r="P89" s="492"/>
      <c r="Q89" s="492"/>
      <c r="R89" s="493"/>
      <c r="S89" s="492"/>
      <c r="T89" s="492"/>
      <c r="U89" s="492"/>
      <c r="V89" s="492"/>
      <c r="W89" s="492"/>
      <c r="X89" s="492"/>
      <c r="Y89" s="492"/>
      <c r="Z89" s="492"/>
      <c r="AA89" s="492"/>
      <c r="AB89" s="492"/>
      <c r="AC89" s="492"/>
      <c r="AD89" s="492"/>
      <c r="AE89" s="492"/>
      <c r="AF89" s="492"/>
      <c r="AG89" s="492"/>
      <c r="AH89" s="492"/>
      <c r="AI89" s="492"/>
      <c r="AJ89" s="492"/>
      <c r="AK89" s="492"/>
      <c r="AL89" s="492"/>
      <c r="AM89" s="492"/>
    </row>
    <row r="90" spans="2:39" ht="12.95">
      <c r="B90" s="568" t="s">
        <v>422</v>
      </c>
      <c r="C90" s="569" t="s">
        <v>331</v>
      </c>
      <c r="D90" s="587">
        <f>SUM(D83:AB83)</f>
        <v>4071041.0568394726</v>
      </c>
      <c r="E90" s="492"/>
      <c r="F90" s="492"/>
      <c r="G90" s="492"/>
      <c r="H90" s="492"/>
      <c r="I90" s="492"/>
      <c r="J90" s="492"/>
      <c r="K90" s="492"/>
      <c r="L90" s="492"/>
      <c r="M90" s="492"/>
      <c r="N90" s="492"/>
      <c r="O90" s="492"/>
      <c r="P90" s="492"/>
      <c r="Q90" s="492"/>
      <c r="R90" s="493"/>
      <c r="S90" s="492"/>
      <c r="T90" s="492"/>
      <c r="U90" s="492"/>
      <c r="V90" s="492"/>
      <c r="W90" s="492"/>
      <c r="X90" s="492"/>
      <c r="Y90" s="492"/>
      <c r="Z90" s="492"/>
      <c r="AA90" s="492"/>
      <c r="AB90" s="492"/>
      <c r="AC90" s="492"/>
      <c r="AD90" s="492"/>
      <c r="AE90" s="492"/>
      <c r="AF90" s="492"/>
      <c r="AG90" s="492"/>
      <c r="AH90" s="492"/>
      <c r="AI90" s="492"/>
      <c r="AJ90" s="492"/>
      <c r="AK90" s="492"/>
      <c r="AL90" s="492"/>
      <c r="AM90" s="492"/>
    </row>
    <row r="91" spans="2:39" ht="12.95">
      <c r="B91" s="577" t="s">
        <v>418</v>
      </c>
      <c r="C91" s="578" t="s">
        <v>331</v>
      </c>
      <c r="D91" s="588">
        <f>SUM(D84:AM84)</f>
        <v>0</v>
      </c>
      <c r="E91" s="492"/>
      <c r="F91" s="492"/>
      <c r="G91" s="492"/>
      <c r="H91" s="492"/>
      <c r="I91" s="492"/>
      <c r="J91" s="492"/>
      <c r="K91" s="492"/>
      <c r="L91" s="492"/>
      <c r="M91" s="492"/>
      <c r="N91" s="492"/>
      <c r="O91" s="492"/>
      <c r="P91" s="492"/>
      <c r="Q91" s="492"/>
      <c r="R91" s="493"/>
      <c r="S91" s="492"/>
      <c r="T91" s="492"/>
      <c r="U91" s="492"/>
      <c r="V91" s="492"/>
      <c r="W91" s="492"/>
      <c r="X91" s="492"/>
      <c r="Y91" s="492"/>
      <c r="Z91" s="492"/>
      <c r="AA91" s="492"/>
      <c r="AB91" s="492"/>
      <c r="AC91" s="492"/>
      <c r="AD91" s="492"/>
      <c r="AE91" s="492"/>
      <c r="AF91" s="492"/>
      <c r="AG91" s="492"/>
      <c r="AH91" s="492"/>
      <c r="AI91" s="492"/>
      <c r="AJ91" s="492"/>
      <c r="AK91" s="492"/>
      <c r="AL91" s="492"/>
      <c r="AM91" s="492"/>
    </row>
    <row r="92" spans="2:39" ht="12.95">
      <c r="B92" s="589" t="s">
        <v>423</v>
      </c>
      <c r="C92" s="583" t="s">
        <v>331</v>
      </c>
      <c r="D92" s="590">
        <f>SUM(D90:D91)</f>
        <v>4071041.0568394726</v>
      </c>
      <c r="E92" s="492"/>
      <c r="F92" s="492"/>
      <c r="G92" s="492"/>
      <c r="H92" s="492"/>
      <c r="I92" s="492"/>
      <c r="J92" s="492"/>
      <c r="K92" s="492"/>
      <c r="L92" s="492"/>
      <c r="M92" s="492"/>
      <c r="N92" s="492"/>
      <c r="O92" s="492"/>
      <c r="P92" s="492"/>
      <c r="Q92" s="492"/>
      <c r="R92" s="493"/>
      <c r="S92" s="492"/>
      <c r="T92" s="492"/>
      <c r="U92" s="492"/>
      <c r="V92" s="492"/>
      <c r="W92" s="492"/>
      <c r="X92" s="492"/>
      <c r="Y92" s="492"/>
      <c r="Z92" s="492"/>
      <c r="AA92" s="492"/>
      <c r="AB92" s="492"/>
      <c r="AC92" s="492"/>
      <c r="AD92" s="492"/>
      <c r="AE92" s="492"/>
      <c r="AF92" s="492"/>
      <c r="AG92" s="492"/>
      <c r="AH92" s="492"/>
      <c r="AI92" s="492"/>
      <c r="AJ92" s="492"/>
      <c r="AK92" s="492"/>
      <c r="AL92" s="492"/>
      <c r="AM92" s="492"/>
    </row>
    <row r="93" spans="2:39">
      <c r="B93" s="478"/>
      <c r="C93" s="485"/>
      <c r="D93" s="485"/>
      <c r="E93" s="489"/>
      <c r="F93" s="489"/>
      <c r="G93" s="489"/>
      <c r="H93" s="489"/>
      <c r="I93" s="489"/>
      <c r="J93" s="489"/>
      <c r="K93" s="489"/>
      <c r="L93" s="489"/>
      <c r="M93" s="489"/>
      <c r="N93" s="489"/>
      <c r="O93" s="489"/>
      <c r="P93" s="489"/>
      <c r="Q93" s="489"/>
      <c r="R93" s="490"/>
      <c r="S93" s="489"/>
      <c r="T93" s="489"/>
      <c r="U93" s="489"/>
      <c r="V93" s="489"/>
      <c r="W93" s="489"/>
      <c r="X93" s="489"/>
      <c r="Y93" s="489"/>
      <c r="Z93" s="489"/>
      <c r="AA93" s="489"/>
      <c r="AB93" s="489"/>
      <c r="AC93" s="489"/>
      <c r="AD93" s="489"/>
      <c r="AE93" s="489"/>
      <c r="AF93" s="489"/>
      <c r="AG93" s="489"/>
      <c r="AH93" s="489"/>
      <c r="AI93" s="489"/>
      <c r="AJ93" s="489"/>
      <c r="AK93" s="489"/>
      <c r="AL93" s="489"/>
      <c r="AM93" s="489"/>
    </row>
    <row r="94" spans="2:39" ht="12.95">
      <c r="B94" s="565" t="s">
        <v>424</v>
      </c>
      <c r="C94" s="566" t="s">
        <v>364</v>
      </c>
      <c r="D94" s="591">
        <v>1</v>
      </c>
      <c r="E94" s="559">
        <v>2</v>
      </c>
      <c r="F94" s="559">
        <v>3</v>
      </c>
      <c r="G94" s="559">
        <v>4</v>
      </c>
      <c r="H94" s="559">
        <v>5</v>
      </c>
      <c r="I94" s="559">
        <v>6</v>
      </c>
      <c r="J94" s="559">
        <v>7</v>
      </c>
      <c r="K94" s="559">
        <v>8</v>
      </c>
      <c r="L94" s="559">
        <v>9</v>
      </c>
      <c r="M94" s="560">
        <v>10</v>
      </c>
      <c r="N94" s="489"/>
      <c r="O94" s="489"/>
      <c r="P94" s="489"/>
      <c r="Q94" s="489"/>
      <c r="R94" s="490"/>
      <c r="S94" s="489"/>
      <c r="T94" s="489"/>
      <c r="U94" s="489"/>
      <c r="V94" s="489"/>
      <c r="W94" s="489"/>
      <c r="X94" s="489"/>
      <c r="Y94" s="489"/>
      <c r="Z94" s="489"/>
      <c r="AA94" s="489"/>
      <c r="AB94" s="489"/>
      <c r="AC94" s="489"/>
      <c r="AD94" s="489"/>
      <c r="AE94" s="489"/>
      <c r="AF94" s="489"/>
      <c r="AG94" s="489"/>
      <c r="AH94" s="489"/>
      <c r="AI94" s="489"/>
      <c r="AJ94" s="489"/>
      <c r="AK94" s="489"/>
      <c r="AL94" s="489"/>
      <c r="AM94" s="489"/>
    </row>
    <row r="95" spans="2:39" ht="12.95">
      <c r="B95" s="565" t="s">
        <v>425</v>
      </c>
      <c r="C95" s="592" t="s">
        <v>67</v>
      </c>
      <c r="D95" s="593">
        <v>1</v>
      </c>
      <c r="E95" s="489"/>
      <c r="F95" s="489"/>
      <c r="G95" s="489"/>
      <c r="H95" s="489"/>
      <c r="I95" s="489"/>
      <c r="J95" s="489"/>
      <c r="K95" s="489"/>
      <c r="L95" s="489"/>
      <c r="M95" s="489"/>
      <c r="N95" s="489"/>
      <c r="O95" s="489"/>
      <c r="P95" s="489"/>
      <c r="Q95" s="489"/>
      <c r="R95" s="490"/>
      <c r="S95" s="489"/>
      <c r="T95" s="489"/>
      <c r="U95" s="489"/>
      <c r="V95" s="489"/>
      <c r="W95" s="489"/>
      <c r="X95" s="489"/>
      <c r="Y95" s="489"/>
      <c r="Z95" s="489"/>
      <c r="AA95" s="489"/>
      <c r="AB95" s="489"/>
      <c r="AC95" s="489"/>
      <c r="AD95" s="489"/>
      <c r="AE95" s="489"/>
      <c r="AF95" s="489"/>
      <c r="AG95" s="489"/>
      <c r="AH95" s="489"/>
      <c r="AI95" s="489"/>
      <c r="AJ95" s="489"/>
      <c r="AK95" s="489"/>
      <c r="AL95" s="489"/>
      <c r="AM95" s="489"/>
    </row>
    <row r="96" spans="2:39">
      <c r="B96" s="561" t="s">
        <v>426</v>
      </c>
      <c r="C96" s="594" t="s">
        <v>417</v>
      </c>
      <c r="D96" s="595">
        <f t="shared" ref="D96:M96" si="2">IF($D$95&gt;=D94,$D$27/$D$95,0)</f>
        <v>10616514.983335815</v>
      </c>
      <c r="E96" s="596">
        <f t="shared" si="2"/>
        <v>0</v>
      </c>
      <c r="F96" s="596">
        <f t="shared" si="2"/>
        <v>0</v>
      </c>
      <c r="G96" s="596">
        <f t="shared" si="2"/>
        <v>0</v>
      </c>
      <c r="H96" s="596">
        <f t="shared" si="2"/>
        <v>0</v>
      </c>
      <c r="I96" s="596">
        <f t="shared" si="2"/>
        <v>0</v>
      </c>
      <c r="J96" s="596">
        <f t="shared" si="2"/>
        <v>0</v>
      </c>
      <c r="K96" s="596">
        <f t="shared" si="2"/>
        <v>0</v>
      </c>
      <c r="L96" s="596">
        <f t="shared" si="2"/>
        <v>0</v>
      </c>
      <c r="M96" s="597">
        <f t="shared" si="2"/>
        <v>0</v>
      </c>
      <c r="N96" s="489"/>
      <c r="O96" s="489"/>
      <c r="P96" s="489"/>
      <c r="Q96" s="489"/>
      <c r="R96" s="490"/>
      <c r="S96" s="489"/>
      <c r="T96" s="489"/>
      <c r="U96" s="489"/>
      <c r="V96" s="489"/>
      <c r="W96" s="489"/>
      <c r="X96" s="489"/>
      <c r="Y96" s="489"/>
      <c r="Z96" s="489"/>
      <c r="AA96" s="489"/>
      <c r="AB96" s="489"/>
      <c r="AC96" s="489"/>
      <c r="AD96" s="489"/>
      <c r="AE96" s="489"/>
      <c r="AF96" s="489"/>
      <c r="AG96" s="489"/>
      <c r="AH96" s="489"/>
      <c r="AI96" s="489"/>
      <c r="AJ96" s="489"/>
      <c r="AK96" s="489"/>
      <c r="AL96" s="489"/>
      <c r="AM96" s="489"/>
    </row>
    <row r="97" spans="2:39">
      <c r="B97" s="478"/>
      <c r="C97" s="485"/>
      <c r="D97" s="485"/>
      <c r="E97" s="489"/>
      <c r="F97" s="489"/>
      <c r="G97" s="489"/>
      <c r="H97" s="489"/>
      <c r="I97" s="489"/>
      <c r="J97" s="489"/>
      <c r="K97" s="489"/>
      <c r="L97" s="489"/>
      <c r="M97" s="489"/>
      <c r="N97" s="489"/>
      <c r="O97" s="489"/>
      <c r="P97" s="489"/>
      <c r="Q97" s="489"/>
      <c r="R97" s="490"/>
      <c r="S97" s="489"/>
      <c r="T97" s="489"/>
      <c r="U97" s="489"/>
      <c r="V97" s="489"/>
      <c r="W97" s="489"/>
      <c r="X97" s="489"/>
      <c r="Y97" s="489"/>
      <c r="Z97" s="489"/>
      <c r="AA97" s="489"/>
      <c r="AB97" s="489"/>
      <c r="AC97" s="489"/>
      <c r="AD97" s="489"/>
      <c r="AE97" s="489"/>
      <c r="AF97" s="489"/>
      <c r="AG97" s="489"/>
      <c r="AH97" s="489"/>
      <c r="AI97" s="489"/>
      <c r="AJ97" s="489"/>
      <c r="AK97" s="489"/>
      <c r="AL97" s="489"/>
      <c r="AM97" s="489"/>
    </row>
    <row r="98" spans="2:39" ht="12.95">
      <c r="B98" s="565" t="s">
        <v>427</v>
      </c>
      <c r="C98" s="592" t="s">
        <v>364</v>
      </c>
      <c r="D98" s="485"/>
      <c r="E98" s="489"/>
      <c r="F98" s="489"/>
      <c r="G98" s="489"/>
      <c r="H98" s="489"/>
      <c r="I98" s="489"/>
      <c r="J98" s="489"/>
      <c r="K98" s="489"/>
      <c r="L98" s="489"/>
      <c r="M98" s="489"/>
      <c r="N98" s="489"/>
      <c r="O98" s="489"/>
      <c r="P98" s="489"/>
      <c r="Q98" s="489"/>
      <c r="R98" s="490"/>
      <c r="S98" s="489"/>
      <c r="T98" s="489"/>
      <c r="U98" s="489"/>
      <c r="V98" s="489"/>
      <c r="W98" s="489"/>
      <c r="X98" s="489"/>
      <c r="Y98" s="489"/>
      <c r="Z98" s="489"/>
      <c r="AA98" s="489"/>
      <c r="AB98" s="489"/>
      <c r="AC98" s="489"/>
      <c r="AD98" s="489"/>
      <c r="AE98" s="489"/>
      <c r="AF98" s="489"/>
      <c r="AG98" s="489"/>
      <c r="AH98" s="489"/>
      <c r="AI98" s="489"/>
      <c r="AJ98" s="489"/>
      <c r="AK98" s="489"/>
      <c r="AL98" s="489"/>
      <c r="AM98" s="489"/>
    </row>
    <row r="99" spans="2:39">
      <c r="B99" s="568" t="s">
        <v>428</v>
      </c>
      <c r="C99" s="574" t="s">
        <v>417</v>
      </c>
      <c r="D99" s="570"/>
      <c r="E99" s="571">
        <f>IF(E76&lt;=$D$36,-IPMT($D$35,E76,$D$36,'GuiBiogas Electricity Fin '!$D$27*$D$34),0)</f>
        <v>0</v>
      </c>
      <c r="F99" s="571">
        <f>IF(F76&lt;=$D$36,-IPMT($D$35,F76,$D$36,'GuiBiogas Electricity Fin '!$D$27*$D$34),0)</f>
        <v>0</v>
      </c>
      <c r="G99" s="571">
        <f>IF(G76&lt;=$D$36,-IPMT($D$35,G76,$D$36,'GuiBiogas Electricity Fin '!$D$27*$D$34),0)</f>
        <v>0</v>
      </c>
      <c r="H99" s="571">
        <f>IF(H76&lt;=$D$36,-IPMT($D$35,H76,$D$36,'GuiBiogas Electricity Fin '!$D$27*$D$34),0)</f>
        <v>0</v>
      </c>
      <c r="I99" s="571">
        <f>IF(I76&lt;=$D$36,-IPMT($D$35,I76,$D$36,'GuiBiogas Electricity Fin '!$D$27*$D$34),0)</f>
        <v>0</v>
      </c>
      <c r="J99" s="571">
        <f>IF(J76&lt;=$D$36,-IPMT($D$35,J76,$D$36,'GuiBiogas Electricity Fin '!$D$27*$D$34),0)</f>
        <v>0</v>
      </c>
      <c r="K99" s="571">
        <f>IF(K76&lt;=$D$36,-IPMT($D$35,K76,$D$36,'GuiBiogas Electricity Fin '!$D$27*$D$34),0)</f>
        <v>0</v>
      </c>
      <c r="L99" s="571">
        <f>IF(L76&lt;=$D$36,-IPMT($D$35,L76,$D$36,'GuiBiogas Electricity Fin '!$D$27*$D$34),0)</f>
        <v>0</v>
      </c>
      <c r="M99" s="571">
        <f>IF(M76&lt;=$D$36,-IPMT($D$35,M76,$D$36,'GuiBiogas Electricity Fin '!$D$27*$D$34),0)</f>
        <v>0</v>
      </c>
      <c r="N99" s="571">
        <f>IF(N76&lt;=$D$36,-IPMT($D$35,N76,$D$36,'GuiBiogas Electricity Fin '!$D$27*$D$34),0)</f>
        <v>0</v>
      </c>
      <c r="O99" s="571">
        <f>IF(O76&lt;=$D$36,-IPMT($D$35,O76,$D$36,'GuiBiogas Electricity Fin '!$D$27*$D$34),0)</f>
        <v>0</v>
      </c>
      <c r="P99" s="571">
        <f>IF(P76&lt;=$D$36,-IPMT($D$35,P76,$D$36,'GuiBiogas Electricity Fin '!$D$27*$D$34),0)</f>
        <v>0</v>
      </c>
      <c r="Q99" s="571">
        <f>IF(Q76&lt;=$D$36,-IPMT($D$35,Q76,$D$36,'GuiBiogas Electricity Fin '!$D$27*$D$34),0)</f>
        <v>0</v>
      </c>
      <c r="R99" s="715">
        <f>IF(R76&lt;=$D$36,-IPMT($D$35,R76,$D$36,'GuiBiogas Electricity Fin '!$D$27*$D$34),0)</f>
        <v>0</v>
      </c>
      <c r="S99" s="571">
        <f>IF(S76&lt;=$D$36,-IPMT($D$35,S76,$D$36,'GuiBiogas Electricity Fin '!$D$27*$D$34),0)</f>
        <v>0</v>
      </c>
      <c r="T99" s="571">
        <f>IF(T76&lt;=$D$36,-IPMT($D$35,T76,$D$36,'GuiBiogas Electricity Fin '!$D$27*$D$34),0)</f>
        <v>0</v>
      </c>
      <c r="U99" s="571">
        <f>IF(U76&lt;=$D$36,-IPMT($D$35,U76,$D$36,'GuiBiogas Electricity Fin '!$D$27*$D$34),0)</f>
        <v>0</v>
      </c>
      <c r="V99" s="571">
        <f>IF(V76&lt;=$D$36,-IPMT($D$35,V76,$D$36,'GuiBiogas Electricity Fin '!$D$27*$D$34),0)</f>
        <v>0</v>
      </c>
      <c r="W99" s="571">
        <f>IF(W76&lt;=$D$36,-IPMT($D$35,W76,$D$36,'GuiBiogas Electricity Fin '!$D$27*$D$34),0)</f>
        <v>0</v>
      </c>
      <c r="X99" s="571">
        <f>IF(X76&lt;=$D$36,-IPMT($D$35,X76,$D$36,'GuiBiogas Electricity Fin '!$D$27*$D$34),0)</f>
        <v>0</v>
      </c>
      <c r="Y99" s="571">
        <f>IF(Y76&lt;=$D$36,-IPMT($D$35,Y76,$D$36,'GuiBiogas Electricity Fin '!$D$27*$D$34),0)</f>
        <v>0</v>
      </c>
      <c r="Z99" s="571">
        <f>IF(Z76&lt;=$D$36,-IPMT($D$35,Z76,$D$36,'GuiBiogas Electricity Fin '!$D$27*$D$34),0)</f>
        <v>0</v>
      </c>
      <c r="AA99" s="571">
        <f>IF(AA76&lt;=$D$36,-IPMT($D$35,AA76,$D$36,'GuiBiogas Electricity Fin '!$D$27*$D$34),0)</f>
        <v>0</v>
      </c>
      <c r="AB99" s="571">
        <f>IF(AB76&lt;=$D$36,-IPMT($D$35,AB76,$D$36,'GuiBiogas Electricity Fin '!$D$27*$D$34),0)</f>
        <v>0</v>
      </c>
      <c r="AC99" s="571">
        <f>IF(AC76&lt;=$D$36,-IPMT($D$35,AC76,$D$36,'GuiBiogas Electricity Fin '!$D$27*$D$34),0)</f>
        <v>0</v>
      </c>
      <c r="AD99" s="571">
        <f>IF(AD76&lt;=$D$36,-IPMT($D$35,AD76,$D$36,'GuiBiogas Electricity Fin '!$D$27*$D$34),0)</f>
        <v>0</v>
      </c>
      <c r="AE99" s="571">
        <f>IF(AE76&lt;=$D$36,-IPMT($D$35,AE76,$D$36,'GuiBiogas Electricity Fin '!$D$27*$D$34),0)</f>
        <v>0</v>
      </c>
      <c r="AF99" s="571">
        <f>IF(AF76&lt;=$D$36,-IPMT($D$35,AF76,$D$36,'GuiBiogas Electricity Fin '!$D$27*$D$34),0)</f>
        <v>0</v>
      </c>
      <c r="AG99" s="571">
        <f>IF(AG76&lt;=$D$36,-IPMT($D$35,AG76,$D$36,'GuiBiogas Electricity Fin '!$D$27*$D$34),0)</f>
        <v>0</v>
      </c>
      <c r="AH99" s="571">
        <f>IF(AH76&lt;=$D$36,-IPMT($D$35,AH76,$D$36,'GuiBiogas Electricity Fin '!$D$27*$D$34),0)</f>
        <v>0</v>
      </c>
      <c r="AI99" s="571">
        <f>IF(AI76&lt;=$D$36,-IPMT($D$35,AI76,$D$36,'GuiBiogas Electricity Fin '!$D$27*$D$34),0)</f>
        <v>0</v>
      </c>
      <c r="AJ99" s="571">
        <f>IF(AJ76&lt;=$D$36,-IPMT($D$35,AJ76,$D$36,'GuiBiogas Electricity Fin '!$D$27*$D$34),0)</f>
        <v>0</v>
      </c>
      <c r="AK99" s="571">
        <f>IF(AK76&lt;=$D$36,-IPMT($D$35,AK76,$D$36,'GuiBiogas Electricity Fin '!$D$27*$D$34),0)</f>
        <v>0</v>
      </c>
      <c r="AL99" s="571">
        <f>IF(AL76&lt;=$D$36,-IPMT($D$35,AL76,$D$36,'GuiBiogas Electricity Fin '!$D$27*$D$34),0)</f>
        <v>0</v>
      </c>
      <c r="AM99" s="572">
        <f>IF(AM76&lt;=$D$36,-IPMT($D$35,AM76,$D$36,'GuiBiogas Electricity Fin '!$D$27*$D$34),0)</f>
        <v>0</v>
      </c>
    </row>
    <row r="100" spans="2:39">
      <c r="B100" s="573" t="s">
        <v>429</v>
      </c>
      <c r="C100" s="578" t="s">
        <v>417</v>
      </c>
      <c r="D100" s="579"/>
      <c r="E100" s="580">
        <f>IF(E76&lt;=$D$36,-PPMT($D$35,E76,$D$36,'GuiBiogas Electricity Fin '!$D$27*$D$34),0)</f>
        <v>424660.59933343262</v>
      </c>
      <c r="F100" s="580">
        <f>IF(F76&lt;=$D$36,-PPMT($D$35,F76,$D$36,'GuiBiogas Electricity Fin '!$D$27*$D$34),0)</f>
        <v>424660.59933343262</v>
      </c>
      <c r="G100" s="580">
        <f>IF(G76&lt;=$D$36,-PPMT($D$35,G76,$D$36,'GuiBiogas Electricity Fin '!$D$27*$D$34),0)</f>
        <v>424660.59933343262</v>
      </c>
      <c r="H100" s="580">
        <f>IF(H76&lt;=$D$36,-PPMT($D$35,H76,$D$36,'GuiBiogas Electricity Fin '!$D$27*$D$34),0)</f>
        <v>424660.59933343262</v>
      </c>
      <c r="I100" s="580">
        <f>IF(I76&lt;=$D$36,-PPMT($D$35,I76,$D$36,'GuiBiogas Electricity Fin '!$D$27*$D$34),0)</f>
        <v>424660.59933343262</v>
      </c>
      <c r="J100" s="580">
        <f>IF(J76&lt;=$D$36,-PPMT($D$35,J76,$D$36,'GuiBiogas Electricity Fin '!$D$27*$D$34),0)</f>
        <v>424660.59933343262</v>
      </c>
      <c r="K100" s="580">
        <f>IF(K76&lt;=$D$36,-PPMT($D$35,K76,$D$36,'GuiBiogas Electricity Fin '!$D$27*$D$34),0)</f>
        <v>424660.59933343262</v>
      </c>
      <c r="L100" s="580">
        <f>IF(L76&lt;=$D$36,-PPMT($D$35,L76,$D$36,'GuiBiogas Electricity Fin '!$D$27*$D$34),0)</f>
        <v>424660.59933343262</v>
      </c>
      <c r="M100" s="580">
        <f>IF(M76&lt;=$D$36,-PPMT($D$35,M76,$D$36,'GuiBiogas Electricity Fin '!$D$27*$D$34),0)</f>
        <v>424660.59933343262</v>
      </c>
      <c r="N100" s="580">
        <f>IF(N76&lt;=$D$36,-PPMT($D$35,N76,$D$36,'GuiBiogas Electricity Fin '!$D$27*$D$34),0)</f>
        <v>424660.59933343262</v>
      </c>
      <c r="O100" s="580">
        <f>IF(O76&lt;=$D$36,-PPMT($D$35,O76,$D$36,'GuiBiogas Electricity Fin '!$D$27*$D$34),0)</f>
        <v>424660.59933343262</v>
      </c>
      <c r="P100" s="580">
        <f>IF(P76&lt;=$D$36,-PPMT($D$35,P76,$D$36,'GuiBiogas Electricity Fin '!$D$27*$D$34),0)</f>
        <v>424660.59933343262</v>
      </c>
      <c r="Q100" s="580">
        <f>IF(Q76&lt;=$D$36,-PPMT($D$35,Q76,$D$36,'GuiBiogas Electricity Fin '!$D$27*$D$34),0)</f>
        <v>424660.59933343262</v>
      </c>
      <c r="R100" s="716">
        <f>IF(R76&lt;=$D$36,-PPMT($D$35,R76,$D$36,'GuiBiogas Electricity Fin '!$D$27*$D$34),0)</f>
        <v>424660.59933343262</v>
      </c>
      <c r="S100" s="580">
        <f>IF(S76&lt;=$D$36,-PPMT($D$35,S76,$D$36,'GuiBiogas Electricity Fin '!$D$27*$D$34),0)</f>
        <v>424660.59933343262</v>
      </c>
      <c r="T100" s="580">
        <f>IF(T76&lt;=$D$36,-PPMT($D$35,T76,$D$36,'GuiBiogas Electricity Fin '!$D$27*$D$34),0)</f>
        <v>424660.59933343262</v>
      </c>
      <c r="U100" s="580">
        <f>IF(U76&lt;=$D$36,-PPMT($D$35,U76,$D$36,'GuiBiogas Electricity Fin '!$D$27*$D$34),0)</f>
        <v>424660.59933343262</v>
      </c>
      <c r="V100" s="580">
        <f>IF(V76&lt;=$D$36,-PPMT($D$35,V76,$D$36,'GuiBiogas Electricity Fin '!$D$27*$D$34),0)</f>
        <v>424660.59933343262</v>
      </c>
      <c r="W100" s="580">
        <f>IF(W76&lt;=$D$36,-PPMT($D$35,W76,$D$36,'GuiBiogas Electricity Fin '!$D$27*$D$34),0)</f>
        <v>424660.59933343262</v>
      </c>
      <c r="X100" s="580">
        <f>IF(X76&lt;=$D$36,-PPMT($D$35,X76,$D$36,'GuiBiogas Electricity Fin '!$D$27*$D$34),0)</f>
        <v>424660.59933343262</v>
      </c>
      <c r="Y100" s="580">
        <f>IF(Y76&lt;=$D$36,-PPMT($D$35,Y76,$D$36,'GuiBiogas Electricity Fin '!$D$27*$D$34),0)</f>
        <v>424660.59933343262</v>
      </c>
      <c r="Z100" s="580">
        <f>IF(Z76&lt;=$D$36,-PPMT($D$35,Z76,$D$36,'GuiBiogas Electricity Fin '!$D$27*$D$34),0)</f>
        <v>424660.59933343262</v>
      </c>
      <c r="AA100" s="580">
        <f>IF(AA76&lt;=$D$36,-PPMT($D$35,AA76,$D$36,'GuiBiogas Electricity Fin '!$D$27*$D$34),0)</f>
        <v>424660.59933343262</v>
      </c>
      <c r="AB100" s="580">
        <f>IF(AB76&lt;=$D$36,-PPMT($D$35,AB76,$D$36,'GuiBiogas Electricity Fin '!$D$27*$D$34),0)</f>
        <v>424660.59933343262</v>
      </c>
      <c r="AC100" s="580">
        <f>IF(AC76&lt;=$D$36,-PPMT($D$35,AC76,$D$36,'GuiBiogas Electricity Fin '!$D$27*$D$34),0)</f>
        <v>424660.59933343262</v>
      </c>
      <c r="AD100" s="580">
        <f>IF(AD76&lt;=$D$36,-PPMT($D$35,AD76,$D$36,'GuiBiogas Electricity Fin '!$D$27*$D$34),0)</f>
        <v>0</v>
      </c>
      <c r="AE100" s="580">
        <f>IF(AE76&lt;=$D$36,-PPMT($D$35,AE76,$D$36,'GuiBiogas Electricity Fin '!$D$27*$D$34),0)</f>
        <v>0</v>
      </c>
      <c r="AF100" s="580">
        <f>IF(AF76&lt;=$D$36,-PPMT($D$35,AF76,$D$36,'GuiBiogas Electricity Fin '!$D$27*$D$34),0)</f>
        <v>0</v>
      </c>
      <c r="AG100" s="580">
        <f>IF(AG76&lt;=$D$36,-PPMT($D$35,AG76,$D$36,'GuiBiogas Electricity Fin '!$D$27*$D$34),0)</f>
        <v>0</v>
      </c>
      <c r="AH100" s="580">
        <f>IF(AH76&lt;=$D$36,-PPMT($D$35,AH76,$D$36,'GuiBiogas Electricity Fin '!$D$27*$D$34),0)</f>
        <v>0</v>
      </c>
      <c r="AI100" s="580">
        <f>IF(AI76&lt;=$D$36,-PPMT($D$35,AI76,$D$36,'GuiBiogas Electricity Fin '!$D$27*$D$34),0)</f>
        <v>0</v>
      </c>
      <c r="AJ100" s="580">
        <f>IF(AJ76&lt;=$D$36,-PPMT($D$35,AJ76,$D$36,'GuiBiogas Electricity Fin '!$D$27*$D$34),0)</f>
        <v>0</v>
      </c>
      <c r="AK100" s="580">
        <f>IF(AK76&lt;=$D$36,-PPMT($D$35,AK76,$D$36,'GuiBiogas Electricity Fin '!$D$27*$D$34),0)</f>
        <v>0</v>
      </c>
      <c r="AL100" s="580">
        <f>IF(AL76&lt;=$D$36,-PPMT($D$35,AL76,$D$36,'GuiBiogas Electricity Fin '!$D$27*$D$34),0)</f>
        <v>0</v>
      </c>
      <c r="AM100" s="581">
        <f>IF(AM76&lt;=$D$36,-PPMT($D$35,AM76,$D$36,'GuiBiogas Electricity Fin '!$D$27*$D$34),0)</f>
        <v>0</v>
      </c>
    </row>
    <row r="101" spans="2:39" ht="12.95">
      <c r="B101" s="598" t="s">
        <v>430</v>
      </c>
      <c r="C101" s="583" t="s">
        <v>417</v>
      </c>
      <c r="D101" s="599">
        <f>D96</f>
        <v>10616514.983335815</v>
      </c>
      <c r="E101" s="600">
        <f>SUM(E99:E100)+E96</f>
        <v>424660.59933343262</v>
      </c>
      <c r="F101" s="600">
        <f t="shared" ref="F101:M101" si="3">SUM(F99:F100)+F96</f>
        <v>424660.59933343262</v>
      </c>
      <c r="G101" s="600">
        <f t="shared" si="3"/>
        <v>424660.59933343262</v>
      </c>
      <c r="H101" s="600">
        <f t="shared" si="3"/>
        <v>424660.59933343262</v>
      </c>
      <c r="I101" s="600">
        <f t="shared" si="3"/>
        <v>424660.59933343262</v>
      </c>
      <c r="J101" s="600">
        <f t="shared" si="3"/>
        <v>424660.59933343262</v>
      </c>
      <c r="K101" s="600">
        <f t="shared" si="3"/>
        <v>424660.59933343262</v>
      </c>
      <c r="L101" s="600">
        <f t="shared" si="3"/>
        <v>424660.59933343262</v>
      </c>
      <c r="M101" s="600">
        <f t="shared" si="3"/>
        <v>424660.59933343262</v>
      </c>
      <c r="N101" s="600">
        <f>SUM(N99:N100)</f>
        <v>424660.59933343262</v>
      </c>
      <c r="O101" s="600">
        <f t="shared" ref="O101:AM101" si="4">SUM(O99:O100)</f>
        <v>424660.59933343262</v>
      </c>
      <c r="P101" s="600">
        <f t="shared" si="4"/>
        <v>424660.59933343262</v>
      </c>
      <c r="Q101" s="600">
        <f t="shared" si="4"/>
        <v>424660.59933343262</v>
      </c>
      <c r="R101" s="600">
        <f t="shared" si="4"/>
        <v>424660.59933343262</v>
      </c>
      <c r="S101" s="600">
        <f t="shared" si="4"/>
        <v>424660.59933343262</v>
      </c>
      <c r="T101" s="600">
        <f t="shared" si="4"/>
        <v>424660.59933343262</v>
      </c>
      <c r="U101" s="600">
        <f t="shared" si="4"/>
        <v>424660.59933343262</v>
      </c>
      <c r="V101" s="600">
        <f t="shared" si="4"/>
        <v>424660.59933343262</v>
      </c>
      <c r="W101" s="600">
        <f t="shared" si="4"/>
        <v>424660.59933343262</v>
      </c>
      <c r="X101" s="600">
        <f t="shared" si="4"/>
        <v>424660.59933343262</v>
      </c>
      <c r="Y101" s="600">
        <f t="shared" si="4"/>
        <v>424660.59933343262</v>
      </c>
      <c r="Z101" s="600">
        <f t="shared" si="4"/>
        <v>424660.59933343262</v>
      </c>
      <c r="AA101" s="600">
        <f t="shared" si="4"/>
        <v>424660.59933343262</v>
      </c>
      <c r="AB101" s="600">
        <f t="shared" si="4"/>
        <v>424660.59933343262</v>
      </c>
      <c r="AC101" s="600">
        <f t="shared" si="4"/>
        <v>424660.59933343262</v>
      </c>
      <c r="AD101" s="600">
        <f t="shared" si="4"/>
        <v>0</v>
      </c>
      <c r="AE101" s="600">
        <f t="shared" si="4"/>
        <v>0</v>
      </c>
      <c r="AF101" s="600">
        <f t="shared" si="4"/>
        <v>0</v>
      </c>
      <c r="AG101" s="600">
        <f t="shared" si="4"/>
        <v>0</v>
      </c>
      <c r="AH101" s="600">
        <f t="shared" si="4"/>
        <v>0</v>
      </c>
      <c r="AI101" s="600">
        <f t="shared" si="4"/>
        <v>0</v>
      </c>
      <c r="AJ101" s="600">
        <f t="shared" si="4"/>
        <v>0</v>
      </c>
      <c r="AK101" s="600">
        <f t="shared" si="4"/>
        <v>0</v>
      </c>
      <c r="AL101" s="600">
        <f t="shared" si="4"/>
        <v>0</v>
      </c>
      <c r="AM101" s="601">
        <f t="shared" si="4"/>
        <v>0</v>
      </c>
    </row>
    <row r="102" spans="2:39" ht="12.95">
      <c r="B102" s="479"/>
      <c r="C102" s="479"/>
      <c r="D102" s="494"/>
      <c r="E102" s="494"/>
      <c r="F102" s="494"/>
      <c r="G102" s="494"/>
      <c r="H102" s="494"/>
      <c r="I102" s="494"/>
      <c r="J102" s="494"/>
      <c r="K102" s="494"/>
      <c r="L102" s="494"/>
      <c r="M102" s="494"/>
      <c r="N102" s="494"/>
      <c r="O102" s="494"/>
      <c r="P102" s="494"/>
      <c r="Q102" s="494"/>
      <c r="R102" s="494"/>
      <c r="S102" s="494"/>
      <c r="T102" s="494"/>
      <c r="U102" s="494"/>
      <c r="V102" s="494"/>
      <c r="W102" s="494"/>
      <c r="X102" s="494"/>
      <c r="Y102" s="494"/>
      <c r="Z102" s="494"/>
      <c r="AA102" s="494"/>
      <c r="AB102" s="494"/>
      <c r="AC102" s="494"/>
      <c r="AD102" s="494"/>
      <c r="AE102" s="494"/>
      <c r="AF102" s="494"/>
      <c r="AG102" s="494"/>
      <c r="AH102" s="494"/>
      <c r="AI102" s="494"/>
      <c r="AJ102" s="494"/>
      <c r="AK102" s="494"/>
      <c r="AL102" s="494"/>
      <c r="AM102" s="494"/>
    </row>
    <row r="103" spans="2:39" ht="12.95">
      <c r="B103" s="598" t="s">
        <v>431</v>
      </c>
      <c r="C103" s="602" t="s">
        <v>417</v>
      </c>
      <c r="D103" s="599">
        <f>D101+D86+D108</f>
        <v>10779356.625609394</v>
      </c>
      <c r="E103" s="600">
        <f>E101+E86+E107</f>
        <v>587502.24160701153</v>
      </c>
      <c r="F103" s="600">
        <f t="shared" ref="F103:AM103" si="5">F101+F86+F107</f>
        <v>587502.24160701153</v>
      </c>
      <c r="G103" s="600">
        <f t="shared" si="5"/>
        <v>587502.24160701153</v>
      </c>
      <c r="H103" s="600">
        <f t="shared" si="5"/>
        <v>587502.24160701153</v>
      </c>
      <c r="I103" s="600">
        <f t="shared" si="5"/>
        <v>587502.24160701153</v>
      </c>
      <c r="J103" s="600">
        <f t="shared" si="5"/>
        <v>587502.24160701153</v>
      </c>
      <c r="K103" s="600">
        <f t="shared" si="5"/>
        <v>587502.24160701153</v>
      </c>
      <c r="L103" s="600">
        <f t="shared" si="5"/>
        <v>587502.24160701153</v>
      </c>
      <c r="M103" s="600">
        <f t="shared" si="5"/>
        <v>587502.24160701153</v>
      </c>
      <c r="N103" s="600">
        <f t="shared" si="5"/>
        <v>587502.24160701153</v>
      </c>
      <c r="O103" s="600">
        <f t="shared" si="5"/>
        <v>587502.24160701153</v>
      </c>
      <c r="P103" s="600">
        <f t="shared" si="5"/>
        <v>587502.24160701153</v>
      </c>
      <c r="Q103" s="600">
        <f t="shared" si="5"/>
        <v>587502.24160701153</v>
      </c>
      <c r="R103" s="600">
        <f t="shared" si="5"/>
        <v>587502.24160701153</v>
      </c>
      <c r="S103" s="600">
        <f t="shared" si="5"/>
        <v>587502.24160701153</v>
      </c>
      <c r="T103" s="600">
        <f t="shared" si="5"/>
        <v>587502.24160701153</v>
      </c>
      <c r="U103" s="600">
        <f t="shared" si="5"/>
        <v>587502.24160701153</v>
      </c>
      <c r="V103" s="600">
        <f t="shared" si="5"/>
        <v>587502.24160701153</v>
      </c>
      <c r="W103" s="600">
        <f t="shared" si="5"/>
        <v>587502.24160701153</v>
      </c>
      <c r="X103" s="600">
        <f t="shared" si="5"/>
        <v>587502.24160701153</v>
      </c>
      <c r="Y103" s="600">
        <f t="shared" si="5"/>
        <v>587502.24160701153</v>
      </c>
      <c r="Z103" s="600">
        <f t="shared" si="5"/>
        <v>587502.24160701153</v>
      </c>
      <c r="AA103" s="600">
        <f t="shared" si="5"/>
        <v>587502.24160701153</v>
      </c>
      <c r="AB103" s="600">
        <f t="shared" si="5"/>
        <v>587502.24160701153</v>
      </c>
      <c r="AC103" s="600">
        <f t="shared" si="5"/>
        <v>2067429.4666887564</v>
      </c>
      <c r="AD103" s="600">
        <f t="shared" si="5"/>
        <v>0</v>
      </c>
      <c r="AE103" s="600">
        <f t="shared" si="5"/>
        <v>0</v>
      </c>
      <c r="AF103" s="600">
        <f t="shared" si="5"/>
        <v>0</v>
      </c>
      <c r="AG103" s="600">
        <f t="shared" si="5"/>
        <v>0</v>
      </c>
      <c r="AH103" s="600">
        <f t="shared" si="5"/>
        <v>0</v>
      </c>
      <c r="AI103" s="600">
        <f t="shared" si="5"/>
        <v>0</v>
      </c>
      <c r="AJ103" s="600">
        <f t="shared" si="5"/>
        <v>0</v>
      </c>
      <c r="AK103" s="600">
        <f t="shared" si="5"/>
        <v>0</v>
      </c>
      <c r="AL103" s="600">
        <f t="shared" si="5"/>
        <v>0</v>
      </c>
      <c r="AM103" s="601">
        <f t="shared" si="5"/>
        <v>0</v>
      </c>
    </row>
    <row r="104" spans="2:39">
      <c r="B104" s="478"/>
      <c r="C104" s="485"/>
      <c r="D104" s="476"/>
      <c r="E104" s="476"/>
      <c r="F104" s="476"/>
      <c r="G104" s="476"/>
      <c r="H104" s="476"/>
      <c r="I104" s="476"/>
      <c r="J104" s="476"/>
      <c r="K104" s="476"/>
      <c r="L104" s="476"/>
      <c r="M104" s="476"/>
      <c r="N104" s="476"/>
      <c r="O104" s="476"/>
      <c r="P104" s="476"/>
      <c r="Q104" s="476"/>
      <c r="R104" s="476"/>
      <c r="S104" s="476"/>
      <c r="T104" s="476"/>
      <c r="U104" s="476"/>
      <c r="V104" s="476"/>
      <c r="W104" s="476"/>
      <c r="X104" s="476"/>
      <c r="Y104" s="476"/>
      <c r="Z104" s="476"/>
      <c r="AA104" s="476"/>
      <c r="AB104" s="476"/>
      <c r="AC104" s="476"/>
      <c r="AD104" s="476"/>
      <c r="AE104" s="476"/>
      <c r="AF104" s="476"/>
      <c r="AG104" s="476"/>
      <c r="AH104" s="476"/>
      <c r="AI104" s="476"/>
      <c r="AJ104" s="476"/>
      <c r="AK104" s="476"/>
      <c r="AL104" s="476"/>
      <c r="AM104" s="476"/>
    </row>
    <row r="105" spans="2:39" ht="12.95">
      <c r="B105" s="495"/>
      <c r="D105" s="496" t="s">
        <v>432</v>
      </c>
      <c r="E105" s="496" t="s">
        <v>433</v>
      </c>
      <c r="R105" s="474"/>
    </row>
    <row r="106" spans="2:39">
      <c r="R106" s="474"/>
    </row>
    <row r="107" spans="2:39" s="496" customFormat="1" ht="12.95">
      <c r="B107" s="565" t="s">
        <v>434</v>
      </c>
      <c r="C107" s="592" t="s">
        <v>417</v>
      </c>
      <c r="D107" s="599"/>
      <c r="E107" s="600">
        <f t="shared" ref="E107:AM107" si="6">IF(E76&lt;=$D37,$D108*$D38,0)</f>
        <v>0</v>
      </c>
      <c r="F107" s="600">
        <f t="shared" si="6"/>
        <v>0</v>
      </c>
      <c r="G107" s="600">
        <f t="shared" si="6"/>
        <v>0</v>
      </c>
      <c r="H107" s="600">
        <f t="shared" si="6"/>
        <v>0</v>
      </c>
      <c r="I107" s="600">
        <f t="shared" si="6"/>
        <v>0</v>
      </c>
      <c r="J107" s="600">
        <f t="shared" si="6"/>
        <v>0</v>
      </c>
      <c r="K107" s="600">
        <f t="shared" si="6"/>
        <v>0</v>
      </c>
      <c r="L107" s="600">
        <f t="shared" si="6"/>
        <v>0</v>
      </c>
      <c r="M107" s="600">
        <f t="shared" si="6"/>
        <v>0</v>
      </c>
      <c r="N107" s="600">
        <f t="shared" si="6"/>
        <v>0</v>
      </c>
      <c r="O107" s="600">
        <f t="shared" si="6"/>
        <v>0</v>
      </c>
      <c r="P107" s="600">
        <f t="shared" si="6"/>
        <v>0</v>
      </c>
      <c r="Q107" s="600">
        <f t="shared" si="6"/>
        <v>0</v>
      </c>
      <c r="R107" s="600">
        <f t="shared" si="6"/>
        <v>0</v>
      </c>
      <c r="S107" s="600">
        <f t="shared" si="6"/>
        <v>0</v>
      </c>
      <c r="T107" s="600">
        <f t="shared" si="6"/>
        <v>0</v>
      </c>
      <c r="U107" s="600">
        <f t="shared" si="6"/>
        <v>0</v>
      </c>
      <c r="V107" s="600">
        <f t="shared" si="6"/>
        <v>0</v>
      </c>
      <c r="W107" s="600">
        <f t="shared" si="6"/>
        <v>0</v>
      </c>
      <c r="X107" s="600">
        <f t="shared" si="6"/>
        <v>0</v>
      </c>
      <c r="Y107" s="600">
        <f t="shared" si="6"/>
        <v>0</v>
      </c>
      <c r="Z107" s="600">
        <f t="shared" si="6"/>
        <v>0</v>
      </c>
      <c r="AA107" s="600">
        <f t="shared" si="6"/>
        <v>0</v>
      </c>
      <c r="AB107" s="600">
        <f t="shared" si="6"/>
        <v>0</v>
      </c>
      <c r="AC107" s="600">
        <f t="shared" si="6"/>
        <v>0</v>
      </c>
      <c r="AD107" s="600">
        <f t="shared" si="6"/>
        <v>0</v>
      </c>
      <c r="AE107" s="600">
        <f t="shared" si="6"/>
        <v>0</v>
      </c>
      <c r="AF107" s="600">
        <f t="shared" si="6"/>
        <v>0</v>
      </c>
      <c r="AG107" s="600">
        <f t="shared" si="6"/>
        <v>0</v>
      </c>
      <c r="AH107" s="600">
        <f t="shared" si="6"/>
        <v>0</v>
      </c>
      <c r="AI107" s="600">
        <f t="shared" si="6"/>
        <v>0</v>
      </c>
      <c r="AJ107" s="600">
        <f t="shared" si="6"/>
        <v>0</v>
      </c>
      <c r="AK107" s="600">
        <f t="shared" si="6"/>
        <v>0</v>
      </c>
      <c r="AL107" s="600">
        <f t="shared" si="6"/>
        <v>0</v>
      </c>
      <c r="AM107" s="601">
        <f t="shared" si="6"/>
        <v>0</v>
      </c>
    </row>
    <row r="108" spans="2:39">
      <c r="B108" s="561" t="s">
        <v>435</v>
      </c>
      <c r="C108" s="545" t="s">
        <v>331</v>
      </c>
      <c r="D108" s="603">
        <f>'GuiBiogas Electricity Fin '!D27*(1-D34)</f>
        <v>0</v>
      </c>
      <c r="R108" s="474"/>
    </row>
    <row r="109" spans="2:39">
      <c r="D109" s="487"/>
      <c r="R109" s="474"/>
    </row>
    <row r="110" spans="2:39" s="497" customFormat="1" ht="12.95">
      <c r="B110" s="561" t="s">
        <v>436</v>
      </c>
      <c r="C110" s="545" t="s">
        <v>437</v>
      </c>
      <c r="D110" s="604">
        <f>D78/((1+$D41)^D76)</f>
        <v>18093515.808175437</v>
      </c>
      <c r="E110" s="605">
        <f t="shared" ref="E110:AM110" si="7">E78/((1+$D41)^E76)</f>
        <v>15077929.840146199</v>
      </c>
      <c r="F110" s="605">
        <f t="shared" si="7"/>
        <v>12564941.533455165</v>
      </c>
      <c r="G110" s="605">
        <f t="shared" si="7"/>
        <v>10470784.611212637</v>
      </c>
      <c r="H110" s="605">
        <f t="shared" si="7"/>
        <v>8725653.8426771984</v>
      </c>
      <c r="I110" s="605">
        <f t="shared" si="7"/>
        <v>7271378.2022309983</v>
      </c>
      <c r="J110" s="605">
        <f t="shared" si="7"/>
        <v>6059481.8351924988</v>
      </c>
      <c r="K110" s="605">
        <f t="shared" si="7"/>
        <v>5049568.1959937494</v>
      </c>
      <c r="L110" s="605">
        <f t="shared" si="7"/>
        <v>4207973.4966614582</v>
      </c>
      <c r="M110" s="605">
        <f t="shared" si="7"/>
        <v>3506644.580551215</v>
      </c>
      <c r="N110" s="605">
        <f t="shared" si="7"/>
        <v>2922203.8171260124</v>
      </c>
      <c r="O110" s="605">
        <f t="shared" si="7"/>
        <v>2435169.8476050105</v>
      </c>
      <c r="P110" s="605">
        <f t="shared" si="7"/>
        <v>2029308.2063375087</v>
      </c>
      <c r="Q110" s="605">
        <f t="shared" si="7"/>
        <v>1691090.171947924</v>
      </c>
      <c r="R110" s="717">
        <f t="shared" si="7"/>
        <v>1409241.8099566035</v>
      </c>
      <c r="S110" s="605">
        <f t="shared" si="7"/>
        <v>1174368.1749638361</v>
      </c>
      <c r="T110" s="605">
        <f t="shared" si="7"/>
        <v>978640.14580319694</v>
      </c>
      <c r="U110" s="605">
        <f t="shared" si="7"/>
        <v>815533.45483599743</v>
      </c>
      <c r="V110" s="605">
        <f t="shared" si="7"/>
        <v>679611.21236333123</v>
      </c>
      <c r="W110" s="605">
        <f t="shared" si="7"/>
        <v>566342.67696944263</v>
      </c>
      <c r="X110" s="605">
        <f t="shared" si="7"/>
        <v>471952.23080786888</v>
      </c>
      <c r="Y110" s="605">
        <f t="shared" si="7"/>
        <v>393293.52567322407</v>
      </c>
      <c r="Z110" s="605">
        <f t="shared" si="7"/>
        <v>327744.60472768679</v>
      </c>
      <c r="AA110" s="605">
        <f t="shared" si="7"/>
        <v>273120.50393973896</v>
      </c>
      <c r="AB110" s="605">
        <f t="shared" si="7"/>
        <v>227600.41994978249</v>
      </c>
      <c r="AC110" s="605">
        <f t="shared" si="7"/>
        <v>189667.0166248187</v>
      </c>
      <c r="AD110" s="605">
        <f t="shared" si="7"/>
        <v>0</v>
      </c>
      <c r="AE110" s="605">
        <f t="shared" si="7"/>
        <v>0</v>
      </c>
      <c r="AF110" s="605">
        <f t="shared" si="7"/>
        <v>0</v>
      </c>
      <c r="AG110" s="605">
        <f t="shared" si="7"/>
        <v>0</v>
      </c>
      <c r="AH110" s="605">
        <f t="shared" si="7"/>
        <v>0</v>
      </c>
      <c r="AI110" s="605">
        <f t="shared" si="7"/>
        <v>0</v>
      </c>
      <c r="AJ110" s="605">
        <f t="shared" si="7"/>
        <v>0</v>
      </c>
      <c r="AK110" s="605">
        <f t="shared" si="7"/>
        <v>0</v>
      </c>
      <c r="AL110" s="605">
        <f t="shared" si="7"/>
        <v>0</v>
      </c>
      <c r="AM110" s="606">
        <f t="shared" si="7"/>
        <v>0</v>
      </c>
    </row>
    <row r="111" spans="2:39" s="497" customFormat="1" ht="12.95">
      <c r="B111" s="577" t="s">
        <v>438</v>
      </c>
      <c r="C111" s="607" t="s">
        <v>439</v>
      </c>
      <c r="D111" s="579">
        <f t="shared" ref="D111:AM111" si="8">D103/(1+$D41)^D76</f>
        <v>10779356.625609394</v>
      </c>
      <c r="E111" s="580">
        <f t="shared" si="8"/>
        <v>489585.20133917627</v>
      </c>
      <c r="F111" s="580">
        <f t="shared" si="8"/>
        <v>407987.66778264689</v>
      </c>
      <c r="G111" s="580">
        <f t="shared" si="8"/>
        <v>339989.72315220576</v>
      </c>
      <c r="H111" s="580">
        <f t="shared" si="8"/>
        <v>283324.76929350483</v>
      </c>
      <c r="I111" s="580">
        <f t="shared" si="8"/>
        <v>236103.97441125399</v>
      </c>
      <c r="J111" s="580">
        <f t="shared" si="8"/>
        <v>196753.31200937834</v>
      </c>
      <c r="K111" s="580">
        <f t="shared" si="8"/>
        <v>163961.09334114863</v>
      </c>
      <c r="L111" s="580">
        <f t="shared" si="8"/>
        <v>136634.24445095719</v>
      </c>
      <c r="M111" s="580">
        <f t="shared" si="8"/>
        <v>113861.87037579766</v>
      </c>
      <c r="N111" s="580">
        <f t="shared" si="8"/>
        <v>94884.891979831387</v>
      </c>
      <c r="O111" s="580">
        <f t="shared" si="8"/>
        <v>79070.743316526146</v>
      </c>
      <c r="P111" s="580">
        <f t="shared" si="8"/>
        <v>65892.286097105127</v>
      </c>
      <c r="Q111" s="580">
        <f t="shared" si="8"/>
        <v>54910.238414254272</v>
      </c>
      <c r="R111" s="716">
        <f t="shared" si="8"/>
        <v>45758.532011878568</v>
      </c>
      <c r="S111" s="580">
        <f t="shared" si="8"/>
        <v>38132.110009898803</v>
      </c>
      <c r="T111" s="580">
        <f t="shared" si="8"/>
        <v>31776.758341582339</v>
      </c>
      <c r="U111" s="580">
        <f t="shared" si="8"/>
        <v>26480.631951318617</v>
      </c>
      <c r="V111" s="580">
        <f t="shared" si="8"/>
        <v>22067.193292765514</v>
      </c>
      <c r="W111" s="580">
        <f t="shared" si="8"/>
        <v>18389.327743971262</v>
      </c>
      <c r="X111" s="580">
        <f t="shared" si="8"/>
        <v>15324.439786642717</v>
      </c>
      <c r="Y111" s="580">
        <f t="shared" si="8"/>
        <v>12770.366488868933</v>
      </c>
      <c r="Z111" s="580">
        <f t="shared" si="8"/>
        <v>10641.972074057445</v>
      </c>
      <c r="AA111" s="580">
        <f t="shared" si="8"/>
        <v>8868.3100617145374</v>
      </c>
      <c r="AB111" s="580">
        <f t="shared" si="8"/>
        <v>7390.2583847621145</v>
      </c>
      <c r="AC111" s="580">
        <f t="shared" si="8"/>
        <v>21672.027879286907</v>
      </c>
      <c r="AD111" s="580">
        <f t="shared" si="8"/>
        <v>0</v>
      </c>
      <c r="AE111" s="580">
        <f t="shared" si="8"/>
        <v>0</v>
      </c>
      <c r="AF111" s="580">
        <f t="shared" si="8"/>
        <v>0</v>
      </c>
      <c r="AG111" s="580">
        <f t="shared" si="8"/>
        <v>0</v>
      </c>
      <c r="AH111" s="580">
        <f t="shared" si="8"/>
        <v>0</v>
      </c>
      <c r="AI111" s="580">
        <f t="shared" si="8"/>
        <v>0</v>
      </c>
      <c r="AJ111" s="580">
        <f t="shared" si="8"/>
        <v>0</v>
      </c>
      <c r="AK111" s="580">
        <f t="shared" si="8"/>
        <v>0</v>
      </c>
      <c r="AL111" s="580">
        <f t="shared" si="8"/>
        <v>0</v>
      </c>
      <c r="AM111" s="581">
        <f t="shared" si="8"/>
        <v>0</v>
      </c>
    </row>
    <row r="112" spans="2:39" s="497" customFormat="1" ht="12.95">
      <c r="B112" s="608" t="s">
        <v>440</v>
      </c>
      <c r="C112" s="609" t="s">
        <v>441</v>
      </c>
      <c r="D112" s="610">
        <f t="shared" ref="D112:AM112" si="9">(D103-D130)/(1+$D41)^D76</f>
        <v>11138331.979243595</v>
      </c>
      <c r="E112" s="611">
        <f t="shared" si="9"/>
        <v>788731.32936767687</v>
      </c>
      <c r="F112" s="611">
        <f t="shared" si="9"/>
        <v>657276.10780639737</v>
      </c>
      <c r="G112" s="611">
        <f t="shared" si="9"/>
        <v>547730.08983866451</v>
      </c>
      <c r="H112" s="611">
        <f t="shared" si="9"/>
        <v>456441.74153222039</v>
      </c>
      <c r="I112" s="611">
        <f t="shared" si="9"/>
        <v>380368.11794351699</v>
      </c>
      <c r="J112" s="611">
        <f t="shared" si="9"/>
        <v>316973.43161959748</v>
      </c>
      <c r="K112" s="611">
        <f t="shared" si="9"/>
        <v>264144.52634966461</v>
      </c>
      <c r="L112" s="611">
        <f t="shared" si="9"/>
        <v>220120.4386247205</v>
      </c>
      <c r="M112" s="611">
        <f t="shared" si="9"/>
        <v>183433.69885393375</v>
      </c>
      <c r="N112" s="611">
        <f t="shared" si="9"/>
        <v>152861.41571161145</v>
      </c>
      <c r="O112" s="611">
        <f t="shared" si="9"/>
        <v>127384.51309300956</v>
      </c>
      <c r="P112" s="611">
        <f t="shared" si="9"/>
        <v>106153.7609108413</v>
      </c>
      <c r="Q112" s="611">
        <f t="shared" si="9"/>
        <v>88461.467425701077</v>
      </c>
      <c r="R112" s="611">
        <f t="shared" si="9"/>
        <v>73717.889521417572</v>
      </c>
      <c r="S112" s="611">
        <f t="shared" si="9"/>
        <v>61431.57460118131</v>
      </c>
      <c r="T112" s="611">
        <f t="shared" si="9"/>
        <v>51192.978834317764</v>
      </c>
      <c r="U112" s="611">
        <f t="shared" si="9"/>
        <v>42660.815695264806</v>
      </c>
      <c r="V112" s="611">
        <f t="shared" si="9"/>
        <v>35550.679746054004</v>
      </c>
      <c r="W112" s="611">
        <f t="shared" si="9"/>
        <v>29625.566455045002</v>
      </c>
      <c r="X112" s="611">
        <f t="shared" si="9"/>
        <v>24687.972045870836</v>
      </c>
      <c r="Y112" s="611">
        <f t="shared" si="9"/>
        <v>20573.310038225696</v>
      </c>
      <c r="Z112" s="611">
        <f t="shared" si="9"/>
        <v>17144.425031854749</v>
      </c>
      <c r="AA112" s="611">
        <f t="shared" si="9"/>
        <v>14287.020859878958</v>
      </c>
      <c r="AB112" s="611">
        <f t="shared" si="9"/>
        <v>11905.850716565799</v>
      </c>
      <c r="AC112" s="611">
        <f t="shared" si="9"/>
        <v>25652.569557191979</v>
      </c>
      <c r="AD112" s="611">
        <f t="shared" si="9"/>
        <v>0</v>
      </c>
      <c r="AE112" s="611">
        <f t="shared" si="9"/>
        <v>0</v>
      </c>
      <c r="AF112" s="611">
        <f t="shared" si="9"/>
        <v>0</v>
      </c>
      <c r="AG112" s="611">
        <f t="shared" si="9"/>
        <v>0</v>
      </c>
      <c r="AH112" s="611">
        <f t="shared" si="9"/>
        <v>0</v>
      </c>
      <c r="AI112" s="611">
        <f t="shared" si="9"/>
        <v>0</v>
      </c>
      <c r="AJ112" s="611">
        <f t="shared" si="9"/>
        <v>0</v>
      </c>
      <c r="AK112" s="611">
        <f t="shared" si="9"/>
        <v>0</v>
      </c>
      <c r="AL112" s="611">
        <f t="shared" si="9"/>
        <v>0</v>
      </c>
      <c r="AM112" s="612">
        <f t="shared" si="9"/>
        <v>0</v>
      </c>
    </row>
    <row r="113" spans="1:39" s="497" customFormat="1" ht="12.95">
      <c r="B113" s="577" t="s">
        <v>442</v>
      </c>
      <c r="C113" s="607" t="s">
        <v>439</v>
      </c>
      <c r="D113" s="579">
        <f t="shared" ref="D113:AM113" si="10">(D149)/(1+$D41)^D76</f>
        <v>1447481.264654035</v>
      </c>
      <c r="E113" s="580">
        <f t="shared" si="10"/>
        <v>1206234.3872116958</v>
      </c>
      <c r="F113" s="580">
        <f t="shared" si="10"/>
        <v>1005195.3226764132</v>
      </c>
      <c r="G113" s="580">
        <f t="shared" si="10"/>
        <v>837662.76889701094</v>
      </c>
      <c r="H113" s="580">
        <f t="shared" si="10"/>
        <v>698052.30741417583</v>
      </c>
      <c r="I113" s="580">
        <f t="shared" si="10"/>
        <v>581710.25617847987</v>
      </c>
      <c r="J113" s="580">
        <f t="shared" si="10"/>
        <v>484758.5468153999</v>
      </c>
      <c r="K113" s="580">
        <f t="shared" si="10"/>
        <v>403965.45567949995</v>
      </c>
      <c r="L113" s="580">
        <f t="shared" si="10"/>
        <v>336637.87973291666</v>
      </c>
      <c r="M113" s="580">
        <f t="shared" si="10"/>
        <v>280531.5664440972</v>
      </c>
      <c r="N113" s="580">
        <f t="shared" si="10"/>
        <v>233776.30537008098</v>
      </c>
      <c r="O113" s="580">
        <f t="shared" si="10"/>
        <v>194813.58780840083</v>
      </c>
      <c r="P113" s="580">
        <f t="shared" si="10"/>
        <v>162344.65650700071</v>
      </c>
      <c r="Q113" s="580">
        <f t="shared" si="10"/>
        <v>135287.21375583392</v>
      </c>
      <c r="R113" s="716">
        <f t="shared" si="10"/>
        <v>112739.34479652827</v>
      </c>
      <c r="S113" s="580">
        <f t="shared" si="10"/>
        <v>93949.453997106888</v>
      </c>
      <c r="T113" s="580">
        <f t="shared" si="10"/>
        <v>78291.211664255752</v>
      </c>
      <c r="U113" s="580">
        <f t="shared" si="10"/>
        <v>65242.676386879793</v>
      </c>
      <c r="V113" s="580">
        <f t="shared" si="10"/>
        <v>54368.896989066496</v>
      </c>
      <c r="W113" s="580">
        <f t="shared" si="10"/>
        <v>45307.414157555409</v>
      </c>
      <c r="X113" s="580">
        <f t="shared" si="10"/>
        <v>37756.178464629505</v>
      </c>
      <c r="Y113" s="580">
        <f t="shared" si="10"/>
        <v>31463.482053857926</v>
      </c>
      <c r="Z113" s="580">
        <f t="shared" si="10"/>
        <v>26219.568378214943</v>
      </c>
      <c r="AA113" s="580">
        <f t="shared" si="10"/>
        <v>21849.640315179116</v>
      </c>
      <c r="AB113" s="580">
        <f t="shared" si="10"/>
        <v>18208.033595982597</v>
      </c>
      <c r="AC113" s="580">
        <f t="shared" si="10"/>
        <v>15173.361329985497</v>
      </c>
      <c r="AD113" s="580">
        <f t="shared" si="10"/>
        <v>0</v>
      </c>
      <c r="AE113" s="580">
        <f t="shared" si="10"/>
        <v>0</v>
      </c>
      <c r="AF113" s="580">
        <f t="shared" si="10"/>
        <v>0</v>
      </c>
      <c r="AG113" s="580">
        <f t="shared" si="10"/>
        <v>0</v>
      </c>
      <c r="AH113" s="580">
        <f t="shared" si="10"/>
        <v>0</v>
      </c>
      <c r="AI113" s="580">
        <f t="shared" si="10"/>
        <v>0</v>
      </c>
      <c r="AJ113" s="580">
        <f t="shared" si="10"/>
        <v>0</v>
      </c>
      <c r="AK113" s="580">
        <f t="shared" si="10"/>
        <v>0</v>
      </c>
      <c r="AL113" s="580">
        <f t="shared" si="10"/>
        <v>0</v>
      </c>
      <c r="AM113" s="581">
        <f t="shared" si="10"/>
        <v>0</v>
      </c>
    </row>
    <row r="114" spans="1:39" s="497" customFormat="1" ht="12.95">
      <c r="B114" s="577" t="s">
        <v>443</v>
      </c>
      <c r="C114" s="607" t="s">
        <v>439</v>
      </c>
      <c r="D114" s="579">
        <f t="shared" ref="D114:AM114" si="11">(D124)/(1+$D41)^D76</f>
        <v>-856240.98836138658</v>
      </c>
      <c r="E114" s="580">
        <f t="shared" si="11"/>
        <v>-713534.15696782223</v>
      </c>
      <c r="F114" s="580">
        <f t="shared" si="11"/>
        <v>-594611.79747318511</v>
      </c>
      <c r="G114" s="580">
        <f t="shared" si="11"/>
        <v>-495509.8312276543</v>
      </c>
      <c r="H114" s="580">
        <f t="shared" si="11"/>
        <v>-412924.85935637855</v>
      </c>
      <c r="I114" s="580">
        <f t="shared" si="11"/>
        <v>-344104.04946364881</v>
      </c>
      <c r="J114" s="580">
        <f t="shared" si="11"/>
        <v>-286753.37455304072</v>
      </c>
      <c r="K114" s="580">
        <f t="shared" si="11"/>
        <v>-238961.14546086724</v>
      </c>
      <c r="L114" s="580">
        <f t="shared" si="11"/>
        <v>-199134.28788405604</v>
      </c>
      <c r="M114" s="580">
        <f t="shared" si="11"/>
        <v>-165945.23990338005</v>
      </c>
      <c r="N114" s="580">
        <f t="shared" si="11"/>
        <v>-138287.69991948336</v>
      </c>
      <c r="O114" s="580">
        <f t="shared" si="11"/>
        <v>-115239.74993290281</v>
      </c>
      <c r="P114" s="580">
        <f t="shared" si="11"/>
        <v>-96033.124944085677</v>
      </c>
      <c r="Q114" s="580">
        <f t="shared" si="11"/>
        <v>-80027.604120071395</v>
      </c>
      <c r="R114" s="716">
        <f t="shared" si="11"/>
        <v>-66689.670100059506</v>
      </c>
      <c r="S114" s="580">
        <f t="shared" si="11"/>
        <v>-55574.725083382917</v>
      </c>
      <c r="T114" s="580">
        <f t="shared" si="11"/>
        <v>-46312.270902819102</v>
      </c>
      <c r="U114" s="580">
        <f t="shared" si="11"/>
        <v>-38593.559085682587</v>
      </c>
      <c r="V114" s="580">
        <f t="shared" si="11"/>
        <v>-32161.299238068823</v>
      </c>
      <c r="W114" s="580">
        <f t="shared" si="11"/>
        <v>-26801.082698390685</v>
      </c>
      <c r="X114" s="580">
        <f t="shared" si="11"/>
        <v>-22334.235581992238</v>
      </c>
      <c r="Y114" s="580">
        <f t="shared" si="11"/>
        <v>-18611.862984993531</v>
      </c>
      <c r="Z114" s="580">
        <f t="shared" si="11"/>
        <v>-15509.885820827945</v>
      </c>
      <c r="AA114" s="580">
        <f t="shared" si="11"/>
        <v>-12924.904850689954</v>
      </c>
      <c r="AB114" s="580">
        <f t="shared" si="11"/>
        <v>-10770.75404224163</v>
      </c>
      <c r="AC114" s="580">
        <f t="shared" si="11"/>
        <v>-8975.6283685346898</v>
      </c>
      <c r="AD114" s="580">
        <f t="shared" si="11"/>
        <v>0</v>
      </c>
      <c r="AE114" s="580">
        <f t="shared" si="11"/>
        <v>0</v>
      </c>
      <c r="AF114" s="580">
        <f t="shared" si="11"/>
        <v>0</v>
      </c>
      <c r="AG114" s="580">
        <f t="shared" si="11"/>
        <v>0</v>
      </c>
      <c r="AH114" s="580">
        <f t="shared" si="11"/>
        <v>0</v>
      </c>
      <c r="AI114" s="580">
        <f t="shared" si="11"/>
        <v>0</v>
      </c>
      <c r="AJ114" s="580">
        <f t="shared" si="11"/>
        <v>0</v>
      </c>
      <c r="AK114" s="580">
        <f t="shared" si="11"/>
        <v>0</v>
      </c>
      <c r="AL114" s="580">
        <f t="shared" si="11"/>
        <v>0</v>
      </c>
      <c r="AM114" s="581">
        <f t="shared" si="11"/>
        <v>0</v>
      </c>
    </row>
    <row r="115" spans="1:39" s="497" customFormat="1" ht="12.95">
      <c r="B115" s="577" t="s">
        <v>444</v>
      </c>
      <c r="C115" s="607" t="s">
        <v>439</v>
      </c>
      <c r="D115" s="579">
        <f t="shared" ref="D115:AM115" si="12">(D130)/(1+$D41)^D76</f>
        <v>-358975.35363420064</v>
      </c>
      <c r="E115" s="580">
        <f t="shared" si="12"/>
        <v>-299146.12802850053</v>
      </c>
      <c r="F115" s="580">
        <f t="shared" si="12"/>
        <v>-249288.44002375045</v>
      </c>
      <c r="G115" s="580">
        <f t="shared" si="12"/>
        <v>-207740.3666864587</v>
      </c>
      <c r="H115" s="580">
        <f t="shared" si="12"/>
        <v>-173116.97223871559</v>
      </c>
      <c r="I115" s="580">
        <f t="shared" si="12"/>
        <v>-144264.143532263</v>
      </c>
      <c r="J115" s="580">
        <f t="shared" si="12"/>
        <v>-120220.11961021916</v>
      </c>
      <c r="K115" s="580">
        <f t="shared" si="12"/>
        <v>-100183.43300851597</v>
      </c>
      <c r="L115" s="580">
        <f t="shared" si="12"/>
        <v>-83486.194173763317</v>
      </c>
      <c r="M115" s="580">
        <f t="shared" si="12"/>
        <v>-69571.8284781361</v>
      </c>
      <c r="N115" s="580">
        <f t="shared" si="12"/>
        <v>-57976.523731780078</v>
      </c>
      <c r="O115" s="580">
        <f t="shared" si="12"/>
        <v>-48313.769776483401</v>
      </c>
      <c r="P115" s="580">
        <f t="shared" si="12"/>
        <v>-40261.474813736168</v>
      </c>
      <c r="Q115" s="580">
        <f t="shared" si="12"/>
        <v>-33551.229011446805</v>
      </c>
      <c r="R115" s="716">
        <f t="shared" si="12"/>
        <v>-27959.357509539008</v>
      </c>
      <c r="S115" s="580">
        <f t="shared" si="12"/>
        <v>-23299.464591282507</v>
      </c>
      <c r="T115" s="580">
        <f t="shared" si="12"/>
        <v>-19416.220492735425</v>
      </c>
      <c r="U115" s="580">
        <f t="shared" si="12"/>
        <v>-16180.183743946187</v>
      </c>
      <c r="V115" s="580">
        <f t="shared" si="12"/>
        <v>-13483.486453288489</v>
      </c>
      <c r="W115" s="580">
        <f t="shared" si="12"/>
        <v>-11236.23871107374</v>
      </c>
      <c r="X115" s="580">
        <f t="shared" si="12"/>
        <v>-9363.5322592281173</v>
      </c>
      <c r="Y115" s="580">
        <f t="shared" si="12"/>
        <v>-7802.9435493567653</v>
      </c>
      <c r="Z115" s="580">
        <f t="shared" si="12"/>
        <v>-6502.4529577973044</v>
      </c>
      <c r="AA115" s="580">
        <f t="shared" si="12"/>
        <v>-5418.7107981644203</v>
      </c>
      <c r="AB115" s="580">
        <f t="shared" si="12"/>
        <v>-4515.5923318036839</v>
      </c>
      <c r="AC115" s="580">
        <f t="shared" si="12"/>
        <v>-3980.5416779050706</v>
      </c>
      <c r="AD115" s="580">
        <f t="shared" si="12"/>
        <v>0</v>
      </c>
      <c r="AE115" s="580">
        <f t="shared" si="12"/>
        <v>0</v>
      </c>
      <c r="AF115" s="580">
        <f t="shared" si="12"/>
        <v>0</v>
      </c>
      <c r="AG115" s="580">
        <f t="shared" si="12"/>
        <v>0</v>
      </c>
      <c r="AH115" s="580">
        <f t="shared" si="12"/>
        <v>0</v>
      </c>
      <c r="AI115" s="580">
        <f t="shared" si="12"/>
        <v>0</v>
      </c>
      <c r="AJ115" s="580">
        <f t="shared" si="12"/>
        <v>0</v>
      </c>
      <c r="AK115" s="580">
        <f t="shared" si="12"/>
        <v>0</v>
      </c>
      <c r="AL115" s="580">
        <f t="shared" si="12"/>
        <v>0</v>
      </c>
      <c r="AM115" s="581">
        <f t="shared" si="12"/>
        <v>0</v>
      </c>
    </row>
    <row r="116" spans="1:39" s="497" customFormat="1" ht="12.95">
      <c r="B116" s="498"/>
      <c r="C116" s="499"/>
      <c r="D116" s="500"/>
      <c r="E116" s="500"/>
      <c r="F116" s="500"/>
      <c r="G116" s="500"/>
      <c r="H116" s="500"/>
      <c r="I116" s="500"/>
      <c r="J116" s="500"/>
      <c r="K116" s="500"/>
      <c r="L116" s="500"/>
      <c r="M116" s="500"/>
      <c r="N116" s="500"/>
      <c r="O116" s="500"/>
      <c r="P116" s="500"/>
      <c r="Q116" s="500"/>
      <c r="R116" s="500"/>
      <c r="S116" s="500"/>
      <c r="T116" s="500"/>
      <c r="U116" s="500"/>
      <c r="V116" s="500"/>
      <c r="W116" s="500"/>
      <c r="X116" s="500"/>
      <c r="Y116" s="500"/>
      <c r="Z116" s="500"/>
      <c r="AA116" s="500"/>
      <c r="AB116" s="500"/>
      <c r="AC116" s="500"/>
      <c r="AD116" s="500"/>
      <c r="AE116" s="500"/>
      <c r="AF116" s="500"/>
      <c r="AG116" s="500"/>
      <c r="AH116" s="500"/>
      <c r="AI116" s="500"/>
      <c r="AJ116" s="500"/>
      <c r="AK116" s="500"/>
      <c r="AL116" s="500"/>
      <c r="AM116" s="500"/>
    </row>
    <row r="117" spans="1:39">
      <c r="R117" s="474"/>
    </row>
    <row r="118" spans="1:39" ht="12.95">
      <c r="B118" s="565" t="s">
        <v>445</v>
      </c>
      <c r="C118" s="592" t="s">
        <v>364</v>
      </c>
      <c r="R118" s="474"/>
    </row>
    <row r="119" spans="1:39">
      <c r="B119" s="561" t="str">
        <f>'SolarPV Financial Analysis'!B117</f>
        <v>Annual emissions Avoided (tCO2eq)</v>
      </c>
      <c r="C119" s="594" t="s">
        <v>446</v>
      </c>
      <c r="D119" s="724">
        <f>D78*(0-$D$23)/$C$30</f>
        <v>-11579.850117232279</v>
      </c>
      <c r="E119" s="613">
        <f>'GuiBiogas Electricity Fin '!$D$119</f>
        <v>-11579.850117232279</v>
      </c>
      <c r="F119" s="613">
        <f>'GuiBiogas Electricity Fin '!$D$119</f>
        <v>-11579.850117232279</v>
      </c>
      <c r="G119" s="613">
        <f>'GuiBiogas Electricity Fin '!$D$119</f>
        <v>-11579.850117232279</v>
      </c>
      <c r="H119" s="613">
        <f>'GuiBiogas Electricity Fin '!$D$119</f>
        <v>-11579.850117232279</v>
      </c>
      <c r="I119" s="613">
        <f>'GuiBiogas Electricity Fin '!$D$119</f>
        <v>-11579.850117232279</v>
      </c>
      <c r="J119" s="613">
        <f>'GuiBiogas Electricity Fin '!$D$119</f>
        <v>-11579.850117232279</v>
      </c>
      <c r="K119" s="613">
        <f>'GuiBiogas Electricity Fin '!$D$119</f>
        <v>-11579.850117232279</v>
      </c>
      <c r="L119" s="613">
        <f>'GuiBiogas Electricity Fin '!$D$119</f>
        <v>-11579.850117232279</v>
      </c>
      <c r="M119" s="613">
        <f>'GuiBiogas Electricity Fin '!$D$119</f>
        <v>-11579.850117232279</v>
      </c>
      <c r="N119" s="613">
        <f>'GuiBiogas Electricity Fin '!$D$119</f>
        <v>-11579.850117232279</v>
      </c>
      <c r="O119" s="613">
        <f>'GuiBiogas Electricity Fin '!$D$119</f>
        <v>-11579.850117232279</v>
      </c>
      <c r="P119" s="613">
        <f>'GuiBiogas Electricity Fin '!$D$119</f>
        <v>-11579.850117232279</v>
      </c>
      <c r="Q119" s="613">
        <f>'GuiBiogas Electricity Fin '!$D$119</f>
        <v>-11579.850117232279</v>
      </c>
      <c r="R119" s="718">
        <f>'GuiBiogas Electricity Fin '!$D$119</f>
        <v>-11579.850117232279</v>
      </c>
      <c r="S119" s="613">
        <f>'GuiBiogas Electricity Fin '!$D$119</f>
        <v>-11579.850117232279</v>
      </c>
      <c r="T119" s="613">
        <f>'GuiBiogas Electricity Fin '!$D$119</f>
        <v>-11579.850117232279</v>
      </c>
      <c r="U119" s="613">
        <f>'GuiBiogas Electricity Fin '!$D$119</f>
        <v>-11579.850117232279</v>
      </c>
      <c r="V119" s="613">
        <f>'GuiBiogas Electricity Fin '!$D$119</f>
        <v>-11579.850117232279</v>
      </c>
      <c r="W119" s="613">
        <f>'GuiBiogas Electricity Fin '!$D$119</f>
        <v>-11579.850117232279</v>
      </c>
      <c r="X119" s="613">
        <f>'GuiBiogas Electricity Fin '!$D$119</f>
        <v>-11579.850117232279</v>
      </c>
      <c r="Y119" s="613">
        <f>'GuiBiogas Electricity Fin '!$D$119</f>
        <v>-11579.850117232279</v>
      </c>
      <c r="Z119" s="613">
        <f>'GuiBiogas Electricity Fin '!$D$119</f>
        <v>-11579.850117232279</v>
      </c>
      <c r="AA119" s="613">
        <f>'GuiBiogas Electricity Fin '!$D$119</f>
        <v>-11579.850117232279</v>
      </c>
      <c r="AB119" s="613">
        <f>'GuiBiogas Electricity Fin '!$D$119</f>
        <v>-11579.850117232279</v>
      </c>
      <c r="AC119" s="613">
        <f t="shared" ref="AC119:AM119" si="13">AC78*(0-$D$21)/$C$30</f>
        <v>-12249.310202134771</v>
      </c>
      <c r="AD119" s="613">
        <f t="shared" si="13"/>
        <v>0</v>
      </c>
      <c r="AE119" s="613">
        <f t="shared" si="13"/>
        <v>0</v>
      </c>
      <c r="AF119" s="613">
        <f t="shared" si="13"/>
        <v>0</v>
      </c>
      <c r="AG119" s="613">
        <f t="shared" si="13"/>
        <v>0</v>
      </c>
      <c r="AH119" s="613">
        <f t="shared" si="13"/>
        <v>0</v>
      </c>
      <c r="AI119" s="613">
        <f t="shared" si="13"/>
        <v>0</v>
      </c>
      <c r="AJ119" s="613">
        <f t="shared" si="13"/>
        <v>0</v>
      </c>
      <c r="AK119" s="613">
        <f t="shared" si="13"/>
        <v>0</v>
      </c>
      <c r="AL119" s="613">
        <f t="shared" si="13"/>
        <v>0</v>
      </c>
      <c r="AM119" s="614">
        <f t="shared" si="13"/>
        <v>0</v>
      </c>
    </row>
    <row r="120" spans="1:39">
      <c r="B120" s="561" t="str">
        <f>'SolarPV Financial Analysis'!B118</f>
        <v xml:space="preserve">Cumulative Avoided Emissions </v>
      </c>
      <c r="C120" s="545" t="s">
        <v>373</v>
      </c>
      <c r="D120" s="615">
        <f>SUM(D119:AB119)</f>
        <v>-289496.25293080695</v>
      </c>
      <c r="R120" s="474"/>
    </row>
    <row r="121" spans="1:39">
      <c r="D121" s="501"/>
    </row>
    <row r="122" spans="1:39">
      <c r="D122" s="501"/>
    </row>
    <row r="123" spans="1:39" ht="12.95">
      <c r="B123" s="616" t="s">
        <v>447</v>
      </c>
      <c r="C123" s="592" t="s">
        <v>364</v>
      </c>
      <c r="D123" s="501"/>
    </row>
    <row r="124" spans="1:39">
      <c r="B124" s="577" t="s">
        <v>448</v>
      </c>
      <c r="C124" s="578" t="s">
        <v>417</v>
      </c>
      <c r="D124" s="617">
        <f t="shared" ref="D124:AM124" si="14">D78*($D$16-$D$60)</f>
        <v>-856240.98836138658</v>
      </c>
      <c r="E124" s="618">
        <f t="shared" si="14"/>
        <v>-856240.98836138658</v>
      </c>
      <c r="F124" s="618">
        <f t="shared" si="14"/>
        <v>-856240.98836138658</v>
      </c>
      <c r="G124" s="618">
        <f t="shared" si="14"/>
        <v>-856240.98836138658</v>
      </c>
      <c r="H124" s="618">
        <f t="shared" si="14"/>
        <v>-856240.98836138658</v>
      </c>
      <c r="I124" s="618">
        <f t="shared" si="14"/>
        <v>-856240.98836138658</v>
      </c>
      <c r="J124" s="618">
        <f t="shared" si="14"/>
        <v>-856240.98836138658</v>
      </c>
      <c r="K124" s="618">
        <f t="shared" si="14"/>
        <v>-856240.98836138658</v>
      </c>
      <c r="L124" s="618">
        <f t="shared" si="14"/>
        <v>-856240.98836138658</v>
      </c>
      <c r="M124" s="618">
        <f t="shared" si="14"/>
        <v>-856240.98836138658</v>
      </c>
      <c r="N124" s="618">
        <f t="shared" si="14"/>
        <v>-856240.98836138658</v>
      </c>
      <c r="O124" s="618">
        <f t="shared" si="14"/>
        <v>-856240.98836138658</v>
      </c>
      <c r="P124" s="618">
        <f t="shared" si="14"/>
        <v>-856240.98836138658</v>
      </c>
      <c r="Q124" s="618">
        <f t="shared" si="14"/>
        <v>-856240.98836138658</v>
      </c>
      <c r="R124" s="722">
        <f t="shared" si="14"/>
        <v>-856240.98836138658</v>
      </c>
      <c r="S124" s="618">
        <f t="shared" si="14"/>
        <v>-856240.98836138658</v>
      </c>
      <c r="T124" s="618">
        <f t="shared" si="14"/>
        <v>-856240.98836138658</v>
      </c>
      <c r="U124" s="618">
        <f t="shared" si="14"/>
        <v>-856240.98836138658</v>
      </c>
      <c r="V124" s="618">
        <f t="shared" si="14"/>
        <v>-856240.98836138658</v>
      </c>
      <c r="W124" s="618">
        <f t="shared" si="14"/>
        <v>-856240.98836138658</v>
      </c>
      <c r="X124" s="618">
        <f t="shared" si="14"/>
        <v>-856240.98836138658</v>
      </c>
      <c r="Y124" s="618">
        <f t="shared" si="14"/>
        <v>-856240.98836138658</v>
      </c>
      <c r="Z124" s="618">
        <f t="shared" si="14"/>
        <v>-856240.98836138658</v>
      </c>
      <c r="AA124" s="618">
        <f t="shared" si="14"/>
        <v>-856240.98836138658</v>
      </c>
      <c r="AB124" s="618">
        <f t="shared" si="14"/>
        <v>-856240.98836138658</v>
      </c>
      <c r="AC124" s="618">
        <f t="shared" si="14"/>
        <v>-856240.98836138658</v>
      </c>
      <c r="AD124" s="618">
        <f t="shared" si="14"/>
        <v>0</v>
      </c>
      <c r="AE124" s="618">
        <f t="shared" si="14"/>
        <v>0</v>
      </c>
      <c r="AF124" s="618">
        <f t="shared" si="14"/>
        <v>0</v>
      </c>
      <c r="AG124" s="618">
        <f t="shared" si="14"/>
        <v>0</v>
      </c>
      <c r="AH124" s="618">
        <f t="shared" si="14"/>
        <v>0</v>
      </c>
      <c r="AI124" s="618">
        <f t="shared" si="14"/>
        <v>0</v>
      </c>
      <c r="AJ124" s="618">
        <f t="shared" si="14"/>
        <v>0</v>
      </c>
      <c r="AK124" s="618">
        <f t="shared" si="14"/>
        <v>0</v>
      </c>
      <c r="AL124" s="618">
        <f t="shared" si="14"/>
        <v>0</v>
      </c>
      <c r="AM124" s="619">
        <f t="shared" si="14"/>
        <v>0</v>
      </c>
    </row>
    <row r="125" spans="1:39" s="487" customFormat="1" ht="12.95">
      <c r="A125" s="474"/>
      <c r="B125" s="620" t="s">
        <v>449</v>
      </c>
      <c r="C125" s="592" t="s">
        <v>331</v>
      </c>
      <c r="D125" s="621">
        <f>SUM(D124:AM124)</f>
        <v>-22262265.697396062</v>
      </c>
      <c r="E125" s="352"/>
      <c r="F125" s="352"/>
      <c r="G125" s="352"/>
      <c r="H125" s="352"/>
      <c r="I125" s="352"/>
      <c r="J125" s="352"/>
      <c r="K125" s="352"/>
      <c r="L125" s="352"/>
      <c r="M125" s="352"/>
      <c r="N125" s="352"/>
      <c r="O125" s="352"/>
      <c r="P125" s="352"/>
      <c r="Q125" s="352"/>
      <c r="R125" s="723"/>
      <c r="S125" s="352"/>
      <c r="T125" s="352"/>
      <c r="U125" s="352"/>
      <c r="V125" s="352"/>
      <c r="W125" s="352"/>
      <c r="X125" s="352"/>
      <c r="Y125" s="352"/>
      <c r="Z125" s="352"/>
      <c r="AA125" s="352"/>
      <c r="AB125" s="352"/>
      <c r="AC125" s="352"/>
      <c r="AD125" s="352"/>
      <c r="AE125" s="352"/>
      <c r="AF125" s="352"/>
      <c r="AG125" s="352"/>
      <c r="AH125" s="352"/>
      <c r="AI125" s="352"/>
      <c r="AJ125" s="352"/>
      <c r="AK125" s="352"/>
      <c r="AL125" s="352"/>
      <c r="AM125" s="352"/>
    </row>
    <row r="126" spans="1:39" s="487" customFormat="1">
      <c r="A126" s="474"/>
      <c r="B126" s="501"/>
      <c r="C126" s="501"/>
      <c r="D126" s="501"/>
      <c r="E126" s="352"/>
      <c r="F126" s="352"/>
      <c r="G126" s="352"/>
      <c r="H126" s="352"/>
      <c r="I126" s="352"/>
      <c r="J126" s="352"/>
      <c r="K126" s="352"/>
      <c r="L126" s="352"/>
      <c r="M126" s="352"/>
      <c r="N126" s="352"/>
      <c r="O126" s="352"/>
      <c r="P126" s="352"/>
      <c r="Q126" s="352"/>
      <c r="R126" s="723"/>
      <c r="S126" s="352"/>
      <c r="T126" s="352"/>
      <c r="U126" s="352"/>
      <c r="V126" s="352"/>
      <c r="W126" s="352"/>
      <c r="X126" s="352"/>
      <c r="Y126" s="352"/>
      <c r="Z126" s="352"/>
      <c r="AA126" s="352"/>
      <c r="AB126" s="352"/>
      <c r="AC126" s="352"/>
      <c r="AD126" s="352"/>
      <c r="AE126" s="352"/>
      <c r="AF126" s="352"/>
      <c r="AG126" s="352"/>
      <c r="AH126" s="352"/>
      <c r="AI126" s="352"/>
      <c r="AJ126" s="352"/>
      <c r="AK126" s="352"/>
      <c r="AL126" s="352"/>
      <c r="AM126" s="352"/>
    </row>
    <row r="127" spans="1:39" ht="12.95">
      <c r="B127" s="616" t="s">
        <v>450</v>
      </c>
      <c r="C127" s="501"/>
      <c r="D127" s="501"/>
      <c r="R127" s="474"/>
    </row>
    <row r="128" spans="1:39" s="487" customFormat="1" ht="12.95">
      <c r="A128" s="474"/>
      <c r="B128" s="622" t="s">
        <v>451</v>
      </c>
      <c r="C128" s="592" t="s">
        <v>364</v>
      </c>
      <c r="D128" s="501"/>
      <c r="E128" s="352"/>
      <c r="F128" s="352"/>
      <c r="G128" s="352"/>
      <c r="H128" s="352"/>
      <c r="I128" s="352"/>
      <c r="J128" s="352"/>
      <c r="K128" s="352"/>
      <c r="L128" s="352"/>
      <c r="M128" s="352"/>
      <c r="N128" s="352"/>
      <c r="O128" s="352"/>
      <c r="P128" s="352"/>
      <c r="Q128" s="352"/>
      <c r="R128" s="723"/>
      <c r="S128" s="352"/>
      <c r="T128" s="352"/>
      <c r="U128" s="352"/>
      <c r="V128" s="352"/>
      <c r="W128" s="352"/>
      <c r="X128" s="352"/>
      <c r="Y128" s="352"/>
      <c r="Z128" s="352"/>
      <c r="AA128" s="352"/>
      <c r="AB128" s="352"/>
      <c r="AC128" s="352"/>
      <c r="AD128" s="352"/>
      <c r="AE128" s="352"/>
      <c r="AF128" s="352"/>
      <c r="AG128" s="352"/>
      <c r="AH128" s="352"/>
      <c r="AI128" s="352"/>
      <c r="AJ128" s="352"/>
      <c r="AK128" s="352"/>
      <c r="AL128" s="352"/>
      <c r="AM128" s="352"/>
    </row>
    <row r="129" spans="2:39">
      <c r="B129" s="623" t="s">
        <v>452</v>
      </c>
      <c r="C129" s="624" t="s">
        <v>453</v>
      </c>
      <c r="D129" s="625">
        <v>31</v>
      </c>
      <c r="R129" s="474"/>
    </row>
    <row r="130" spans="2:39">
      <c r="B130" s="568" t="s">
        <v>79</v>
      </c>
      <c r="C130" s="574" t="s">
        <v>417</v>
      </c>
      <c r="D130" s="617">
        <f t="shared" ref="D130:AM130" si="15">$D$129*D119</f>
        <v>-358975.35363420064</v>
      </c>
      <c r="E130" s="618">
        <f t="shared" si="15"/>
        <v>-358975.35363420064</v>
      </c>
      <c r="F130" s="618">
        <f t="shared" si="15"/>
        <v>-358975.35363420064</v>
      </c>
      <c r="G130" s="618">
        <f t="shared" si="15"/>
        <v>-358975.35363420064</v>
      </c>
      <c r="H130" s="618">
        <f t="shared" si="15"/>
        <v>-358975.35363420064</v>
      </c>
      <c r="I130" s="618">
        <f t="shared" si="15"/>
        <v>-358975.35363420064</v>
      </c>
      <c r="J130" s="618">
        <f t="shared" si="15"/>
        <v>-358975.35363420064</v>
      </c>
      <c r="K130" s="618">
        <f t="shared" si="15"/>
        <v>-358975.35363420064</v>
      </c>
      <c r="L130" s="618">
        <f t="shared" si="15"/>
        <v>-358975.35363420064</v>
      </c>
      <c r="M130" s="618">
        <f t="shared" si="15"/>
        <v>-358975.35363420064</v>
      </c>
      <c r="N130" s="618">
        <f t="shared" si="15"/>
        <v>-358975.35363420064</v>
      </c>
      <c r="O130" s="618">
        <f t="shared" si="15"/>
        <v>-358975.35363420064</v>
      </c>
      <c r="P130" s="618">
        <f t="shared" si="15"/>
        <v>-358975.35363420064</v>
      </c>
      <c r="Q130" s="618">
        <f t="shared" si="15"/>
        <v>-358975.35363420064</v>
      </c>
      <c r="R130" s="722">
        <f t="shared" si="15"/>
        <v>-358975.35363420064</v>
      </c>
      <c r="S130" s="618">
        <f t="shared" si="15"/>
        <v>-358975.35363420064</v>
      </c>
      <c r="T130" s="618">
        <f t="shared" si="15"/>
        <v>-358975.35363420064</v>
      </c>
      <c r="U130" s="618">
        <f t="shared" si="15"/>
        <v>-358975.35363420064</v>
      </c>
      <c r="V130" s="618">
        <f t="shared" si="15"/>
        <v>-358975.35363420064</v>
      </c>
      <c r="W130" s="618">
        <f t="shared" si="15"/>
        <v>-358975.35363420064</v>
      </c>
      <c r="X130" s="618">
        <f t="shared" si="15"/>
        <v>-358975.35363420064</v>
      </c>
      <c r="Y130" s="618">
        <f t="shared" si="15"/>
        <v>-358975.35363420064</v>
      </c>
      <c r="Z130" s="618">
        <f t="shared" si="15"/>
        <v>-358975.35363420064</v>
      </c>
      <c r="AA130" s="618">
        <f t="shared" si="15"/>
        <v>-358975.35363420064</v>
      </c>
      <c r="AB130" s="618">
        <f t="shared" si="15"/>
        <v>-358975.35363420064</v>
      </c>
      <c r="AC130" s="618">
        <f t="shared" si="15"/>
        <v>-379728.61626617791</v>
      </c>
      <c r="AD130" s="618">
        <f t="shared" si="15"/>
        <v>0</v>
      </c>
      <c r="AE130" s="618">
        <f t="shared" si="15"/>
        <v>0</v>
      </c>
      <c r="AF130" s="618">
        <f t="shared" si="15"/>
        <v>0</v>
      </c>
      <c r="AG130" s="618">
        <f t="shared" si="15"/>
        <v>0</v>
      </c>
      <c r="AH130" s="618">
        <f t="shared" si="15"/>
        <v>0</v>
      </c>
      <c r="AI130" s="618">
        <f t="shared" si="15"/>
        <v>0</v>
      </c>
      <c r="AJ130" s="618">
        <f t="shared" si="15"/>
        <v>0</v>
      </c>
      <c r="AK130" s="618">
        <f t="shared" si="15"/>
        <v>0</v>
      </c>
      <c r="AL130" s="618">
        <f t="shared" si="15"/>
        <v>0</v>
      </c>
      <c r="AM130" s="619">
        <f t="shared" si="15"/>
        <v>0</v>
      </c>
    </row>
    <row r="131" spans="2:39" ht="12.95">
      <c r="B131" s="620" t="s">
        <v>454</v>
      </c>
      <c r="C131" s="592" t="s">
        <v>331</v>
      </c>
      <c r="D131" s="590">
        <f>SUM(D130:AM130)</f>
        <v>-9354112.4571211971</v>
      </c>
      <c r="R131" s="474"/>
    </row>
    <row r="132" spans="2:39">
      <c r="B132" s="568" t="s">
        <v>455</v>
      </c>
      <c r="C132" s="574" t="s">
        <v>417</v>
      </c>
      <c r="D132" s="617">
        <f t="shared" ref="D132:AM132" si="16">(0-$D$21)*D78*$D$129/$C$30</f>
        <v>-379728.61626617791</v>
      </c>
      <c r="E132" s="618">
        <f t="shared" si="16"/>
        <v>-379728.61626617791</v>
      </c>
      <c r="F132" s="618">
        <f t="shared" si="16"/>
        <v>-379728.61626617791</v>
      </c>
      <c r="G132" s="618">
        <f t="shared" si="16"/>
        <v>-379728.61626617791</v>
      </c>
      <c r="H132" s="618">
        <f t="shared" si="16"/>
        <v>-379728.61626617791</v>
      </c>
      <c r="I132" s="618">
        <f t="shared" si="16"/>
        <v>-379728.61626617791</v>
      </c>
      <c r="J132" s="618">
        <f t="shared" si="16"/>
        <v>-379728.61626617791</v>
      </c>
      <c r="K132" s="618">
        <f t="shared" si="16"/>
        <v>-379728.61626617791</v>
      </c>
      <c r="L132" s="618">
        <f t="shared" si="16"/>
        <v>-379728.61626617791</v>
      </c>
      <c r="M132" s="618">
        <f t="shared" si="16"/>
        <v>-379728.61626617791</v>
      </c>
      <c r="N132" s="618">
        <f t="shared" si="16"/>
        <v>-379728.61626617791</v>
      </c>
      <c r="O132" s="618">
        <f t="shared" si="16"/>
        <v>-379728.61626617791</v>
      </c>
      <c r="P132" s="618">
        <f t="shared" si="16"/>
        <v>-379728.61626617791</v>
      </c>
      <c r="Q132" s="618">
        <f t="shared" si="16"/>
        <v>-379728.61626617791</v>
      </c>
      <c r="R132" s="722">
        <f t="shared" si="16"/>
        <v>-379728.61626617791</v>
      </c>
      <c r="S132" s="618">
        <f t="shared" si="16"/>
        <v>-379728.61626617791</v>
      </c>
      <c r="T132" s="618">
        <f t="shared" si="16"/>
        <v>-379728.61626617791</v>
      </c>
      <c r="U132" s="618">
        <f t="shared" si="16"/>
        <v>-379728.61626617791</v>
      </c>
      <c r="V132" s="618">
        <f t="shared" si="16"/>
        <v>-379728.61626617791</v>
      </c>
      <c r="W132" s="618">
        <f t="shared" si="16"/>
        <v>-379728.61626617791</v>
      </c>
      <c r="X132" s="618">
        <f t="shared" si="16"/>
        <v>-379728.61626617791</v>
      </c>
      <c r="Y132" s="618">
        <f t="shared" si="16"/>
        <v>-379728.61626617791</v>
      </c>
      <c r="Z132" s="618">
        <f t="shared" si="16"/>
        <v>-379728.61626617791</v>
      </c>
      <c r="AA132" s="618">
        <f t="shared" si="16"/>
        <v>-379728.61626617791</v>
      </c>
      <c r="AB132" s="618">
        <f t="shared" si="16"/>
        <v>-379728.61626617791</v>
      </c>
      <c r="AC132" s="618">
        <f t="shared" si="16"/>
        <v>-379728.61626617791</v>
      </c>
      <c r="AD132" s="618">
        <f t="shared" si="16"/>
        <v>0</v>
      </c>
      <c r="AE132" s="618">
        <f t="shared" si="16"/>
        <v>0</v>
      </c>
      <c r="AF132" s="618">
        <f t="shared" si="16"/>
        <v>0</v>
      </c>
      <c r="AG132" s="618">
        <f t="shared" si="16"/>
        <v>0</v>
      </c>
      <c r="AH132" s="618">
        <f t="shared" si="16"/>
        <v>0</v>
      </c>
      <c r="AI132" s="618">
        <f t="shared" si="16"/>
        <v>0</v>
      </c>
      <c r="AJ132" s="618">
        <f t="shared" si="16"/>
        <v>0</v>
      </c>
      <c r="AK132" s="618">
        <f t="shared" si="16"/>
        <v>0</v>
      </c>
      <c r="AL132" s="618">
        <f t="shared" si="16"/>
        <v>0</v>
      </c>
      <c r="AM132" s="619">
        <f t="shared" si="16"/>
        <v>0</v>
      </c>
    </row>
    <row r="133" spans="2:39" ht="12.95">
      <c r="B133" s="620" t="s">
        <v>456</v>
      </c>
      <c r="C133" s="592" t="s">
        <v>331</v>
      </c>
      <c r="D133" s="590">
        <f>SUM(D132:AM132)</f>
        <v>-9872944.0229206253</v>
      </c>
      <c r="R133" s="474"/>
    </row>
    <row r="134" spans="2:39">
      <c r="R134" s="474"/>
    </row>
    <row r="135" spans="2:39" ht="12.95">
      <c r="B135" s="626" t="s">
        <v>457</v>
      </c>
      <c r="C135" s="566" t="s">
        <v>364</v>
      </c>
      <c r="R135" s="474"/>
    </row>
    <row r="136" spans="2:39">
      <c r="B136" s="568" t="str">
        <f>B124</f>
        <v>Avoided electricity cost (grid)</v>
      </c>
      <c r="C136" s="627" t="s">
        <v>417</v>
      </c>
      <c r="D136" s="571">
        <f t="shared" ref="D136:AM136" si="17">D124</f>
        <v>-856240.98836138658</v>
      </c>
      <c r="E136" s="571">
        <f t="shared" si="17"/>
        <v>-856240.98836138658</v>
      </c>
      <c r="F136" s="571">
        <f t="shared" si="17"/>
        <v>-856240.98836138658</v>
      </c>
      <c r="G136" s="571">
        <f t="shared" si="17"/>
        <v>-856240.98836138658</v>
      </c>
      <c r="H136" s="571">
        <f t="shared" si="17"/>
        <v>-856240.98836138658</v>
      </c>
      <c r="I136" s="571">
        <f t="shared" si="17"/>
        <v>-856240.98836138658</v>
      </c>
      <c r="J136" s="571">
        <f t="shared" si="17"/>
        <v>-856240.98836138658</v>
      </c>
      <c r="K136" s="571">
        <f t="shared" si="17"/>
        <v>-856240.98836138658</v>
      </c>
      <c r="L136" s="571">
        <f t="shared" si="17"/>
        <v>-856240.98836138658</v>
      </c>
      <c r="M136" s="571">
        <f t="shared" si="17"/>
        <v>-856240.98836138658</v>
      </c>
      <c r="N136" s="571">
        <f t="shared" si="17"/>
        <v>-856240.98836138658</v>
      </c>
      <c r="O136" s="571">
        <f t="shared" si="17"/>
        <v>-856240.98836138658</v>
      </c>
      <c r="P136" s="571">
        <f t="shared" si="17"/>
        <v>-856240.98836138658</v>
      </c>
      <c r="Q136" s="571">
        <f t="shared" si="17"/>
        <v>-856240.98836138658</v>
      </c>
      <c r="R136" s="715">
        <f t="shared" si="17"/>
        <v>-856240.98836138658</v>
      </c>
      <c r="S136" s="571">
        <f t="shared" si="17"/>
        <v>-856240.98836138658</v>
      </c>
      <c r="T136" s="571">
        <f t="shared" si="17"/>
        <v>-856240.98836138658</v>
      </c>
      <c r="U136" s="571">
        <f t="shared" si="17"/>
        <v>-856240.98836138658</v>
      </c>
      <c r="V136" s="571">
        <f t="shared" si="17"/>
        <v>-856240.98836138658</v>
      </c>
      <c r="W136" s="571">
        <f t="shared" si="17"/>
        <v>-856240.98836138658</v>
      </c>
      <c r="X136" s="571">
        <f t="shared" si="17"/>
        <v>-856240.98836138658</v>
      </c>
      <c r="Y136" s="571">
        <f t="shared" si="17"/>
        <v>-856240.98836138658</v>
      </c>
      <c r="Z136" s="571">
        <f t="shared" si="17"/>
        <v>-856240.98836138658</v>
      </c>
      <c r="AA136" s="571">
        <f t="shared" si="17"/>
        <v>-856240.98836138658</v>
      </c>
      <c r="AB136" s="571">
        <f t="shared" si="17"/>
        <v>-856240.98836138658</v>
      </c>
      <c r="AC136" s="571">
        <f t="shared" si="17"/>
        <v>-856240.98836138658</v>
      </c>
      <c r="AD136" s="571">
        <f t="shared" si="17"/>
        <v>0</v>
      </c>
      <c r="AE136" s="571">
        <f t="shared" si="17"/>
        <v>0</v>
      </c>
      <c r="AF136" s="571">
        <f t="shared" si="17"/>
        <v>0</v>
      </c>
      <c r="AG136" s="571">
        <f t="shared" si="17"/>
        <v>0</v>
      </c>
      <c r="AH136" s="571">
        <f t="shared" si="17"/>
        <v>0</v>
      </c>
      <c r="AI136" s="571">
        <f t="shared" si="17"/>
        <v>0</v>
      </c>
      <c r="AJ136" s="571">
        <f t="shared" si="17"/>
        <v>0</v>
      </c>
      <c r="AK136" s="571">
        <f t="shared" si="17"/>
        <v>0</v>
      </c>
      <c r="AL136" s="571">
        <f t="shared" si="17"/>
        <v>0</v>
      </c>
      <c r="AM136" s="572">
        <f t="shared" si="17"/>
        <v>0</v>
      </c>
    </row>
    <row r="137" spans="2:39">
      <c r="B137" s="577" t="str">
        <f>B130</f>
        <v>Avoided annual social cost of carbon</v>
      </c>
      <c r="C137" s="607" t="s">
        <v>417</v>
      </c>
      <c r="D137" s="541">
        <f t="shared" ref="D137:AM137" si="18">D130</f>
        <v>-358975.35363420064</v>
      </c>
      <c r="E137" s="541">
        <f t="shared" si="18"/>
        <v>-358975.35363420064</v>
      </c>
      <c r="F137" s="541">
        <f t="shared" si="18"/>
        <v>-358975.35363420064</v>
      </c>
      <c r="G137" s="541">
        <f t="shared" si="18"/>
        <v>-358975.35363420064</v>
      </c>
      <c r="H137" s="541">
        <f t="shared" si="18"/>
        <v>-358975.35363420064</v>
      </c>
      <c r="I137" s="541">
        <f t="shared" si="18"/>
        <v>-358975.35363420064</v>
      </c>
      <c r="J137" s="541">
        <f t="shared" si="18"/>
        <v>-358975.35363420064</v>
      </c>
      <c r="K137" s="541">
        <f t="shared" si="18"/>
        <v>-358975.35363420064</v>
      </c>
      <c r="L137" s="541">
        <f t="shared" si="18"/>
        <v>-358975.35363420064</v>
      </c>
      <c r="M137" s="541">
        <f t="shared" si="18"/>
        <v>-358975.35363420064</v>
      </c>
      <c r="N137" s="541">
        <f t="shared" si="18"/>
        <v>-358975.35363420064</v>
      </c>
      <c r="O137" s="541">
        <f t="shared" si="18"/>
        <v>-358975.35363420064</v>
      </c>
      <c r="P137" s="541">
        <f t="shared" si="18"/>
        <v>-358975.35363420064</v>
      </c>
      <c r="Q137" s="541">
        <f t="shared" si="18"/>
        <v>-358975.35363420064</v>
      </c>
      <c r="R137" s="721">
        <f t="shared" si="18"/>
        <v>-358975.35363420064</v>
      </c>
      <c r="S137" s="541">
        <f t="shared" si="18"/>
        <v>-358975.35363420064</v>
      </c>
      <c r="T137" s="541">
        <f t="shared" si="18"/>
        <v>-358975.35363420064</v>
      </c>
      <c r="U137" s="541">
        <f t="shared" si="18"/>
        <v>-358975.35363420064</v>
      </c>
      <c r="V137" s="541">
        <f t="shared" si="18"/>
        <v>-358975.35363420064</v>
      </c>
      <c r="W137" s="541">
        <f t="shared" si="18"/>
        <v>-358975.35363420064</v>
      </c>
      <c r="X137" s="541">
        <f t="shared" si="18"/>
        <v>-358975.35363420064</v>
      </c>
      <c r="Y137" s="541">
        <f t="shared" si="18"/>
        <v>-358975.35363420064</v>
      </c>
      <c r="Z137" s="541">
        <f t="shared" si="18"/>
        <v>-358975.35363420064</v>
      </c>
      <c r="AA137" s="541">
        <f t="shared" si="18"/>
        <v>-358975.35363420064</v>
      </c>
      <c r="AB137" s="541">
        <f t="shared" si="18"/>
        <v>-358975.35363420064</v>
      </c>
      <c r="AC137" s="541">
        <f t="shared" si="18"/>
        <v>-379728.61626617791</v>
      </c>
      <c r="AD137" s="541">
        <f t="shared" si="18"/>
        <v>0</v>
      </c>
      <c r="AE137" s="541">
        <f t="shared" si="18"/>
        <v>0</v>
      </c>
      <c r="AF137" s="541">
        <f t="shared" si="18"/>
        <v>0</v>
      </c>
      <c r="AG137" s="541">
        <f t="shared" si="18"/>
        <v>0</v>
      </c>
      <c r="AH137" s="541">
        <f t="shared" si="18"/>
        <v>0</v>
      </c>
      <c r="AI137" s="541">
        <f t="shared" si="18"/>
        <v>0</v>
      </c>
      <c r="AJ137" s="541">
        <f t="shared" si="18"/>
        <v>0</v>
      </c>
      <c r="AK137" s="541">
        <f t="shared" si="18"/>
        <v>0</v>
      </c>
      <c r="AL137" s="541">
        <f t="shared" si="18"/>
        <v>0</v>
      </c>
      <c r="AM137" s="576">
        <f t="shared" si="18"/>
        <v>0</v>
      </c>
    </row>
    <row r="138" spans="2:39" ht="12.95">
      <c r="B138" s="628" t="s">
        <v>458</v>
      </c>
      <c r="C138" s="602" t="s">
        <v>417</v>
      </c>
      <c r="D138" s="600">
        <f>D136+D137</f>
        <v>-1215216.3419955871</v>
      </c>
      <c r="E138" s="600">
        <f t="shared" ref="E138:AM138" si="19">E136+E137</f>
        <v>-1215216.3419955871</v>
      </c>
      <c r="F138" s="600">
        <f t="shared" si="19"/>
        <v>-1215216.3419955871</v>
      </c>
      <c r="G138" s="600">
        <f t="shared" si="19"/>
        <v>-1215216.3419955871</v>
      </c>
      <c r="H138" s="600">
        <f t="shared" si="19"/>
        <v>-1215216.3419955871</v>
      </c>
      <c r="I138" s="600">
        <f t="shared" si="19"/>
        <v>-1215216.3419955871</v>
      </c>
      <c r="J138" s="600">
        <f t="shared" si="19"/>
        <v>-1215216.3419955871</v>
      </c>
      <c r="K138" s="600">
        <f t="shared" si="19"/>
        <v>-1215216.3419955871</v>
      </c>
      <c r="L138" s="600">
        <f t="shared" si="19"/>
        <v>-1215216.3419955871</v>
      </c>
      <c r="M138" s="600">
        <f t="shared" si="19"/>
        <v>-1215216.3419955871</v>
      </c>
      <c r="N138" s="600">
        <f t="shared" si="19"/>
        <v>-1215216.3419955871</v>
      </c>
      <c r="O138" s="600">
        <f t="shared" si="19"/>
        <v>-1215216.3419955871</v>
      </c>
      <c r="P138" s="600">
        <f t="shared" si="19"/>
        <v>-1215216.3419955871</v>
      </c>
      <c r="Q138" s="600">
        <f t="shared" si="19"/>
        <v>-1215216.3419955871</v>
      </c>
      <c r="R138" s="600">
        <f t="shared" si="19"/>
        <v>-1215216.3419955871</v>
      </c>
      <c r="S138" s="600">
        <f t="shared" si="19"/>
        <v>-1215216.3419955871</v>
      </c>
      <c r="T138" s="600">
        <f t="shared" si="19"/>
        <v>-1215216.3419955871</v>
      </c>
      <c r="U138" s="600">
        <f t="shared" si="19"/>
        <v>-1215216.3419955871</v>
      </c>
      <c r="V138" s="600">
        <f t="shared" si="19"/>
        <v>-1215216.3419955871</v>
      </c>
      <c r="W138" s="600">
        <f t="shared" si="19"/>
        <v>-1215216.3419955871</v>
      </c>
      <c r="X138" s="600">
        <f t="shared" si="19"/>
        <v>-1215216.3419955871</v>
      </c>
      <c r="Y138" s="600">
        <f t="shared" si="19"/>
        <v>-1215216.3419955871</v>
      </c>
      <c r="Z138" s="600">
        <f t="shared" si="19"/>
        <v>-1215216.3419955871</v>
      </c>
      <c r="AA138" s="600">
        <f t="shared" si="19"/>
        <v>-1215216.3419955871</v>
      </c>
      <c r="AB138" s="600">
        <f t="shared" si="19"/>
        <v>-1215216.3419955871</v>
      </c>
      <c r="AC138" s="600">
        <f t="shared" si="19"/>
        <v>-1235969.6046275645</v>
      </c>
      <c r="AD138" s="600">
        <f t="shared" si="19"/>
        <v>0</v>
      </c>
      <c r="AE138" s="600">
        <f t="shared" si="19"/>
        <v>0</v>
      </c>
      <c r="AF138" s="600">
        <f t="shared" si="19"/>
        <v>0</v>
      </c>
      <c r="AG138" s="600">
        <f t="shared" si="19"/>
        <v>0</v>
      </c>
      <c r="AH138" s="600">
        <f t="shared" si="19"/>
        <v>0</v>
      </c>
      <c r="AI138" s="600">
        <f t="shared" si="19"/>
        <v>0</v>
      </c>
      <c r="AJ138" s="600">
        <f t="shared" si="19"/>
        <v>0</v>
      </c>
      <c r="AK138" s="600">
        <f t="shared" si="19"/>
        <v>0</v>
      </c>
      <c r="AL138" s="600">
        <f t="shared" si="19"/>
        <v>0</v>
      </c>
      <c r="AM138" s="601">
        <f t="shared" si="19"/>
        <v>0</v>
      </c>
    </row>
    <row r="139" spans="2:39">
      <c r="B139" s="629" t="s">
        <v>424</v>
      </c>
      <c r="C139" s="627" t="s">
        <v>417</v>
      </c>
      <c r="D139" s="571">
        <f t="shared" ref="D139:M139" si="20">D96</f>
        <v>10616514.983335815</v>
      </c>
      <c r="E139" s="571">
        <f t="shared" si="20"/>
        <v>0</v>
      </c>
      <c r="F139" s="571">
        <f t="shared" si="20"/>
        <v>0</v>
      </c>
      <c r="G139" s="571">
        <f t="shared" si="20"/>
        <v>0</v>
      </c>
      <c r="H139" s="571">
        <f t="shared" si="20"/>
        <v>0</v>
      </c>
      <c r="I139" s="571">
        <f t="shared" si="20"/>
        <v>0</v>
      </c>
      <c r="J139" s="571">
        <f t="shared" si="20"/>
        <v>0</v>
      </c>
      <c r="K139" s="571">
        <f t="shared" si="20"/>
        <v>0</v>
      </c>
      <c r="L139" s="571">
        <f t="shared" si="20"/>
        <v>0</v>
      </c>
      <c r="M139" s="572">
        <f t="shared" si="20"/>
        <v>0</v>
      </c>
      <c r="N139" s="352"/>
      <c r="R139" s="474"/>
    </row>
    <row r="140" spans="2:39">
      <c r="B140" s="630" t="s">
        <v>459</v>
      </c>
      <c r="C140" s="627" t="s">
        <v>417</v>
      </c>
      <c r="D140" s="571">
        <f t="shared" ref="D140:AM140" si="21">D83+D84</f>
        <v>162841.64227357897</v>
      </c>
      <c r="E140" s="571">
        <f t="shared" si="21"/>
        <v>162841.64227357897</v>
      </c>
      <c r="F140" s="571">
        <f t="shared" si="21"/>
        <v>162841.64227357897</v>
      </c>
      <c r="G140" s="571">
        <f t="shared" si="21"/>
        <v>162841.64227357897</v>
      </c>
      <c r="H140" s="571">
        <f t="shared" si="21"/>
        <v>162841.64227357897</v>
      </c>
      <c r="I140" s="571">
        <f t="shared" si="21"/>
        <v>162841.64227357897</v>
      </c>
      <c r="J140" s="571">
        <f t="shared" si="21"/>
        <v>162841.64227357897</v>
      </c>
      <c r="K140" s="571">
        <f t="shared" si="21"/>
        <v>162841.64227357897</v>
      </c>
      <c r="L140" s="571">
        <f t="shared" si="21"/>
        <v>162841.64227357897</v>
      </c>
      <c r="M140" s="571">
        <f t="shared" si="21"/>
        <v>162841.64227357897</v>
      </c>
      <c r="N140" s="571">
        <f t="shared" si="21"/>
        <v>162841.64227357897</v>
      </c>
      <c r="O140" s="571">
        <f t="shared" si="21"/>
        <v>162841.64227357897</v>
      </c>
      <c r="P140" s="571">
        <f t="shared" si="21"/>
        <v>162841.64227357897</v>
      </c>
      <c r="Q140" s="571">
        <f t="shared" si="21"/>
        <v>162841.64227357897</v>
      </c>
      <c r="R140" s="715">
        <f t="shared" si="21"/>
        <v>162841.64227357897</v>
      </c>
      <c r="S140" s="571">
        <f t="shared" si="21"/>
        <v>162841.64227357897</v>
      </c>
      <c r="T140" s="571">
        <f t="shared" si="21"/>
        <v>162841.64227357897</v>
      </c>
      <c r="U140" s="571">
        <f t="shared" si="21"/>
        <v>162841.64227357897</v>
      </c>
      <c r="V140" s="571">
        <f t="shared" si="21"/>
        <v>162841.64227357897</v>
      </c>
      <c r="W140" s="571">
        <f t="shared" si="21"/>
        <v>162841.64227357897</v>
      </c>
      <c r="X140" s="571">
        <f t="shared" si="21"/>
        <v>162841.64227357897</v>
      </c>
      <c r="Y140" s="571">
        <f t="shared" si="21"/>
        <v>162841.64227357897</v>
      </c>
      <c r="Z140" s="571">
        <f t="shared" si="21"/>
        <v>162841.64227357897</v>
      </c>
      <c r="AA140" s="571">
        <f t="shared" si="21"/>
        <v>162841.64227357897</v>
      </c>
      <c r="AB140" s="571">
        <f t="shared" si="21"/>
        <v>162841.64227357897</v>
      </c>
      <c r="AC140" s="571">
        <f t="shared" si="21"/>
        <v>1642768.8673553236</v>
      </c>
      <c r="AD140" s="571">
        <f t="shared" si="21"/>
        <v>0</v>
      </c>
      <c r="AE140" s="571">
        <f t="shared" si="21"/>
        <v>0</v>
      </c>
      <c r="AF140" s="571">
        <f t="shared" si="21"/>
        <v>0</v>
      </c>
      <c r="AG140" s="571">
        <f t="shared" si="21"/>
        <v>0</v>
      </c>
      <c r="AH140" s="571">
        <f t="shared" si="21"/>
        <v>0</v>
      </c>
      <c r="AI140" s="571">
        <f t="shared" si="21"/>
        <v>0</v>
      </c>
      <c r="AJ140" s="571">
        <f t="shared" si="21"/>
        <v>0</v>
      </c>
      <c r="AK140" s="571">
        <f t="shared" si="21"/>
        <v>0</v>
      </c>
      <c r="AL140" s="571">
        <f t="shared" si="21"/>
        <v>0</v>
      </c>
      <c r="AM140" s="572">
        <f t="shared" si="21"/>
        <v>0</v>
      </c>
    </row>
    <row r="141" spans="2:39">
      <c r="B141" s="631" t="s">
        <v>460</v>
      </c>
      <c r="C141" s="632" t="s">
        <v>417</v>
      </c>
      <c r="D141" s="541">
        <f t="shared" ref="D141:AM141" si="22">D85</f>
        <v>0</v>
      </c>
      <c r="E141" s="541">
        <f t="shared" si="22"/>
        <v>0</v>
      </c>
      <c r="F141" s="541">
        <f t="shared" si="22"/>
        <v>0</v>
      </c>
      <c r="G141" s="541">
        <f t="shared" si="22"/>
        <v>0</v>
      </c>
      <c r="H141" s="541">
        <f t="shared" si="22"/>
        <v>0</v>
      </c>
      <c r="I141" s="541">
        <f t="shared" si="22"/>
        <v>0</v>
      </c>
      <c r="J141" s="541">
        <f t="shared" si="22"/>
        <v>0</v>
      </c>
      <c r="K141" s="541">
        <f t="shared" si="22"/>
        <v>0</v>
      </c>
      <c r="L141" s="541">
        <f t="shared" si="22"/>
        <v>0</v>
      </c>
      <c r="M141" s="541">
        <f t="shared" si="22"/>
        <v>0</v>
      </c>
      <c r="N141" s="541">
        <f t="shared" si="22"/>
        <v>0</v>
      </c>
      <c r="O141" s="541">
        <f t="shared" si="22"/>
        <v>0</v>
      </c>
      <c r="P141" s="541">
        <f t="shared" si="22"/>
        <v>0</v>
      </c>
      <c r="Q141" s="541">
        <f t="shared" si="22"/>
        <v>0</v>
      </c>
      <c r="R141" s="721">
        <f t="shared" si="22"/>
        <v>0</v>
      </c>
      <c r="S141" s="541">
        <f t="shared" si="22"/>
        <v>0</v>
      </c>
      <c r="T141" s="541">
        <f t="shared" si="22"/>
        <v>0</v>
      </c>
      <c r="U141" s="541">
        <f t="shared" si="22"/>
        <v>0</v>
      </c>
      <c r="V141" s="541">
        <f t="shared" si="22"/>
        <v>0</v>
      </c>
      <c r="W141" s="541">
        <f t="shared" si="22"/>
        <v>0</v>
      </c>
      <c r="X141" s="541">
        <f t="shared" si="22"/>
        <v>0</v>
      </c>
      <c r="Y141" s="541">
        <f t="shared" si="22"/>
        <v>0</v>
      </c>
      <c r="Z141" s="541">
        <f t="shared" si="22"/>
        <v>0</v>
      </c>
      <c r="AA141" s="541">
        <f t="shared" si="22"/>
        <v>0</v>
      </c>
      <c r="AB141" s="541">
        <f t="shared" si="22"/>
        <v>0</v>
      </c>
      <c r="AC141" s="541">
        <f t="shared" si="22"/>
        <v>0</v>
      </c>
      <c r="AD141" s="541">
        <f t="shared" si="22"/>
        <v>0</v>
      </c>
      <c r="AE141" s="541">
        <f t="shared" si="22"/>
        <v>0</v>
      </c>
      <c r="AF141" s="541">
        <f t="shared" si="22"/>
        <v>0</v>
      </c>
      <c r="AG141" s="541">
        <f t="shared" si="22"/>
        <v>0</v>
      </c>
      <c r="AH141" s="541">
        <f t="shared" si="22"/>
        <v>0</v>
      </c>
      <c r="AI141" s="541">
        <f t="shared" si="22"/>
        <v>0</v>
      </c>
      <c r="AJ141" s="541">
        <f t="shared" si="22"/>
        <v>0</v>
      </c>
      <c r="AK141" s="541">
        <f t="shared" si="22"/>
        <v>0</v>
      </c>
      <c r="AL141" s="541">
        <f t="shared" si="22"/>
        <v>0</v>
      </c>
      <c r="AM141" s="576">
        <f t="shared" si="22"/>
        <v>0</v>
      </c>
    </row>
    <row r="142" spans="2:39">
      <c r="B142" s="631" t="s">
        <v>428</v>
      </c>
      <c r="C142" s="632" t="s">
        <v>417</v>
      </c>
      <c r="D142" s="541">
        <f t="shared" ref="D142:AM143" si="23">D99</f>
        <v>0</v>
      </c>
      <c r="E142" s="541">
        <f t="shared" si="23"/>
        <v>0</v>
      </c>
      <c r="F142" s="541">
        <f t="shared" si="23"/>
        <v>0</v>
      </c>
      <c r="G142" s="541">
        <f t="shared" si="23"/>
        <v>0</v>
      </c>
      <c r="H142" s="541">
        <f t="shared" si="23"/>
        <v>0</v>
      </c>
      <c r="I142" s="541">
        <f t="shared" si="23"/>
        <v>0</v>
      </c>
      <c r="J142" s="541">
        <f t="shared" si="23"/>
        <v>0</v>
      </c>
      <c r="K142" s="541">
        <f t="shared" si="23"/>
        <v>0</v>
      </c>
      <c r="L142" s="541">
        <f t="shared" si="23"/>
        <v>0</v>
      </c>
      <c r="M142" s="541">
        <f t="shared" si="23"/>
        <v>0</v>
      </c>
      <c r="N142" s="541">
        <f t="shared" si="23"/>
        <v>0</v>
      </c>
      <c r="O142" s="541">
        <f t="shared" si="23"/>
        <v>0</v>
      </c>
      <c r="P142" s="541">
        <f t="shared" si="23"/>
        <v>0</v>
      </c>
      <c r="Q142" s="541">
        <f t="shared" si="23"/>
        <v>0</v>
      </c>
      <c r="R142" s="721">
        <f t="shared" si="23"/>
        <v>0</v>
      </c>
      <c r="S142" s="541">
        <f t="shared" si="23"/>
        <v>0</v>
      </c>
      <c r="T142" s="541">
        <f t="shared" si="23"/>
        <v>0</v>
      </c>
      <c r="U142" s="541">
        <f t="shared" si="23"/>
        <v>0</v>
      </c>
      <c r="V142" s="541">
        <f t="shared" si="23"/>
        <v>0</v>
      </c>
      <c r="W142" s="541">
        <f t="shared" si="23"/>
        <v>0</v>
      </c>
      <c r="X142" s="541">
        <f t="shared" si="23"/>
        <v>0</v>
      </c>
      <c r="Y142" s="541">
        <f t="shared" si="23"/>
        <v>0</v>
      </c>
      <c r="Z142" s="541">
        <f t="shared" si="23"/>
        <v>0</v>
      </c>
      <c r="AA142" s="541">
        <f t="shared" si="23"/>
        <v>0</v>
      </c>
      <c r="AB142" s="541">
        <f t="shared" si="23"/>
        <v>0</v>
      </c>
      <c r="AC142" s="541">
        <f t="shared" si="23"/>
        <v>0</v>
      </c>
      <c r="AD142" s="541">
        <f t="shared" si="23"/>
        <v>0</v>
      </c>
      <c r="AE142" s="541">
        <f t="shared" si="23"/>
        <v>0</v>
      </c>
      <c r="AF142" s="541">
        <f t="shared" si="23"/>
        <v>0</v>
      </c>
      <c r="AG142" s="541">
        <f t="shared" si="23"/>
        <v>0</v>
      </c>
      <c r="AH142" s="541">
        <f t="shared" si="23"/>
        <v>0</v>
      </c>
      <c r="AI142" s="541">
        <f t="shared" si="23"/>
        <v>0</v>
      </c>
      <c r="AJ142" s="541">
        <f t="shared" si="23"/>
        <v>0</v>
      </c>
      <c r="AK142" s="541">
        <f t="shared" si="23"/>
        <v>0</v>
      </c>
      <c r="AL142" s="541">
        <f t="shared" si="23"/>
        <v>0</v>
      </c>
      <c r="AM142" s="576">
        <f t="shared" si="23"/>
        <v>0</v>
      </c>
    </row>
    <row r="143" spans="2:39">
      <c r="B143" s="633" t="s">
        <v>429</v>
      </c>
      <c r="C143" s="607" t="s">
        <v>417</v>
      </c>
      <c r="D143" s="580">
        <f t="shared" si="23"/>
        <v>0</v>
      </c>
      <c r="E143" s="580">
        <f t="shared" si="23"/>
        <v>424660.59933343262</v>
      </c>
      <c r="F143" s="580">
        <f t="shared" si="23"/>
        <v>424660.59933343262</v>
      </c>
      <c r="G143" s="580">
        <f t="shared" si="23"/>
        <v>424660.59933343262</v>
      </c>
      <c r="H143" s="580">
        <f t="shared" si="23"/>
        <v>424660.59933343262</v>
      </c>
      <c r="I143" s="580">
        <f t="shared" si="23"/>
        <v>424660.59933343262</v>
      </c>
      <c r="J143" s="580">
        <f t="shared" si="23"/>
        <v>424660.59933343262</v>
      </c>
      <c r="K143" s="580">
        <f t="shared" si="23"/>
        <v>424660.59933343262</v>
      </c>
      <c r="L143" s="580">
        <f t="shared" si="23"/>
        <v>424660.59933343262</v>
      </c>
      <c r="M143" s="580">
        <f t="shared" si="23"/>
        <v>424660.59933343262</v>
      </c>
      <c r="N143" s="580">
        <f t="shared" si="23"/>
        <v>424660.59933343262</v>
      </c>
      <c r="O143" s="580">
        <f t="shared" si="23"/>
        <v>424660.59933343262</v>
      </c>
      <c r="P143" s="580">
        <f t="shared" si="23"/>
        <v>424660.59933343262</v>
      </c>
      <c r="Q143" s="580">
        <f t="shared" si="23"/>
        <v>424660.59933343262</v>
      </c>
      <c r="R143" s="716">
        <f t="shared" si="23"/>
        <v>424660.59933343262</v>
      </c>
      <c r="S143" s="580">
        <f t="shared" si="23"/>
        <v>424660.59933343262</v>
      </c>
      <c r="T143" s="580">
        <f t="shared" si="23"/>
        <v>424660.59933343262</v>
      </c>
      <c r="U143" s="580">
        <f t="shared" si="23"/>
        <v>424660.59933343262</v>
      </c>
      <c r="V143" s="580">
        <f t="shared" si="23"/>
        <v>424660.59933343262</v>
      </c>
      <c r="W143" s="580">
        <f t="shared" si="23"/>
        <v>424660.59933343262</v>
      </c>
      <c r="X143" s="580">
        <f t="shared" si="23"/>
        <v>424660.59933343262</v>
      </c>
      <c r="Y143" s="580">
        <f t="shared" si="23"/>
        <v>424660.59933343262</v>
      </c>
      <c r="Z143" s="580">
        <f t="shared" si="23"/>
        <v>424660.59933343262</v>
      </c>
      <c r="AA143" s="580">
        <f t="shared" si="23"/>
        <v>424660.59933343262</v>
      </c>
      <c r="AB143" s="580">
        <f t="shared" si="23"/>
        <v>424660.59933343262</v>
      </c>
      <c r="AC143" s="580">
        <f t="shared" si="23"/>
        <v>424660.59933343262</v>
      </c>
      <c r="AD143" s="580">
        <f t="shared" si="23"/>
        <v>0</v>
      </c>
      <c r="AE143" s="580">
        <f t="shared" si="23"/>
        <v>0</v>
      </c>
      <c r="AF143" s="580">
        <f t="shared" si="23"/>
        <v>0</v>
      </c>
      <c r="AG143" s="580">
        <f t="shared" si="23"/>
        <v>0</v>
      </c>
      <c r="AH143" s="580">
        <f t="shared" si="23"/>
        <v>0</v>
      </c>
      <c r="AI143" s="580">
        <f t="shared" si="23"/>
        <v>0</v>
      </c>
      <c r="AJ143" s="580">
        <f t="shared" si="23"/>
        <v>0</v>
      </c>
      <c r="AK143" s="580">
        <f t="shared" si="23"/>
        <v>0</v>
      </c>
      <c r="AL143" s="580">
        <f t="shared" si="23"/>
        <v>0</v>
      </c>
      <c r="AM143" s="581">
        <f t="shared" si="23"/>
        <v>0</v>
      </c>
    </row>
    <row r="144" spans="2:39" ht="12.95">
      <c r="B144" s="634" t="s">
        <v>461</v>
      </c>
      <c r="C144" s="635" t="s">
        <v>417</v>
      </c>
      <c r="D144" s="585">
        <f>SUM(D139:D143)</f>
        <v>10779356.625609394</v>
      </c>
      <c r="E144" s="585">
        <f t="shared" ref="E144:AM144" si="24">SUM(E139:E143)</f>
        <v>587502.24160701153</v>
      </c>
      <c r="F144" s="585">
        <f t="shared" si="24"/>
        <v>587502.24160701153</v>
      </c>
      <c r="G144" s="585">
        <f t="shared" si="24"/>
        <v>587502.24160701153</v>
      </c>
      <c r="H144" s="585">
        <f t="shared" si="24"/>
        <v>587502.24160701153</v>
      </c>
      <c r="I144" s="585">
        <f t="shared" si="24"/>
        <v>587502.24160701153</v>
      </c>
      <c r="J144" s="585">
        <f t="shared" si="24"/>
        <v>587502.24160701153</v>
      </c>
      <c r="K144" s="585">
        <f t="shared" si="24"/>
        <v>587502.24160701153</v>
      </c>
      <c r="L144" s="585">
        <f t="shared" si="24"/>
        <v>587502.24160701153</v>
      </c>
      <c r="M144" s="585">
        <f t="shared" si="24"/>
        <v>587502.24160701153</v>
      </c>
      <c r="N144" s="585">
        <f t="shared" si="24"/>
        <v>587502.24160701153</v>
      </c>
      <c r="O144" s="585">
        <f t="shared" si="24"/>
        <v>587502.24160701153</v>
      </c>
      <c r="P144" s="585">
        <f t="shared" si="24"/>
        <v>587502.24160701153</v>
      </c>
      <c r="Q144" s="585">
        <f t="shared" si="24"/>
        <v>587502.24160701153</v>
      </c>
      <c r="R144" s="585">
        <f t="shared" si="24"/>
        <v>587502.24160701153</v>
      </c>
      <c r="S144" s="585">
        <f t="shared" si="24"/>
        <v>587502.24160701153</v>
      </c>
      <c r="T144" s="585">
        <f t="shared" si="24"/>
        <v>587502.24160701153</v>
      </c>
      <c r="U144" s="585">
        <f t="shared" si="24"/>
        <v>587502.24160701153</v>
      </c>
      <c r="V144" s="585">
        <f t="shared" si="24"/>
        <v>587502.24160701153</v>
      </c>
      <c r="W144" s="585">
        <f t="shared" si="24"/>
        <v>587502.24160701153</v>
      </c>
      <c r="X144" s="585">
        <f t="shared" si="24"/>
        <v>587502.24160701153</v>
      </c>
      <c r="Y144" s="585">
        <f t="shared" si="24"/>
        <v>587502.24160701153</v>
      </c>
      <c r="Z144" s="585">
        <f t="shared" si="24"/>
        <v>587502.24160701153</v>
      </c>
      <c r="AA144" s="585">
        <f t="shared" si="24"/>
        <v>587502.24160701153</v>
      </c>
      <c r="AB144" s="585">
        <f t="shared" si="24"/>
        <v>587502.24160701153</v>
      </c>
      <c r="AC144" s="585">
        <f t="shared" si="24"/>
        <v>2067429.4666887564</v>
      </c>
      <c r="AD144" s="585">
        <f t="shared" si="24"/>
        <v>0</v>
      </c>
      <c r="AE144" s="585">
        <f t="shared" si="24"/>
        <v>0</v>
      </c>
      <c r="AF144" s="585">
        <f t="shared" si="24"/>
        <v>0</v>
      </c>
      <c r="AG144" s="585">
        <f t="shared" si="24"/>
        <v>0</v>
      </c>
      <c r="AH144" s="585">
        <f t="shared" si="24"/>
        <v>0</v>
      </c>
      <c r="AI144" s="585">
        <f t="shared" si="24"/>
        <v>0</v>
      </c>
      <c r="AJ144" s="585">
        <f t="shared" si="24"/>
        <v>0</v>
      </c>
      <c r="AK144" s="585">
        <f t="shared" si="24"/>
        <v>0</v>
      </c>
      <c r="AL144" s="585">
        <f t="shared" si="24"/>
        <v>0</v>
      </c>
      <c r="AM144" s="585">
        <f t="shared" si="24"/>
        <v>0</v>
      </c>
    </row>
    <row r="145" spans="1:39" ht="12.95">
      <c r="B145" s="636" t="s">
        <v>462</v>
      </c>
      <c r="C145" s="635" t="s">
        <v>417</v>
      </c>
      <c r="D145" s="599">
        <f>D138-D144</f>
        <v>-11994572.967604982</v>
      </c>
      <c r="E145" s="600">
        <f t="shared" ref="E145:AM145" si="25">E138-E140-E141</f>
        <v>-1378057.9842691661</v>
      </c>
      <c r="F145" s="600">
        <f t="shared" si="25"/>
        <v>-1378057.9842691661</v>
      </c>
      <c r="G145" s="600">
        <f t="shared" si="25"/>
        <v>-1378057.9842691661</v>
      </c>
      <c r="H145" s="600">
        <f t="shared" si="25"/>
        <v>-1378057.9842691661</v>
      </c>
      <c r="I145" s="600">
        <f t="shared" si="25"/>
        <v>-1378057.9842691661</v>
      </c>
      <c r="J145" s="600">
        <f t="shared" si="25"/>
        <v>-1378057.9842691661</v>
      </c>
      <c r="K145" s="600">
        <f t="shared" si="25"/>
        <v>-1378057.9842691661</v>
      </c>
      <c r="L145" s="600">
        <f t="shared" si="25"/>
        <v>-1378057.9842691661</v>
      </c>
      <c r="M145" s="600">
        <f t="shared" si="25"/>
        <v>-1378057.9842691661</v>
      </c>
      <c r="N145" s="600">
        <f t="shared" si="25"/>
        <v>-1378057.9842691661</v>
      </c>
      <c r="O145" s="600">
        <f t="shared" si="25"/>
        <v>-1378057.9842691661</v>
      </c>
      <c r="P145" s="600">
        <f t="shared" si="25"/>
        <v>-1378057.9842691661</v>
      </c>
      <c r="Q145" s="600">
        <f t="shared" si="25"/>
        <v>-1378057.9842691661</v>
      </c>
      <c r="R145" s="600">
        <f t="shared" si="25"/>
        <v>-1378057.9842691661</v>
      </c>
      <c r="S145" s="600">
        <f t="shared" si="25"/>
        <v>-1378057.9842691661</v>
      </c>
      <c r="T145" s="600">
        <f t="shared" si="25"/>
        <v>-1378057.9842691661</v>
      </c>
      <c r="U145" s="600">
        <f t="shared" si="25"/>
        <v>-1378057.9842691661</v>
      </c>
      <c r="V145" s="600">
        <f t="shared" si="25"/>
        <v>-1378057.9842691661</v>
      </c>
      <c r="W145" s="600">
        <f t="shared" si="25"/>
        <v>-1378057.9842691661</v>
      </c>
      <c r="X145" s="600">
        <f t="shared" si="25"/>
        <v>-1378057.9842691661</v>
      </c>
      <c r="Y145" s="600">
        <f t="shared" si="25"/>
        <v>-1378057.9842691661</v>
      </c>
      <c r="Z145" s="600">
        <f t="shared" si="25"/>
        <v>-1378057.9842691661</v>
      </c>
      <c r="AA145" s="600">
        <f t="shared" si="25"/>
        <v>-1378057.9842691661</v>
      </c>
      <c r="AB145" s="600">
        <f t="shared" si="25"/>
        <v>-1378057.9842691661</v>
      </c>
      <c r="AC145" s="600">
        <f t="shared" si="25"/>
        <v>-2878738.4719828879</v>
      </c>
      <c r="AD145" s="600">
        <f t="shared" si="25"/>
        <v>0</v>
      </c>
      <c r="AE145" s="600">
        <f t="shared" si="25"/>
        <v>0</v>
      </c>
      <c r="AF145" s="600">
        <f t="shared" si="25"/>
        <v>0</v>
      </c>
      <c r="AG145" s="600">
        <f t="shared" si="25"/>
        <v>0</v>
      </c>
      <c r="AH145" s="600">
        <f t="shared" si="25"/>
        <v>0</v>
      </c>
      <c r="AI145" s="600">
        <f t="shared" si="25"/>
        <v>0</v>
      </c>
      <c r="AJ145" s="600">
        <f t="shared" si="25"/>
        <v>0</v>
      </c>
      <c r="AK145" s="600">
        <f t="shared" si="25"/>
        <v>0</v>
      </c>
      <c r="AL145" s="600">
        <f t="shared" si="25"/>
        <v>0</v>
      </c>
      <c r="AM145" s="601">
        <f t="shared" si="25"/>
        <v>0</v>
      </c>
    </row>
    <row r="146" spans="1:39">
      <c r="R146" s="474"/>
    </row>
    <row r="147" spans="1:39">
      <c r="R147" s="474"/>
    </row>
    <row r="148" spans="1:39" ht="12.95">
      <c r="B148" s="626" t="s">
        <v>463</v>
      </c>
      <c r="C148" s="566" t="s">
        <v>364</v>
      </c>
      <c r="R148" s="474"/>
    </row>
    <row r="149" spans="1:39">
      <c r="B149" s="561" t="s">
        <v>464</v>
      </c>
      <c r="C149" s="545" t="s">
        <v>417</v>
      </c>
      <c r="D149" s="617">
        <f t="shared" ref="D149:AM149" si="26">D78*$D$16</f>
        <v>1447481.264654035</v>
      </c>
      <c r="E149" s="618">
        <f t="shared" si="26"/>
        <v>1447481.264654035</v>
      </c>
      <c r="F149" s="618">
        <f t="shared" si="26"/>
        <v>1447481.264654035</v>
      </c>
      <c r="G149" s="618">
        <f t="shared" si="26"/>
        <v>1447481.264654035</v>
      </c>
      <c r="H149" s="618">
        <f t="shared" si="26"/>
        <v>1447481.264654035</v>
      </c>
      <c r="I149" s="618">
        <f t="shared" si="26"/>
        <v>1447481.264654035</v>
      </c>
      <c r="J149" s="618">
        <f t="shared" si="26"/>
        <v>1447481.264654035</v>
      </c>
      <c r="K149" s="618">
        <f t="shared" si="26"/>
        <v>1447481.264654035</v>
      </c>
      <c r="L149" s="618">
        <f t="shared" si="26"/>
        <v>1447481.264654035</v>
      </c>
      <c r="M149" s="618">
        <f t="shared" si="26"/>
        <v>1447481.264654035</v>
      </c>
      <c r="N149" s="618">
        <f t="shared" si="26"/>
        <v>1447481.264654035</v>
      </c>
      <c r="O149" s="618">
        <f t="shared" si="26"/>
        <v>1447481.264654035</v>
      </c>
      <c r="P149" s="618">
        <f t="shared" si="26"/>
        <v>1447481.264654035</v>
      </c>
      <c r="Q149" s="618">
        <f t="shared" si="26"/>
        <v>1447481.264654035</v>
      </c>
      <c r="R149" s="722">
        <f t="shared" si="26"/>
        <v>1447481.264654035</v>
      </c>
      <c r="S149" s="618">
        <f t="shared" si="26"/>
        <v>1447481.264654035</v>
      </c>
      <c r="T149" s="618">
        <f t="shared" si="26"/>
        <v>1447481.264654035</v>
      </c>
      <c r="U149" s="618">
        <f t="shared" si="26"/>
        <v>1447481.264654035</v>
      </c>
      <c r="V149" s="618">
        <f t="shared" si="26"/>
        <v>1447481.264654035</v>
      </c>
      <c r="W149" s="618">
        <f t="shared" si="26"/>
        <v>1447481.264654035</v>
      </c>
      <c r="X149" s="618">
        <f t="shared" si="26"/>
        <v>1447481.264654035</v>
      </c>
      <c r="Y149" s="618">
        <f t="shared" si="26"/>
        <v>1447481.264654035</v>
      </c>
      <c r="Z149" s="618">
        <f t="shared" si="26"/>
        <v>1447481.264654035</v>
      </c>
      <c r="AA149" s="618">
        <f t="shared" si="26"/>
        <v>1447481.264654035</v>
      </c>
      <c r="AB149" s="618">
        <f t="shared" si="26"/>
        <v>1447481.264654035</v>
      </c>
      <c r="AC149" s="618">
        <f t="shared" si="26"/>
        <v>1447481.264654035</v>
      </c>
      <c r="AD149" s="618">
        <f t="shared" si="26"/>
        <v>0</v>
      </c>
      <c r="AE149" s="618">
        <f t="shared" si="26"/>
        <v>0</v>
      </c>
      <c r="AF149" s="618">
        <f t="shared" si="26"/>
        <v>0</v>
      </c>
      <c r="AG149" s="618">
        <f t="shared" si="26"/>
        <v>0</v>
      </c>
      <c r="AH149" s="618">
        <f t="shared" si="26"/>
        <v>0</v>
      </c>
      <c r="AI149" s="618">
        <f t="shared" si="26"/>
        <v>0</v>
      </c>
      <c r="AJ149" s="618">
        <f t="shared" si="26"/>
        <v>0</v>
      </c>
      <c r="AK149" s="618">
        <f t="shared" si="26"/>
        <v>0</v>
      </c>
      <c r="AL149" s="618">
        <f t="shared" si="26"/>
        <v>0</v>
      </c>
      <c r="AM149" s="619">
        <f t="shared" si="26"/>
        <v>0</v>
      </c>
    </row>
    <row r="150" spans="1:39">
      <c r="B150" s="561" t="s">
        <v>465</v>
      </c>
      <c r="C150" s="545" t="s">
        <v>417</v>
      </c>
      <c r="D150" s="617">
        <f>SUM(D139:D143)</f>
        <v>10779356.625609394</v>
      </c>
      <c r="E150" s="618">
        <f t="shared" ref="E150:AM150" si="27">SUM(E139:E143)</f>
        <v>587502.24160701153</v>
      </c>
      <c r="F150" s="618">
        <f t="shared" si="27"/>
        <v>587502.24160701153</v>
      </c>
      <c r="G150" s="618">
        <f t="shared" si="27"/>
        <v>587502.24160701153</v>
      </c>
      <c r="H150" s="618">
        <f t="shared" si="27"/>
        <v>587502.24160701153</v>
      </c>
      <c r="I150" s="618">
        <f t="shared" si="27"/>
        <v>587502.24160701153</v>
      </c>
      <c r="J150" s="618">
        <f t="shared" si="27"/>
        <v>587502.24160701153</v>
      </c>
      <c r="K150" s="618">
        <f t="shared" si="27"/>
        <v>587502.24160701153</v>
      </c>
      <c r="L150" s="618">
        <f t="shared" si="27"/>
        <v>587502.24160701153</v>
      </c>
      <c r="M150" s="618">
        <f t="shared" si="27"/>
        <v>587502.24160701153</v>
      </c>
      <c r="N150" s="618">
        <f t="shared" si="27"/>
        <v>587502.24160701153</v>
      </c>
      <c r="O150" s="618">
        <f t="shared" si="27"/>
        <v>587502.24160701153</v>
      </c>
      <c r="P150" s="618">
        <f t="shared" si="27"/>
        <v>587502.24160701153</v>
      </c>
      <c r="Q150" s="618">
        <f t="shared" si="27"/>
        <v>587502.24160701153</v>
      </c>
      <c r="R150" s="722">
        <f t="shared" si="27"/>
        <v>587502.24160701153</v>
      </c>
      <c r="S150" s="618">
        <f t="shared" si="27"/>
        <v>587502.24160701153</v>
      </c>
      <c r="T150" s="618">
        <f t="shared" si="27"/>
        <v>587502.24160701153</v>
      </c>
      <c r="U150" s="618">
        <f t="shared" si="27"/>
        <v>587502.24160701153</v>
      </c>
      <c r="V150" s="618">
        <f t="shared" si="27"/>
        <v>587502.24160701153</v>
      </c>
      <c r="W150" s="618">
        <f t="shared" si="27"/>
        <v>587502.24160701153</v>
      </c>
      <c r="X150" s="618">
        <f t="shared" si="27"/>
        <v>587502.24160701153</v>
      </c>
      <c r="Y150" s="618">
        <f t="shared" si="27"/>
        <v>587502.24160701153</v>
      </c>
      <c r="Z150" s="618">
        <f t="shared" si="27"/>
        <v>587502.24160701153</v>
      </c>
      <c r="AA150" s="618">
        <f t="shared" si="27"/>
        <v>587502.24160701153</v>
      </c>
      <c r="AB150" s="618">
        <f t="shared" si="27"/>
        <v>587502.24160701153</v>
      </c>
      <c r="AC150" s="618">
        <f t="shared" si="27"/>
        <v>2067429.4666887564</v>
      </c>
      <c r="AD150" s="618">
        <f t="shared" si="27"/>
        <v>0</v>
      </c>
      <c r="AE150" s="618">
        <f t="shared" si="27"/>
        <v>0</v>
      </c>
      <c r="AF150" s="618">
        <f t="shared" si="27"/>
        <v>0</v>
      </c>
      <c r="AG150" s="618">
        <f t="shared" si="27"/>
        <v>0</v>
      </c>
      <c r="AH150" s="618">
        <f t="shared" si="27"/>
        <v>0</v>
      </c>
      <c r="AI150" s="618">
        <f t="shared" si="27"/>
        <v>0</v>
      </c>
      <c r="AJ150" s="618">
        <f t="shared" si="27"/>
        <v>0</v>
      </c>
      <c r="AK150" s="618">
        <f t="shared" si="27"/>
        <v>0</v>
      </c>
      <c r="AL150" s="618">
        <f t="shared" si="27"/>
        <v>0</v>
      </c>
      <c r="AM150" s="619">
        <f t="shared" si="27"/>
        <v>0</v>
      </c>
    </row>
    <row r="151" spans="1:39" ht="12.95">
      <c r="B151" s="636" t="s">
        <v>466</v>
      </c>
      <c r="C151" s="635" t="s">
        <v>417</v>
      </c>
      <c r="D151" s="584">
        <f>D149-D150</f>
        <v>-9331875.3609553594</v>
      </c>
      <c r="E151" s="585">
        <f t="shared" ref="E151:AM151" si="28">E149-E150</f>
        <v>859979.02304702345</v>
      </c>
      <c r="F151" s="585">
        <f t="shared" si="28"/>
        <v>859979.02304702345</v>
      </c>
      <c r="G151" s="585">
        <f t="shared" si="28"/>
        <v>859979.02304702345</v>
      </c>
      <c r="H151" s="585">
        <f t="shared" si="28"/>
        <v>859979.02304702345</v>
      </c>
      <c r="I151" s="585">
        <f t="shared" si="28"/>
        <v>859979.02304702345</v>
      </c>
      <c r="J151" s="585">
        <f t="shared" si="28"/>
        <v>859979.02304702345</v>
      </c>
      <c r="K151" s="585">
        <f t="shared" si="28"/>
        <v>859979.02304702345</v>
      </c>
      <c r="L151" s="585">
        <f t="shared" si="28"/>
        <v>859979.02304702345</v>
      </c>
      <c r="M151" s="585">
        <f t="shared" si="28"/>
        <v>859979.02304702345</v>
      </c>
      <c r="N151" s="585">
        <f t="shared" si="28"/>
        <v>859979.02304702345</v>
      </c>
      <c r="O151" s="585">
        <f t="shared" si="28"/>
        <v>859979.02304702345</v>
      </c>
      <c r="P151" s="585">
        <f t="shared" si="28"/>
        <v>859979.02304702345</v>
      </c>
      <c r="Q151" s="585">
        <f t="shared" si="28"/>
        <v>859979.02304702345</v>
      </c>
      <c r="R151" s="585">
        <f t="shared" si="28"/>
        <v>859979.02304702345</v>
      </c>
      <c r="S151" s="585">
        <f t="shared" si="28"/>
        <v>859979.02304702345</v>
      </c>
      <c r="T151" s="585">
        <f t="shared" si="28"/>
        <v>859979.02304702345</v>
      </c>
      <c r="U151" s="585">
        <f t="shared" si="28"/>
        <v>859979.02304702345</v>
      </c>
      <c r="V151" s="585">
        <f t="shared" si="28"/>
        <v>859979.02304702345</v>
      </c>
      <c r="W151" s="585">
        <f t="shared" si="28"/>
        <v>859979.02304702345</v>
      </c>
      <c r="X151" s="585">
        <f t="shared" si="28"/>
        <v>859979.02304702345</v>
      </c>
      <c r="Y151" s="585">
        <f t="shared" si="28"/>
        <v>859979.02304702345</v>
      </c>
      <c r="Z151" s="585">
        <f t="shared" si="28"/>
        <v>859979.02304702345</v>
      </c>
      <c r="AA151" s="585">
        <f t="shared" si="28"/>
        <v>859979.02304702345</v>
      </c>
      <c r="AB151" s="585">
        <f t="shared" si="28"/>
        <v>859979.02304702345</v>
      </c>
      <c r="AC151" s="585">
        <f t="shared" si="28"/>
        <v>-619948.20203472138</v>
      </c>
      <c r="AD151" s="585">
        <f t="shared" si="28"/>
        <v>0</v>
      </c>
      <c r="AE151" s="585">
        <f t="shared" si="28"/>
        <v>0</v>
      </c>
      <c r="AF151" s="585">
        <f t="shared" si="28"/>
        <v>0</v>
      </c>
      <c r="AG151" s="585">
        <f t="shared" si="28"/>
        <v>0</v>
      </c>
      <c r="AH151" s="585">
        <f t="shared" si="28"/>
        <v>0</v>
      </c>
      <c r="AI151" s="585">
        <f t="shared" si="28"/>
        <v>0</v>
      </c>
      <c r="AJ151" s="585">
        <f t="shared" si="28"/>
        <v>0</v>
      </c>
      <c r="AK151" s="585">
        <f t="shared" si="28"/>
        <v>0</v>
      </c>
      <c r="AL151" s="585">
        <f t="shared" si="28"/>
        <v>0</v>
      </c>
      <c r="AM151" s="586">
        <f t="shared" si="28"/>
        <v>0</v>
      </c>
    </row>
    <row r="152" spans="1:39" s="497" customFormat="1" ht="12.95">
      <c r="B152" s="637" t="s">
        <v>467</v>
      </c>
      <c r="C152" s="609" t="s">
        <v>417</v>
      </c>
      <c r="D152" s="638">
        <f>D151+D130</f>
        <v>-9690850.7145895604</v>
      </c>
      <c r="E152" s="639">
        <f t="shared" ref="E152:AM152" si="29">E151+E130</f>
        <v>501003.66941282281</v>
      </c>
      <c r="F152" s="639">
        <f t="shared" si="29"/>
        <v>501003.66941282281</v>
      </c>
      <c r="G152" s="639">
        <f t="shared" si="29"/>
        <v>501003.66941282281</v>
      </c>
      <c r="H152" s="639">
        <f t="shared" si="29"/>
        <v>501003.66941282281</v>
      </c>
      <c r="I152" s="639">
        <f t="shared" si="29"/>
        <v>501003.66941282281</v>
      </c>
      <c r="J152" s="639">
        <f t="shared" si="29"/>
        <v>501003.66941282281</v>
      </c>
      <c r="K152" s="639">
        <f t="shared" si="29"/>
        <v>501003.66941282281</v>
      </c>
      <c r="L152" s="639">
        <f t="shared" si="29"/>
        <v>501003.66941282281</v>
      </c>
      <c r="M152" s="639">
        <f t="shared" si="29"/>
        <v>501003.66941282281</v>
      </c>
      <c r="N152" s="639">
        <f t="shared" si="29"/>
        <v>501003.66941282281</v>
      </c>
      <c r="O152" s="639">
        <f t="shared" si="29"/>
        <v>501003.66941282281</v>
      </c>
      <c r="P152" s="639">
        <f t="shared" si="29"/>
        <v>501003.66941282281</v>
      </c>
      <c r="Q152" s="639">
        <f t="shared" si="29"/>
        <v>501003.66941282281</v>
      </c>
      <c r="R152" s="639">
        <f t="shared" si="29"/>
        <v>501003.66941282281</v>
      </c>
      <c r="S152" s="639">
        <f t="shared" si="29"/>
        <v>501003.66941282281</v>
      </c>
      <c r="T152" s="639">
        <f t="shared" si="29"/>
        <v>501003.66941282281</v>
      </c>
      <c r="U152" s="639">
        <f t="shared" si="29"/>
        <v>501003.66941282281</v>
      </c>
      <c r="V152" s="639">
        <f t="shared" si="29"/>
        <v>501003.66941282281</v>
      </c>
      <c r="W152" s="639">
        <f t="shared" si="29"/>
        <v>501003.66941282281</v>
      </c>
      <c r="X152" s="639">
        <f t="shared" si="29"/>
        <v>501003.66941282281</v>
      </c>
      <c r="Y152" s="639">
        <f t="shared" si="29"/>
        <v>501003.66941282281</v>
      </c>
      <c r="Z152" s="639">
        <f t="shared" si="29"/>
        <v>501003.66941282281</v>
      </c>
      <c r="AA152" s="639">
        <f t="shared" si="29"/>
        <v>501003.66941282281</v>
      </c>
      <c r="AB152" s="639">
        <f t="shared" si="29"/>
        <v>501003.66941282281</v>
      </c>
      <c r="AC152" s="639">
        <f t="shared" si="29"/>
        <v>-999676.81830089935</v>
      </c>
      <c r="AD152" s="639">
        <f t="shared" si="29"/>
        <v>0</v>
      </c>
      <c r="AE152" s="639">
        <f t="shared" si="29"/>
        <v>0</v>
      </c>
      <c r="AF152" s="639">
        <f t="shared" si="29"/>
        <v>0</v>
      </c>
      <c r="AG152" s="639">
        <f t="shared" si="29"/>
        <v>0</v>
      </c>
      <c r="AH152" s="639">
        <f t="shared" si="29"/>
        <v>0</v>
      </c>
      <c r="AI152" s="639">
        <f t="shared" si="29"/>
        <v>0</v>
      </c>
      <c r="AJ152" s="639">
        <f t="shared" si="29"/>
        <v>0</v>
      </c>
      <c r="AK152" s="639">
        <f t="shared" si="29"/>
        <v>0</v>
      </c>
      <c r="AL152" s="639">
        <f t="shared" si="29"/>
        <v>0</v>
      </c>
      <c r="AM152" s="640">
        <f t="shared" si="29"/>
        <v>0</v>
      </c>
    </row>
    <row r="153" spans="1:39" s="502" customFormat="1" ht="12.95">
      <c r="A153" s="497"/>
      <c r="B153" s="561" t="s">
        <v>468</v>
      </c>
      <c r="C153" s="545" t="s">
        <v>331</v>
      </c>
      <c r="D153" s="603">
        <f>SUM(D149:AB149)</f>
        <v>36187031.616350889</v>
      </c>
      <c r="F153" s="373"/>
      <c r="G153" s="373"/>
      <c r="H153" s="373"/>
      <c r="I153" s="373"/>
      <c r="J153" s="373"/>
      <c r="K153" s="373"/>
      <c r="L153" s="373"/>
      <c r="M153" s="373"/>
      <c r="N153" s="373"/>
      <c r="O153" s="373"/>
      <c r="P153" s="373"/>
      <c r="Q153" s="373"/>
      <c r="R153" s="503"/>
      <c r="S153" s="373"/>
      <c r="T153" s="373"/>
      <c r="U153" s="373"/>
      <c r="V153" s="373"/>
      <c r="W153" s="373"/>
      <c r="X153" s="373"/>
      <c r="Y153" s="373"/>
      <c r="Z153" s="373"/>
      <c r="AA153" s="373"/>
      <c r="AB153" s="373"/>
      <c r="AC153" s="373"/>
      <c r="AD153" s="373"/>
      <c r="AE153" s="373"/>
      <c r="AF153" s="373"/>
      <c r="AG153" s="373"/>
      <c r="AH153" s="373"/>
      <c r="AI153" s="373"/>
      <c r="AJ153" s="373"/>
      <c r="AK153" s="373"/>
      <c r="AL153" s="373"/>
      <c r="AM153" s="373"/>
    </row>
    <row r="154" spans="1:39" s="502" customFormat="1" ht="12.95">
      <c r="A154" s="497"/>
      <c r="B154" s="561" t="s">
        <v>469</v>
      </c>
      <c r="C154" s="545" t="s">
        <v>331</v>
      </c>
      <c r="D154" s="603">
        <f>SUM(D151:AB151)</f>
        <v>11307621.192173202</v>
      </c>
      <c r="E154" s="373"/>
      <c r="F154" s="373"/>
      <c r="G154" s="373"/>
      <c r="H154" s="373"/>
      <c r="I154" s="373"/>
      <c r="J154" s="373"/>
      <c r="K154" s="373"/>
      <c r="L154" s="373"/>
      <c r="M154" s="373"/>
      <c r="N154" s="373"/>
      <c r="O154" s="373"/>
      <c r="P154" s="373"/>
      <c r="Q154" s="373"/>
      <c r="R154" s="503"/>
      <c r="S154" s="373"/>
      <c r="T154" s="373"/>
      <c r="U154" s="373"/>
      <c r="V154" s="373"/>
      <c r="W154" s="373"/>
      <c r="X154" s="373"/>
      <c r="Y154" s="373"/>
      <c r="Z154" s="373"/>
      <c r="AA154" s="373"/>
      <c r="AB154" s="373"/>
      <c r="AC154" s="373"/>
      <c r="AD154" s="373"/>
      <c r="AE154" s="373"/>
      <c r="AF154" s="373"/>
      <c r="AG154" s="373"/>
      <c r="AH154" s="373"/>
      <c r="AI154" s="373"/>
      <c r="AJ154" s="373"/>
      <c r="AK154" s="373"/>
      <c r="AL154" s="373"/>
      <c r="AM154" s="373"/>
    </row>
    <row r="155" spans="1:39" s="502" customFormat="1" ht="12.95">
      <c r="A155" s="497"/>
      <c r="B155" s="561" t="s">
        <v>470</v>
      </c>
      <c r="C155" s="545" t="s">
        <v>331</v>
      </c>
      <c r="D155" s="603">
        <f>SUM(D152:AB152)</f>
        <v>2333237.3513181866</v>
      </c>
      <c r="E155" s="373"/>
      <c r="F155" s="373"/>
      <c r="G155" s="373"/>
      <c r="H155" s="373"/>
      <c r="I155" s="373"/>
      <c r="J155" s="373"/>
      <c r="K155" s="373"/>
      <c r="L155" s="373"/>
      <c r="M155" s="373"/>
      <c r="N155" s="373"/>
      <c r="O155" s="373"/>
      <c r="P155" s="373"/>
      <c r="Q155" s="373"/>
      <c r="R155" s="503"/>
      <c r="S155" s="373"/>
      <c r="T155" s="373"/>
      <c r="U155" s="373"/>
      <c r="V155" s="373"/>
      <c r="W155" s="373"/>
      <c r="X155" s="373"/>
      <c r="Y155" s="373"/>
      <c r="Z155" s="373"/>
      <c r="AA155" s="373"/>
      <c r="AB155" s="373"/>
      <c r="AC155" s="373"/>
      <c r="AD155" s="373"/>
      <c r="AE155" s="373"/>
      <c r="AF155" s="373"/>
      <c r="AG155" s="373"/>
      <c r="AH155" s="373"/>
      <c r="AI155" s="373"/>
      <c r="AJ155" s="373"/>
      <c r="AK155" s="373"/>
      <c r="AL155" s="373"/>
      <c r="AM155" s="373"/>
    </row>
    <row r="157" spans="1:39">
      <c r="B157" s="564" t="s">
        <v>99</v>
      </c>
      <c r="C157" s="641">
        <f>IRR(D151:AB151)</f>
        <v>7.6414984994286117E-2</v>
      </c>
    </row>
    <row r="158" spans="1:39">
      <c r="B158" s="564" t="s">
        <v>100</v>
      </c>
      <c r="C158" s="641">
        <f>IRR(D152:AB152)</f>
        <v>1.8030084297979698E-2</v>
      </c>
    </row>
    <row r="159" spans="1:39">
      <c r="B159" s="878" t="s">
        <v>101</v>
      </c>
      <c r="C159" s="712" t="s">
        <v>102</v>
      </c>
      <c r="D159" s="625">
        <f>NPV(CostofCapImpDiscountRate,$D$151:$AB$151)</f>
        <v>9421668.6348901764</v>
      </c>
    </row>
    <row r="160" spans="1:39">
      <c r="B160" s="878"/>
      <c r="C160" s="713" t="s">
        <v>103</v>
      </c>
      <c r="D160" s="546">
        <f>NPV(SocialDiscountRate,$D$151:$AB$151)</f>
        <v>-2354934.8745012446</v>
      </c>
    </row>
    <row r="161" spans="2:4">
      <c r="B161" s="879"/>
      <c r="C161" s="714" t="s">
        <v>104</v>
      </c>
      <c r="D161" s="642">
        <f>NPV(PrvESCODiscountRate,$D$151:$AB$151)</f>
        <v>-4238390.9348136196</v>
      </c>
    </row>
    <row r="162" spans="2:4">
      <c r="B162" s="877" t="s">
        <v>471</v>
      </c>
      <c r="C162" s="712" t="str">
        <f>C159</f>
        <v>Cost of Capital Imp Rate</v>
      </c>
      <c r="D162" s="625">
        <f>NPV(CostofCapImpDiscountRate,$D$152:$AB$152)</f>
        <v>1266195.3554146425</v>
      </c>
    </row>
    <row r="163" spans="2:4">
      <c r="B163" s="878"/>
      <c r="C163" s="713" t="str">
        <f>C160</f>
        <v xml:space="preserve">Social Discount </v>
      </c>
      <c r="D163" s="546">
        <f>NPV(SocialDiscountRate,$D$152:$AB$152)</f>
        <v>-5170428.5108568473</v>
      </c>
    </row>
    <row r="164" spans="2:4">
      <c r="B164" s="879"/>
      <c r="C164" s="714" t="str">
        <f>C161</f>
        <v>ESCO Discount Rate</v>
      </c>
      <c r="D164" s="642">
        <f>NPV(PrvESCODiscountRate,$D$152:$AB$152)</f>
        <v>-6014452.7349354411</v>
      </c>
    </row>
    <row r="167" spans="2:4">
      <c r="B167" s="475" t="s">
        <v>285</v>
      </c>
    </row>
    <row r="168" spans="2:4" ht="99.95">
      <c r="B168" s="707" t="s">
        <v>472</v>
      </c>
    </row>
    <row r="169" spans="2:4" ht="137.44999999999999">
      <c r="B169" s="707" t="s">
        <v>473</v>
      </c>
    </row>
    <row r="170" spans="2:4">
      <c r="B170" s="474" t="s">
        <v>474</v>
      </c>
    </row>
    <row r="172" spans="2:4">
      <c r="B172" t="s">
        <v>475</v>
      </c>
    </row>
  </sheetData>
  <mergeCells count="6">
    <mergeCell ref="B162:B164"/>
    <mergeCell ref="B33:D33"/>
    <mergeCell ref="B43:D43"/>
    <mergeCell ref="B51:D51"/>
    <mergeCell ref="B59:D59"/>
    <mergeCell ref="B159:B161"/>
  </mergeCells>
  <pageMargins left="0.75" right="0.75" top="1" bottom="1" header="0.5" footer="0.5"/>
  <pageSetup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7AE418-E79E-4163-B14F-2D217ED61263}">
  <sheetPr codeName="Sheet24">
    <tabColor rgb="FF00B050"/>
  </sheetPr>
  <dimension ref="A1:AD132"/>
  <sheetViews>
    <sheetView topLeftCell="A61" zoomScale="84" workbookViewId="0">
      <selection activeCell="D110" sqref="D110"/>
    </sheetView>
  </sheetViews>
  <sheetFormatPr defaultColWidth="9.28515625" defaultRowHeight="14.45"/>
  <cols>
    <col min="1" max="1" width="55.5703125" style="4" customWidth="1"/>
    <col min="2" max="2" width="22.140625" style="4" customWidth="1"/>
    <col min="3" max="3" width="15.42578125" style="4" customWidth="1"/>
    <col min="4" max="4" width="23.7109375" style="4" customWidth="1"/>
    <col min="5" max="5" width="19.5703125" style="4" customWidth="1"/>
    <col min="6" max="6" width="21.5703125" style="4" customWidth="1"/>
    <col min="7" max="7" width="18.42578125" style="4" customWidth="1"/>
    <col min="8" max="8" width="18.140625" style="4" customWidth="1"/>
    <col min="9" max="9" width="17.28515625" style="4" customWidth="1"/>
    <col min="10" max="10" width="19.85546875" style="4" customWidth="1"/>
    <col min="11" max="11" width="21.42578125" style="4" customWidth="1"/>
    <col min="12" max="12" width="21" style="4" customWidth="1"/>
    <col min="13" max="13" width="20.5703125" style="4" customWidth="1"/>
    <col min="14" max="14" width="17.5703125" style="4" customWidth="1"/>
    <col min="15" max="15" width="19.5703125" style="4" customWidth="1"/>
    <col min="16" max="16" width="22.28515625" style="4" customWidth="1"/>
    <col min="17" max="17" width="18.85546875" style="4" customWidth="1"/>
    <col min="18" max="18" width="17.140625" style="4" customWidth="1"/>
    <col min="19" max="19" width="19.28515625" style="4" customWidth="1"/>
    <col min="20" max="20" width="21" style="4" customWidth="1"/>
    <col min="21" max="21" width="16.85546875" style="4" customWidth="1"/>
    <col min="22" max="22" width="19.42578125" style="4" customWidth="1"/>
    <col min="23" max="23" width="19.140625" style="4" customWidth="1"/>
    <col min="24" max="24" width="17.140625" style="4" customWidth="1"/>
    <col min="25" max="25" width="19.5703125" style="4" customWidth="1"/>
    <col min="26" max="27" width="21.28515625" style="4" customWidth="1"/>
    <col min="28" max="28" width="18.85546875" style="4" customWidth="1"/>
    <col min="29" max="16384" width="9.28515625" style="4"/>
  </cols>
  <sheetData>
    <row r="1" spans="1:14">
      <c r="A1" s="5"/>
    </row>
    <row r="2" spans="1:14" ht="26.1">
      <c r="A2" s="9" t="s">
        <v>140</v>
      </c>
    </row>
    <row r="3" spans="1:14" s="34" customFormat="1" ht="77.099999999999994" customHeight="1">
      <c r="A3" s="876" t="s">
        <v>131</v>
      </c>
      <c r="B3" s="36" t="s">
        <v>141</v>
      </c>
      <c r="C3" s="37" t="s">
        <v>142</v>
      </c>
      <c r="D3" s="37" t="s">
        <v>143</v>
      </c>
      <c r="E3" s="37" t="s">
        <v>86</v>
      </c>
      <c r="F3" s="37" t="s">
        <v>144</v>
      </c>
      <c r="G3" s="36" t="s">
        <v>145</v>
      </c>
      <c r="H3" s="48" t="s">
        <v>146</v>
      </c>
      <c r="I3" s="36" t="s">
        <v>147</v>
      </c>
      <c r="J3" s="36" t="s">
        <v>148</v>
      </c>
      <c r="K3" s="35"/>
      <c r="L3" s="35"/>
      <c r="M3" s="35"/>
      <c r="N3" s="35"/>
    </row>
    <row r="4" spans="1:14">
      <c r="A4" s="876"/>
      <c r="B4" s="39" t="s">
        <v>149</v>
      </c>
      <c r="C4" s="39" t="s">
        <v>150</v>
      </c>
      <c r="D4" s="39" t="s">
        <v>151</v>
      </c>
      <c r="E4" s="40" t="s">
        <v>152</v>
      </c>
      <c r="F4" s="40" t="s">
        <v>153</v>
      </c>
      <c r="G4" s="40" t="s">
        <v>154</v>
      </c>
      <c r="H4" s="41" t="s">
        <v>155</v>
      </c>
      <c r="I4" s="41" t="s">
        <v>155</v>
      </c>
      <c r="J4" s="41" t="s">
        <v>155</v>
      </c>
      <c r="K4" s="6"/>
      <c r="L4" s="6"/>
      <c r="M4" s="6"/>
      <c r="N4" s="6"/>
    </row>
    <row r="5" spans="1:14">
      <c r="A5" s="36" t="s">
        <v>135</v>
      </c>
      <c r="B5" s="38">
        <f>'Assump&amp;Est_Guinea'!D16</f>
        <v>10208597.399999999</v>
      </c>
      <c r="C5" s="38">
        <f t="shared" ref="C5:C11" si="0">+B5*0.94</f>
        <v>9596081.555999998</v>
      </c>
      <c r="D5" s="38">
        <v>0.65</v>
      </c>
      <c r="E5" s="38">
        <f>C5*D5</f>
        <v>6237453.0113999993</v>
      </c>
      <c r="F5" s="38">
        <f>E5*0.67</f>
        <v>4179093.5176379997</v>
      </c>
      <c r="G5" s="38">
        <f>F5/1000</f>
        <v>4179.0935176379999</v>
      </c>
      <c r="H5" s="42">
        <f>+G5*25</f>
        <v>104477.33794094999</v>
      </c>
      <c r="I5" s="42">
        <f>+G5*(44/16)</f>
        <v>11492.5071735045</v>
      </c>
      <c r="J5" s="42">
        <f>H5-I5</f>
        <v>92984.830767445485</v>
      </c>
      <c r="K5" s="6"/>
      <c r="L5" s="6"/>
      <c r="M5" s="6"/>
      <c r="N5" s="6"/>
    </row>
    <row r="6" spans="1:14">
      <c r="A6" s="36" t="s">
        <v>156</v>
      </c>
      <c r="B6" s="38">
        <f>'Assump&amp;Est_Guinea'!D17</f>
        <v>8546256</v>
      </c>
      <c r="C6" s="38">
        <f t="shared" si="0"/>
        <v>8033480.6399999997</v>
      </c>
      <c r="D6" s="38">
        <v>0.65</v>
      </c>
      <c r="E6" s="38">
        <f>C6*D6</f>
        <v>5221762.4160000002</v>
      </c>
      <c r="F6" s="38">
        <f t="shared" ref="F6:F11" si="1">E6*0.67</f>
        <v>3498580.8187200003</v>
      </c>
      <c r="G6" s="38">
        <f t="shared" ref="G6:G11" si="2">F6/1000</f>
        <v>3498.5808187200005</v>
      </c>
      <c r="H6" s="42">
        <f t="shared" ref="H6:H11" si="3">+G6*25</f>
        <v>87464.520468000017</v>
      </c>
      <c r="I6" s="42">
        <f t="shared" ref="I6:I11" si="4">+G6*(44/16)</f>
        <v>9621.0972514800014</v>
      </c>
      <c r="J6" s="42">
        <f t="shared" ref="J6:J11" si="5">H6-I6</f>
        <v>77843.423216520023</v>
      </c>
      <c r="K6" s="6"/>
      <c r="L6" s="6"/>
      <c r="M6" s="6"/>
      <c r="N6" s="6"/>
    </row>
    <row r="7" spans="1:14">
      <c r="A7" s="36" t="s">
        <v>157</v>
      </c>
      <c r="B7" s="38">
        <f>'Assump&amp;Est_Guinea'!D18</f>
        <v>12215.447700000001</v>
      </c>
      <c r="C7" s="38">
        <f t="shared" si="0"/>
        <v>11482.520838</v>
      </c>
      <c r="D7" s="38">
        <v>0.65</v>
      </c>
      <c r="E7" s="38">
        <f>C7*D7</f>
        <v>7463.6385447000002</v>
      </c>
      <c r="F7" s="38">
        <f t="shared" si="1"/>
        <v>5000.6378249490008</v>
      </c>
      <c r="G7" s="38">
        <f t="shared" si="2"/>
        <v>5.0006378249490009</v>
      </c>
      <c r="H7" s="42">
        <f t="shared" si="3"/>
        <v>125.01594562372502</v>
      </c>
      <c r="I7" s="42">
        <f t="shared" si="4"/>
        <v>13.751754018609752</v>
      </c>
      <c r="J7" s="42">
        <f t="shared" si="5"/>
        <v>111.26419160511526</v>
      </c>
      <c r="K7" s="6"/>
      <c r="L7" s="6"/>
      <c r="M7" s="6"/>
      <c r="N7" s="6"/>
    </row>
    <row r="8" spans="1:14">
      <c r="A8" s="36" t="s">
        <v>158</v>
      </c>
      <c r="B8" s="38">
        <f>'Assump&amp;Est_Guinea'!D19</f>
        <v>44025.471449999997</v>
      </c>
      <c r="C8" s="38">
        <f t="shared" si="0"/>
        <v>41383.943162999996</v>
      </c>
      <c r="D8" s="38">
        <v>0.65</v>
      </c>
      <c r="E8" s="38">
        <f t="shared" ref="E8:E11" si="6">C8*D8</f>
        <v>26899.563055949999</v>
      </c>
      <c r="F8" s="38">
        <f t="shared" si="1"/>
        <v>18022.707247486502</v>
      </c>
      <c r="G8" s="38">
        <f t="shared" si="2"/>
        <v>18.022707247486501</v>
      </c>
      <c r="H8" s="42">
        <f t="shared" si="3"/>
        <v>450.56768118716252</v>
      </c>
      <c r="I8" s="42">
        <f t="shared" si="4"/>
        <v>49.56244493058788</v>
      </c>
      <c r="J8" s="42">
        <f t="shared" si="5"/>
        <v>401.00523625657462</v>
      </c>
      <c r="K8" s="6"/>
      <c r="L8" s="6"/>
      <c r="M8" s="6"/>
      <c r="N8" s="6"/>
    </row>
    <row r="9" spans="1:14">
      <c r="A9" s="36" t="s">
        <v>126</v>
      </c>
      <c r="B9" s="38">
        <f>'Assump&amp;Est_Guinea'!D20</f>
        <v>0</v>
      </c>
      <c r="C9" s="38">
        <f t="shared" si="0"/>
        <v>0</v>
      </c>
      <c r="D9" s="38">
        <v>0.71</v>
      </c>
      <c r="E9" s="38">
        <f t="shared" si="6"/>
        <v>0</v>
      </c>
      <c r="F9" s="38">
        <f t="shared" si="1"/>
        <v>0</v>
      </c>
      <c r="G9" s="38">
        <f t="shared" si="2"/>
        <v>0</v>
      </c>
      <c r="H9" s="42">
        <f t="shared" si="3"/>
        <v>0</v>
      </c>
      <c r="I9" s="42">
        <f>+G9*(44/16)</f>
        <v>0</v>
      </c>
      <c r="J9" s="42">
        <f t="shared" si="5"/>
        <v>0</v>
      </c>
      <c r="K9" s="6"/>
      <c r="L9" s="6"/>
      <c r="M9" s="6"/>
      <c r="N9" s="6"/>
    </row>
    <row r="10" spans="1:14">
      <c r="A10" s="36" t="s">
        <v>159</v>
      </c>
      <c r="B10" s="38">
        <f>'Assump&amp;Est_Guinea'!D21</f>
        <v>0</v>
      </c>
      <c r="C10" s="38">
        <f t="shared" si="0"/>
        <v>0</v>
      </c>
      <c r="D10" s="38">
        <f>+(0.7+0.63)/2</f>
        <v>0.66500000000000004</v>
      </c>
      <c r="E10" s="38">
        <f t="shared" si="6"/>
        <v>0</v>
      </c>
      <c r="F10" s="38">
        <f t="shared" si="1"/>
        <v>0</v>
      </c>
      <c r="G10" s="38">
        <f t="shared" si="2"/>
        <v>0</v>
      </c>
      <c r="H10" s="42">
        <f>+G10*25</f>
        <v>0</v>
      </c>
      <c r="I10" s="42">
        <f t="shared" si="4"/>
        <v>0</v>
      </c>
      <c r="J10" s="42">
        <f t="shared" si="5"/>
        <v>0</v>
      </c>
      <c r="K10" s="6"/>
      <c r="L10" s="6"/>
      <c r="M10" s="6"/>
      <c r="N10" s="6"/>
    </row>
    <row r="11" spans="1:14">
      <c r="A11" s="36" t="s">
        <v>160</v>
      </c>
      <c r="B11" s="38">
        <f>'Assump&amp;Est_Guinea'!D22</f>
        <v>0</v>
      </c>
      <c r="C11" s="38">
        <f t="shared" si="0"/>
        <v>0</v>
      </c>
      <c r="D11" s="38">
        <v>0.65</v>
      </c>
      <c r="E11" s="38">
        <f t="shared" si="6"/>
        <v>0</v>
      </c>
      <c r="F11" s="38">
        <f t="shared" si="1"/>
        <v>0</v>
      </c>
      <c r="G11" s="38">
        <f t="shared" si="2"/>
        <v>0</v>
      </c>
      <c r="H11" s="42">
        <f t="shared" si="3"/>
        <v>0</v>
      </c>
      <c r="I11" s="42">
        <f t="shared" si="4"/>
        <v>0</v>
      </c>
      <c r="J11" s="42">
        <f t="shared" si="5"/>
        <v>0</v>
      </c>
      <c r="K11" s="6"/>
      <c r="L11" s="6"/>
      <c r="M11" s="6"/>
      <c r="N11" s="6"/>
    </row>
    <row r="12" spans="1:14">
      <c r="A12" s="36" t="s">
        <v>12</v>
      </c>
      <c r="B12" s="43">
        <f>SUM(B5:B11)</f>
        <v>18811094.319150001</v>
      </c>
      <c r="C12" s="43">
        <f>SUM(C5:C11)</f>
        <v>17682428.660000999</v>
      </c>
      <c r="D12" s="43"/>
      <c r="E12" s="45">
        <f t="shared" ref="E12:J12" si="7">SUM(E5:E11)</f>
        <v>11493578.629000649</v>
      </c>
      <c r="F12" s="43">
        <f t="shared" si="7"/>
        <v>7700697.6814304348</v>
      </c>
      <c r="G12" s="43">
        <f t="shared" si="7"/>
        <v>7700.6976814304362</v>
      </c>
      <c r="H12" s="44">
        <f t="shared" si="7"/>
        <v>192517.44203576088</v>
      </c>
      <c r="I12" s="44">
        <f t="shared" si="7"/>
        <v>21176.918623933696</v>
      </c>
      <c r="J12" s="46">
        <f t="shared" si="7"/>
        <v>171340.52341182719</v>
      </c>
      <c r="K12" s="6"/>
      <c r="L12" s="6"/>
      <c r="M12" s="6"/>
      <c r="N12" s="6"/>
    </row>
    <row r="13" spans="1:14">
      <c r="A13" s="7"/>
      <c r="B13" s="653"/>
      <c r="C13" s="653"/>
      <c r="D13" s="653"/>
      <c r="E13" s="654"/>
      <c r="F13" s="653"/>
      <c r="G13" s="653"/>
      <c r="H13" s="655"/>
      <c r="I13" s="655"/>
      <c r="J13" s="656"/>
      <c r="K13" s="6"/>
      <c r="L13" s="6"/>
      <c r="M13" s="6"/>
      <c r="N13" s="6"/>
    </row>
    <row r="14" spans="1:14">
      <c r="A14" s="9" t="s">
        <v>161</v>
      </c>
      <c r="B14" s="657" t="s">
        <v>162</v>
      </c>
      <c r="C14" s="657" t="s">
        <v>163</v>
      </c>
      <c r="D14" s="653"/>
      <c r="E14" s="654"/>
      <c r="F14" s="653"/>
      <c r="G14" s="653"/>
      <c r="H14" s="655"/>
      <c r="I14" s="655"/>
      <c r="J14" s="656"/>
      <c r="K14" s="6"/>
      <c r="L14" s="6"/>
      <c r="M14" s="6"/>
      <c r="N14" s="6"/>
    </row>
    <row r="15" spans="1:14">
      <c r="A15" s="7" t="s">
        <v>164</v>
      </c>
      <c r="B15" s="653">
        <v>0.65</v>
      </c>
      <c r="C15" s="653" t="s">
        <v>165</v>
      </c>
      <c r="D15" s="653"/>
      <c r="E15" s="654"/>
      <c r="F15" s="653"/>
      <c r="G15" s="653"/>
      <c r="H15" s="655"/>
      <c r="I15" s="655"/>
      <c r="J15" s="656"/>
      <c r="K15" s="6"/>
      <c r="L15" s="6"/>
      <c r="M15" s="6"/>
      <c r="N15" s="6"/>
    </row>
    <row r="16" spans="1:14">
      <c r="A16" s="7" t="s">
        <v>166</v>
      </c>
      <c r="B16" s="653">
        <v>34</v>
      </c>
      <c r="C16" s="653" t="s">
        <v>167</v>
      </c>
      <c r="D16" s="653"/>
      <c r="E16" s="654"/>
      <c r="F16" s="653"/>
      <c r="G16" s="653"/>
      <c r="H16" s="655"/>
      <c r="I16" s="655"/>
      <c r="J16" s="656"/>
      <c r="K16" s="6"/>
      <c r="L16" s="6"/>
      <c r="M16" s="6"/>
      <c r="N16" s="6"/>
    </row>
    <row r="17" spans="1:14">
      <c r="A17" s="7" t="s">
        <v>168</v>
      </c>
      <c r="B17" s="653">
        <v>21</v>
      </c>
      <c r="C17" s="653" t="s">
        <v>169</v>
      </c>
      <c r="D17" s="653"/>
      <c r="E17" s="654"/>
      <c r="F17" s="653"/>
      <c r="G17" s="653"/>
      <c r="H17" s="655"/>
      <c r="I17" s="655"/>
      <c r="J17" s="656"/>
      <c r="K17" s="6"/>
      <c r="L17" s="6"/>
      <c r="M17" s="6"/>
      <c r="N17" s="6"/>
    </row>
    <row r="18" spans="1:14">
      <c r="A18" s="7" t="s">
        <v>170</v>
      </c>
      <c r="B18" s="653">
        <v>6</v>
      </c>
      <c r="C18" s="659" t="s">
        <v>171</v>
      </c>
      <c r="D18" s="653"/>
      <c r="E18" s="654"/>
      <c r="F18" s="653"/>
      <c r="G18" s="653"/>
      <c r="H18" s="655"/>
      <c r="I18" s="655"/>
      <c r="J18" s="656"/>
      <c r="K18" s="6"/>
      <c r="L18" s="6"/>
      <c r="M18" s="6"/>
      <c r="N18" s="6"/>
    </row>
    <row r="19" spans="1:14">
      <c r="A19" s="7" t="s">
        <v>172</v>
      </c>
      <c r="B19" s="653">
        <v>8060</v>
      </c>
      <c r="C19" s="653" t="s">
        <v>165</v>
      </c>
      <c r="D19" s="653"/>
      <c r="E19" s="654"/>
      <c r="F19" s="653"/>
      <c r="G19" s="653"/>
      <c r="H19" s="655"/>
      <c r="I19" s="655"/>
      <c r="J19" s="656"/>
      <c r="K19" s="6"/>
      <c r="L19" s="6"/>
      <c r="M19" s="6"/>
      <c r="N19" s="6"/>
    </row>
    <row r="20" spans="1:14">
      <c r="A20" s="7" t="s">
        <v>173</v>
      </c>
      <c r="B20" s="653">
        <v>16</v>
      </c>
      <c r="C20" s="653" t="s">
        <v>174</v>
      </c>
      <c r="D20" s="653"/>
      <c r="E20" s="654"/>
      <c r="F20" s="653"/>
      <c r="G20" s="653"/>
      <c r="H20" s="655"/>
      <c r="I20" s="655"/>
      <c r="J20" s="656"/>
      <c r="K20" s="6"/>
      <c r="L20" s="6"/>
      <c r="M20" s="6"/>
      <c r="N20" s="6"/>
    </row>
    <row r="21" spans="1:14">
      <c r="A21" s="7" t="s">
        <v>175</v>
      </c>
      <c r="B21" s="653">
        <v>43</v>
      </c>
      <c r="C21" s="653" t="s">
        <v>174</v>
      </c>
      <c r="D21" s="653"/>
      <c r="E21" s="654"/>
      <c r="F21" s="653"/>
      <c r="G21" s="653"/>
      <c r="H21" s="655"/>
      <c r="I21" s="655"/>
      <c r="J21" s="656"/>
      <c r="K21" s="6"/>
      <c r="L21" s="6"/>
      <c r="M21" s="6"/>
      <c r="N21" s="6"/>
    </row>
    <row r="22" spans="1:14">
      <c r="A22" s="7" t="s">
        <v>176</v>
      </c>
      <c r="B22" s="661">
        <v>0.6</v>
      </c>
      <c r="C22" s="653" t="s">
        <v>174</v>
      </c>
      <c r="D22" s="653"/>
      <c r="E22" s="654"/>
      <c r="F22" s="653"/>
      <c r="G22" s="653"/>
      <c r="H22" s="655"/>
      <c r="I22" s="655"/>
      <c r="J22" s="656"/>
      <c r="K22" s="6"/>
      <c r="L22" s="6"/>
      <c r="M22" s="6"/>
      <c r="N22" s="6"/>
    </row>
    <row r="23" spans="1:14">
      <c r="A23" s="7" t="s">
        <v>177</v>
      </c>
      <c r="B23" s="661">
        <v>0.06</v>
      </c>
      <c r="C23" s="653" t="s">
        <v>174</v>
      </c>
      <c r="D23" s="653"/>
      <c r="E23" s="654"/>
      <c r="F23" s="653"/>
      <c r="G23" s="653"/>
      <c r="H23" s="655"/>
      <c r="I23" s="655"/>
      <c r="J23" s="656"/>
      <c r="K23" s="6"/>
      <c r="L23" s="6"/>
      <c r="M23" s="6"/>
      <c r="N23" s="6"/>
    </row>
    <row r="24" spans="1:14">
      <c r="A24" s="7" t="s">
        <v>178</v>
      </c>
      <c r="B24" s="661">
        <v>0.15</v>
      </c>
      <c r="C24" s="653" t="s">
        <v>174</v>
      </c>
      <c r="D24" s="653"/>
      <c r="E24" s="654"/>
      <c r="F24" s="653"/>
      <c r="G24" s="653"/>
      <c r="H24" s="655"/>
      <c r="I24" s="655"/>
      <c r="J24" s="656"/>
      <c r="K24" s="6"/>
      <c r="L24" s="6"/>
      <c r="M24" s="6"/>
      <c r="N24" s="6"/>
    </row>
    <row r="25" spans="1:14">
      <c r="A25" s="7" t="s">
        <v>179</v>
      </c>
      <c r="B25" s="661">
        <v>0.8</v>
      </c>
      <c r="C25" s="653" t="s">
        <v>174</v>
      </c>
      <c r="D25" s="653"/>
      <c r="E25" s="654"/>
      <c r="F25" s="653"/>
      <c r="G25" s="653"/>
      <c r="H25" s="655"/>
      <c r="I25" s="655"/>
      <c r="J25" s="656"/>
      <c r="K25" s="6"/>
      <c r="L25" s="6"/>
      <c r="M25" s="6"/>
      <c r="N25" s="6"/>
    </row>
    <row r="26" spans="1:14">
      <c r="A26" s="7" t="s">
        <v>180</v>
      </c>
      <c r="B26" s="661">
        <v>0.54963053796718997</v>
      </c>
      <c r="C26" s="653" t="s">
        <v>174</v>
      </c>
      <c r="D26" s="653"/>
      <c r="E26" s="654"/>
      <c r="F26" s="653"/>
      <c r="G26" s="653"/>
      <c r="H26" s="655"/>
      <c r="I26" s="655"/>
      <c r="J26" s="656"/>
      <c r="K26" s="6"/>
      <c r="L26" s="6"/>
      <c r="M26" s="6"/>
      <c r="N26" s="6"/>
    </row>
    <row r="27" spans="1:14">
      <c r="A27" s="5" t="s">
        <v>181</v>
      </c>
      <c r="B27" s="845">
        <v>0.3</v>
      </c>
      <c r="C27" s="846" t="s">
        <v>182</v>
      </c>
      <c r="D27" s="13"/>
      <c r="E27" s="13"/>
      <c r="F27" s="13"/>
      <c r="H27" s="6"/>
      <c r="I27" s="6"/>
      <c r="J27" s="6"/>
      <c r="K27" s="6"/>
      <c r="L27" s="6"/>
      <c r="M27" s="6"/>
      <c r="N27" s="6"/>
    </row>
    <row r="28" spans="1:14">
      <c r="A28" s="5" t="s">
        <v>183</v>
      </c>
      <c r="B28" s="847">
        <v>300</v>
      </c>
      <c r="C28" s="846" t="s">
        <v>184</v>
      </c>
      <c r="D28" s="13"/>
      <c r="E28" s="13"/>
      <c r="F28" s="13"/>
      <c r="H28" s="6"/>
      <c r="I28" s="6"/>
      <c r="J28" s="6"/>
      <c r="K28" s="6"/>
      <c r="L28" s="6"/>
      <c r="M28" s="6"/>
      <c r="N28" s="6"/>
    </row>
    <row r="29" spans="1:14">
      <c r="A29" s="5" t="s">
        <v>185</v>
      </c>
      <c r="B29" s="847">
        <v>0.22</v>
      </c>
      <c r="C29" s="846" t="s">
        <v>186</v>
      </c>
      <c r="D29" s="13"/>
      <c r="E29" s="13"/>
      <c r="F29" s="13"/>
      <c r="H29" s="6"/>
      <c r="I29" s="6"/>
      <c r="J29" s="6"/>
      <c r="K29" s="6"/>
      <c r="L29" s="6"/>
      <c r="M29" s="6"/>
      <c r="N29" s="6"/>
    </row>
    <row r="30" spans="1:14">
      <c r="A30" s="7" t="s">
        <v>187</v>
      </c>
      <c r="B30" s="662">
        <v>1.6</v>
      </c>
      <c r="C30" s="653" t="s">
        <v>188</v>
      </c>
      <c r="D30" s="653"/>
      <c r="E30" s="654"/>
      <c r="F30" s="653"/>
      <c r="G30" s="653"/>
      <c r="H30" s="655"/>
      <c r="I30" s="655"/>
      <c r="J30" s="656"/>
      <c r="K30" s="6"/>
      <c r="L30" s="6"/>
      <c r="M30" s="6"/>
      <c r="N30" s="6"/>
    </row>
    <row r="31" spans="1:14">
      <c r="A31" s="7" t="s">
        <v>189</v>
      </c>
      <c r="B31" s="662">
        <v>1</v>
      </c>
      <c r="C31" s="653" t="s">
        <v>174</v>
      </c>
      <c r="D31" s="653"/>
      <c r="E31" s="654"/>
      <c r="F31" s="653"/>
      <c r="G31" s="653"/>
      <c r="H31" s="655"/>
      <c r="I31" s="655"/>
      <c r="J31" s="656"/>
      <c r="K31" s="6"/>
      <c r="L31" s="6"/>
      <c r="M31" s="6"/>
      <c r="N31" s="6"/>
    </row>
    <row r="32" spans="1:14" ht="19.5" customHeight="1">
      <c r="A32" s="7" t="s">
        <v>190</v>
      </c>
      <c r="B32" s="663">
        <v>278</v>
      </c>
      <c r="C32" s="653" t="s">
        <v>191</v>
      </c>
      <c r="D32" s="653"/>
      <c r="E32" s="654"/>
      <c r="F32" s="653"/>
      <c r="G32" s="653"/>
      <c r="H32" s="655"/>
      <c r="I32" s="655"/>
      <c r="J32" s="656"/>
      <c r="K32" s="6"/>
      <c r="L32" s="6"/>
      <c r="M32" s="6"/>
      <c r="N32" s="6"/>
    </row>
    <row r="33" spans="1:14">
      <c r="A33" s="7" t="s">
        <v>192</v>
      </c>
      <c r="B33" s="663">
        <v>0.25</v>
      </c>
      <c r="C33" s="653" t="s">
        <v>174</v>
      </c>
      <c r="D33" s="653"/>
      <c r="E33" s="654"/>
      <c r="F33" s="653"/>
      <c r="G33" s="653"/>
      <c r="H33" s="655"/>
      <c r="I33" s="655"/>
      <c r="J33" s="656"/>
      <c r="K33" s="6"/>
      <c r="L33" s="6"/>
      <c r="M33" s="6"/>
      <c r="N33" s="6"/>
    </row>
    <row r="34" spans="1:14">
      <c r="A34" s="7" t="s">
        <v>193</v>
      </c>
      <c r="B34" s="687">
        <v>2.0000000000000001E-4</v>
      </c>
      <c r="C34" s="653" t="s">
        <v>194</v>
      </c>
      <c r="D34" s="653"/>
      <c r="E34" s="654"/>
      <c r="F34" s="653"/>
      <c r="G34" s="653"/>
      <c r="H34" s="655"/>
      <c r="I34" s="655"/>
      <c r="J34" s="656"/>
      <c r="K34" s="6"/>
      <c r="L34" s="6"/>
      <c r="M34" s="6"/>
      <c r="N34" s="6"/>
    </row>
    <row r="35" spans="1:14">
      <c r="A35" s="7" t="s">
        <v>195</v>
      </c>
      <c r="B35" s="653">
        <v>0.1</v>
      </c>
      <c r="C35" s="653"/>
      <c r="D35" s="653"/>
      <c r="E35" s="654"/>
      <c r="F35" s="653"/>
      <c r="G35" s="653"/>
      <c r="H35" s="655"/>
      <c r="I35" s="655"/>
      <c r="J35" s="656"/>
      <c r="K35" s="6"/>
      <c r="L35" s="6"/>
      <c r="M35" s="6"/>
      <c r="N35" s="6"/>
    </row>
    <row r="36" spans="1:14" ht="17.45" customHeight="1">
      <c r="A36" s="7" t="s">
        <v>196</v>
      </c>
      <c r="B36" s="653">
        <v>0.1</v>
      </c>
      <c r="C36" s="653"/>
      <c r="D36" s="653"/>
      <c r="E36" s="654"/>
      <c r="F36" s="653"/>
      <c r="G36" s="653"/>
      <c r="H36" s="655"/>
      <c r="I36" s="655"/>
      <c r="J36" s="656"/>
      <c r="K36" s="6"/>
      <c r="L36" s="6"/>
      <c r="M36" s="6"/>
      <c r="N36" s="6"/>
    </row>
    <row r="37" spans="1:14">
      <c r="A37" s="7" t="s">
        <v>197</v>
      </c>
      <c r="B37" s="653">
        <v>0.01</v>
      </c>
      <c r="C37" s="653"/>
      <c r="D37" s="653"/>
      <c r="E37" s="654"/>
      <c r="F37" s="653"/>
      <c r="G37" s="653"/>
      <c r="H37" s="655"/>
      <c r="I37" s="655"/>
      <c r="J37" s="656"/>
      <c r="K37" s="6"/>
      <c r="L37" s="6"/>
      <c r="M37" s="6"/>
      <c r="N37" s="6"/>
    </row>
    <row r="38" spans="1:14">
      <c r="A38" s="7" t="s">
        <v>198</v>
      </c>
      <c r="B38" s="653">
        <v>852.11300000000006</v>
      </c>
      <c r="C38" s="653"/>
      <c r="D38" s="653"/>
      <c r="E38" s="654"/>
      <c r="F38" s="653"/>
      <c r="H38" s="655"/>
      <c r="I38" s="655"/>
      <c r="J38" s="656"/>
      <c r="K38" s="6"/>
      <c r="L38" s="6"/>
      <c r="M38" s="6"/>
      <c r="N38" s="6"/>
    </row>
    <row r="39" spans="1:14">
      <c r="A39" s="7" t="s">
        <v>199</v>
      </c>
      <c r="B39" s="672">
        <v>1.1739999999999999E-3</v>
      </c>
      <c r="C39" s="653"/>
      <c r="D39" s="653"/>
      <c r="E39" s="654"/>
      <c r="F39" s="653"/>
      <c r="H39" s="655"/>
      <c r="I39" s="655"/>
      <c r="J39" s="656"/>
      <c r="K39" s="6"/>
      <c r="L39" s="6"/>
      <c r="M39" s="6"/>
      <c r="N39" s="6"/>
    </row>
    <row r="40" spans="1:14">
      <c r="A40" s="7" t="s">
        <v>200</v>
      </c>
      <c r="B40" s="672">
        <v>1E-3</v>
      </c>
      <c r="C40" s="653"/>
      <c r="D40" s="653"/>
      <c r="E40" s="654"/>
      <c r="F40" s="653"/>
      <c r="H40" s="655"/>
      <c r="I40" s="655"/>
      <c r="J40" s="656"/>
      <c r="K40" s="6"/>
      <c r="L40" s="6"/>
      <c r="M40" s="6"/>
      <c r="N40" s="6"/>
    </row>
    <row r="41" spans="1:14">
      <c r="A41" s="7" t="s">
        <v>201</v>
      </c>
      <c r="B41" s="671">
        <v>2.8319999999999999</v>
      </c>
      <c r="C41" s="653"/>
      <c r="D41" s="653"/>
      <c r="E41" s="654"/>
      <c r="F41" s="653"/>
      <c r="H41" s="655"/>
      <c r="I41" s="655"/>
      <c r="J41" s="656"/>
      <c r="K41" s="6"/>
      <c r="L41" s="6"/>
      <c r="M41" s="6"/>
      <c r="N41" s="6"/>
    </row>
    <row r="42" spans="1:14">
      <c r="A42" s="7" t="s">
        <v>202</v>
      </c>
      <c r="B42" s="671">
        <v>1000000</v>
      </c>
      <c r="C42" s="653"/>
      <c r="D42" s="653"/>
      <c r="E42" s="654"/>
      <c r="F42" s="653"/>
      <c r="H42" s="655"/>
      <c r="I42" s="655"/>
      <c r="J42" s="656"/>
      <c r="K42" s="6"/>
      <c r="L42" s="6"/>
      <c r="M42" s="6"/>
      <c r="N42" s="6"/>
    </row>
    <row r="43" spans="1:14">
      <c r="A43" s="7" t="s">
        <v>203</v>
      </c>
      <c r="B43" s="671">
        <v>3.6</v>
      </c>
      <c r="C43" s="653"/>
      <c r="D43" s="653"/>
      <c r="E43" s="654"/>
      <c r="F43" s="653"/>
      <c r="H43" s="655"/>
      <c r="I43" s="655"/>
      <c r="J43" s="656"/>
      <c r="K43" s="6"/>
      <c r="L43" s="6"/>
      <c r="M43" s="6"/>
      <c r="N43" s="6"/>
    </row>
    <row r="44" spans="1:14">
      <c r="A44" s="7" t="s">
        <v>204</v>
      </c>
      <c r="B44" s="671">
        <v>1000</v>
      </c>
      <c r="C44" s="653"/>
      <c r="D44" s="653"/>
      <c r="E44" s="654"/>
      <c r="F44" s="653"/>
      <c r="H44" s="655"/>
      <c r="I44" s="655"/>
      <c r="J44" s="656"/>
      <c r="K44" s="6"/>
      <c r="L44" s="6"/>
      <c r="M44" s="6"/>
      <c r="N44" s="6"/>
    </row>
    <row r="45" spans="1:14">
      <c r="A45" s="7" t="s">
        <v>205</v>
      </c>
      <c r="B45" s="671">
        <v>3.6</v>
      </c>
      <c r="C45" s="653"/>
      <c r="D45" s="653"/>
      <c r="E45" s="654"/>
      <c r="F45" s="653"/>
      <c r="H45" s="655"/>
      <c r="I45" s="655"/>
      <c r="J45" s="656"/>
      <c r="K45" s="6"/>
      <c r="L45" s="6"/>
      <c r="M45" s="6"/>
      <c r="N45" s="6"/>
    </row>
    <row r="46" spans="1:14">
      <c r="A46" s="7" t="s">
        <v>206</v>
      </c>
      <c r="B46" s="671">
        <v>1000</v>
      </c>
      <c r="C46" s="653"/>
      <c r="D46" s="653"/>
      <c r="E46" s="654"/>
      <c r="F46" s="653"/>
      <c r="H46" s="655"/>
      <c r="I46" s="655"/>
      <c r="J46" s="656"/>
      <c r="K46" s="6"/>
      <c r="L46" s="6"/>
      <c r="M46" s="6"/>
      <c r="N46" s="6"/>
    </row>
    <row r="47" spans="1:14">
      <c r="A47" s="7" t="s">
        <v>207</v>
      </c>
      <c r="B47" s="671">
        <v>1</v>
      </c>
      <c r="C47" s="653"/>
      <c r="D47" s="653"/>
      <c r="E47" s="654"/>
      <c r="F47" s="653"/>
      <c r="H47" s="655"/>
      <c r="I47" s="655"/>
      <c r="J47" s="656"/>
      <c r="K47" s="6"/>
      <c r="L47" s="6"/>
      <c r="M47" s="6"/>
      <c r="N47" s="6"/>
    </row>
    <row r="48" spans="1:14">
      <c r="A48" s="7" t="s">
        <v>208</v>
      </c>
      <c r="B48" s="671">
        <v>1000</v>
      </c>
      <c r="C48" s="653"/>
      <c r="D48" s="653"/>
      <c r="E48" s="654"/>
      <c r="F48" s="653"/>
      <c r="H48" s="655"/>
      <c r="I48" s="655"/>
      <c r="J48" s="656"/>
      <c r="K48" s="6"/>
      <c r="L48" s="6"/>
      <c r="M48" s="6"/>
      <c r="N48" s="6"/>
    </row>
    <row r="49" spans="1:14" ht="16.5">
      <c r="A49" s="690" t="s">
        <v>209</v>
      </c>
      <c r="B49" s="671"/>
      <c r="C49" s="653"/>
      <c r="D49" s="653"/>
      <c r="E49" s="654"/>
      <c r="F49" s="653"/>
      <c r="H49" s="655"/>
      <c r="I49" s="655"/>
      <c r="J49" s="656"/>
      <c r="K49" s="6"/>
      <c r="L49" s="6"/>
      <c r="M49" s="6"/>
      <c r="N49" s="6"/>
    </row>
    <row r="50" spans="1:14" ht="21">
      <c r="A50" s="691" t="s">
        <v>210</v>
      </c>
      <c r="B50" s="671"/>
      <c r="C50" s="653"/>
      <c r="D50" s="653"/>
      <c r="E50" s="654"/>
      <c r="F50" s="653"/>
      <c r="H50" s="655"/>
      <c r="I50" s="655"/>
      <c r="J50" s="656"/>
      <c r="K50" s="6"/>
      <c r="L50" s="6"/>
      <c r="M50" s="6"/>
      <c r="N50" s="6"/>
    </row>
    <row r="51" spans="1:14">
      <c r="A51" s="7"/>
      <c r="B51" s="671"/>
      <c r="C51" s="653"/>
      <c r="D51" s="653"/>
      <c r="E51" s="654"/>
      <c r="F51" s="653"/>
      <c r="H51" s="655"/>
      <c r="I51" s="655"/>
      <c r="J51" s="656"/>
      <c r="K51" s="6"/>
      <c r="L51" s="6"/>
      <c r="M51" s="6"/>
      <c r="N51" s="6"/>
    </row>
    <row r="52" spans="1:14">
      <c r="A52" s="7"/>
      <c r="B52" s="671"/>
      <c r="C52" s="653"/>
      <c r="D52" s="653"/>
      <c r="E52" s="654"/>
      <c r="F52" s="653"/>
      <c r="H52" s="655"/>
      <c r="I52" s="655"/>
      <c r="J52" s="656"/>
      <c r="K52" s="6"/>
      <c r="L52" s="6"/>
      <c r="M52" s="6"/>
      <c r="N52" s="6"/>
    </row>
    <row r="53" spans="1:14">
      <c r="A53" s="9" t="s">
        <v>211</v>
      </c>
      <c r="B53" s="671"/>
      <c r="C53" s="653"/>
      <c r="D53" s="653"/>
      <c r="E53" s="654"/>
      <c r="F53" s="653"/>
      <c r="H53" s="655"/>
      <c r="I53" s="655"/>
      <c r="J53" s="656"/>
      <c r="K53" s="6"/>
      <c r="L53" s="6"/>
      <c r="M53" s="6"/>
      <c r="N53" s="6"/>
    </row>
    <row r="54" spans="1:14">
      <c r="A54" s="7" t="s">
        <v>212</v>
      </c>
      <c r="B54" s="673">
        <v>0</v>
      </c>
      <c r="C54" s="653" t="s">
        <v>213</v>
      </c>
      <c r="D54" s="653"/>
      <c r="E54" s="654"/>
      <c r="F54" s="653"/>
      <c r="H54" s="655"/>
      <c r="I54" s="655"/>
      <c r="J54" s="656"/>
      <c r="K54" s="6"/>
      <c r="L54" s="6"/>
      <c r="M54" s="6"/>
      <c r="N54" s="6"/>
    </row>
    <row r="55" spans="1:14">
      <c r="A55" s="7" t="s">
        <v>214</v>
      </c>
      <c r="B55" s="673">
        <f>0.0075</f>
        <v>7.4999999999999997E-3</v>
      </c>
      <c r="C55" s="653"/>
      <c r="D55" s="653"/>
      <c r="E55" s="654"/>
      <c r="F55" s="653"/>
      <c r="H55" s="655"/>
      <c r="I55" s="655"/>
      <c r="J55" s="656"/>
      <c r="K55" s="6"/>
      <c r="L55" s="6"/>
      <c r="M55" s="6"/>
      <c r="N55" s="6"/>
    </row>
    <row r="56" spans="1:14">
      <c r="A56" s="7" t="s">
        <v>215</v>
      </c>
      <c r="B56" s="673">
        <v>0.12</v>
      </c>
      <c r="C56" s="653" t="s">
        <v>216</v>
      </c>
      <c r="D56" s="653"/>
      <c r="E56" s="654"/>
      <c r="F56" s="653"/>
      <c r="H56" s="655"/>
      <c r="I56" s="655"/>
      <c r="J56" s="656"/>
      <c r="K56" s="6"/>
      <c r="L56" s="6"/>
      <c r="M56" s="6"/>
      <c r="N56" s="6"/>
    </row>
    <row r="57" spans="1:14">
      <c r="A57" s="7" t="s">
        <v>217</v>
      </c>
      <c r="B57" s="674">
        <v>0.2</v>
      </c>
      <c r="C57" s="653" t="s">
        <v>218</v>
      </c>
      <c r="D57" s="653"/>
      <c r="E57" s="654"/>
      <c r="F57" s="653"/>
      <c r="H57" s="655"/>
      <c r="I57" s="655"/>
      <c r="J57" s="656"/>
      <c r="K57" s="6"/>
      <c r="L57" s="6"/>
      <c r="M57" s="6"/>
      <c r="N57" s="6"/>
    </row>
    <row r="58" spans="1:14">
      <c r="A58" s="7"/>
      <c r="H58" s="8"/>
      <c r="I58" s="8"/>
      <c r="J58" s="6"/>
      <c r="K58" s="6"/>
      <c r="L58" s="6"/>
      <c r="M58" s="6"/>
      <c r="N58" s="6"/>
    </row>
    <row r="59" spans="1:14">
      <c r="A59" s="9" t="s">
        <v>219</v>
      </c>
      <c r="F59" s="13"/>
      <c r="H59" s="6"/>
      <c r="I59" s="6"/>
      <c r="J59" s="6"/>
      <c r="K59" s="6"/>
      <c r="L59" s="6"/>
      <c r="M59" s="6"/>
      <c r="N59" s="6"/>
    </row>
    <row r="60" spans="1:14">
      <c r="A60" s="10" t="s">
        <v>220</v>
      </c>
      <c r="B60" s="11">
        <v>20</v>
      </c>
      <c r="H60" s="6"/>
      <c r="I60" s="6"/>
      <c r="J60" s="6"/>
      <c r="K60" s="6"/>
      <c r="L60" s="6"/>
      <c r="M60" s="6"/>
      <c r="N60" s="6"/>
    </row>
    <row r="61" spans="1:14">
      <c r="A61" s="5" t="s">
        <v>221</v>
      </c>
      <c r="B61" s="12">
        <f>'Assump&amp;Est_Guinea'!D24</f>
        <v>9911.0085980769236</v>
      </c>
      <c r="D61" s="13"/>
      <c r="E61" s="13"/>
      <c r="F61" s="13"/>
      <c r="H61" s="6"/>
      <c r="I61" s="6"/>
      <c r="J61" s="6"/>
      <c r="K61" s="6"/>
      <c r="L61" s="6"/>
      <c r="M61" s="6"/>
      <c r="N61" s="6"/>
    </row>
    <row r="62" spans="1:14">
      <c r="A62" s="5" t="s">
        <v>222</v>
      </c>
      <c r="B62" s="12">
        <f>B12*CapUtilFactorofBiodigester</f>
        <v>15048875.455320001</v>
      </c>
      <c r="D62" s="13"/>
      <c r="E62" s="13"/>
      <c r="F62" s="13"/>
      <c r="H62" s="6"/>
      <c r="I62" s="6"/>
      <c r="J62" s="6"/>
      <c r="K62" s="6"/>
      <c r="L62" s="6"/>
      <c r="M62" s="6"/>
      <c r="N62" s="6"/>
    </row>
    <row r="63" spans="1:14">
      <c r="A63" s="5" t="s">
        <v>223</v>
      </c>
      <c r="B63" s="12">
        <f>B62*EfficiencyValBiogas</f>
        <v>9029325.2731919996</v>
      </c>
      <c r="D63" s="13"/>
      <c r="E63" s="13"/>
      <c r="F63" s="13"/>
      <c r="H63" s="6"/>
      <c r="I63" s="6"/>
      <c r="J63" s="6"/>
      <c r="K63" s="6"/>
      <c r="L63" s="6"/>
      <c r="M63" s="6"/>
      <c r="N63" s="6"/>
    </row>
    <row r="64" spans="1:14">
      <c r="A64" s="5" t="s">
        <v>224</v>
      </c>
      <c r="B64" s="12">
        <f>(EValKerosene/EvalBiogas)*(B63*0.3)*(1/B40)*EfficiencyValKerosene</f>
        <v>332795131.49764794</v>
      </c>
      <c r="D64" s="13"/>
      <c r="E64" s="13"/>
      <c r="F64" s="13"/>
      <c r="H64" s="6"/>
      <c r="I64" s="6"/>
      <c r="J64" s="6"/>
      <c r="K64" s="6"/>
      <c r="L64" s="6"/>
      <c r="M64" s="6"/>
      <c r="N64" s="6"/>
    </row>
    <row r="65" spans="1:28">
      <c r="A65" s="5" t="s">
        <v>225</v>
      </c>
      <c r="B65" s="12">
        <f>(EvalFuelwood/EvalBiogas)*(B63*0.7)*(1/B41)*EfficiencyValFuelwood</f>
        <v>255065.68568338981</v>
      </c>
      <c r="D65" s="13"/>
      <c r="E65" s="13"/>
      <c r="F65" s="13"/>
      <c r="H65" s="6"/>
      <c r="I65" s="6"/>
      <c r="J65" s="6"/>
      <c r="K65" s="6"/>
      <c r="L65" s="6"/>
      <c r="M65" s="6"/>
      <c r="N65" s="6"/>
    </row>
    <row r="66" spans="1:28">
      <c r="A66" s="5" t="s">
        <v>226</v>
      </c>
      <c r="B66" s="12">
        <f>B62*ValRtUrea_Utilization*(1/B39)</f>
        <v>2563692.5818262356</v>
      </c>
      <c r="D66" s="13"/>
      <c r="E66" s="13"/>
      <c r="F66" s="13"/>
      <c r="H66" s="6"/>
      <c r="I66" s="6"/>
      <c r="J66" s="6"/>
      <c r="K66" s="6"/>
      <c r="L66" s="6"/>
      <c r="M66" s="6"/>
      <c r="N66" s="6"/>
    </row>
    <row r="67" spans="1:28">
      <c r="A67" s="7" t="s">
        <v>227</v>
      </c>
      <c r="B67" s="658">
        <f>B12*EvalBiogas*Efficiency*(1/B45)</f>
        <v>32919415.058512498</v>
      </c>
      <c r="C67" s="14"/>
      <c r="D67" s="11"/>
      <c r="E67" s="658"/>
      <c r="F67" s="693"/>
      <c r="H67" s="6"/>
      <c r="I67" s="6"/>
      <c r="J67" s="6"/>
      <c r="K67" s="6"/>
      <c r="L67" s="6"/>
      <c r="M67" s="6"/>
      <c r="N67" s="6"/>
    </row>
    <row r="68" spans="1:28">
      <c r="A68" s="7" t="s">
        <v>228</v>
      </c>
      <c r="B68" s="658">
        <f>B67*GensetCapacityUtilFac</f>
        <v>18093515.808175437</v>
      </c>
      <c r="C68" s="14"/>
      <c r="D68" s="11"/>
      <c r="E68" s="658"/>
      <c r="F68" s="693"/>
      <c r="H68" s="6"/>
      <c r="I68" s="6"/>
      <c r="J68" s="6"/>
      <c r="K68" s="6"/>
      <c r="L68" s="6"/>
      <c r="M68" s="6"/>
      <c r="N68" s="6"/>
    </row>
    <row r="69" spans="1:28">
      <c r="A69" s="7" t="s">
        <v>229</v>
      </c>
      <c r="B69" s="12">
        <f>B68/(365*12)</f>
        <v>4130.9396822318349</v>
      </c>
      <c r="C69" s="14"/>
      <c r="D69" s="11"/>
      <c r="E69" s="692"/>
      <c r="F69" s="11"/>
      <c r="H69" s="6"/>
      <c r="I69" s="6"/>
      <c r="J69" s="6"/>
      <c r="K69" s="6"/>
      <c r="L69" s="6"/>
      <c r="M69" s="6"/>
      <c r="N69" s="6"/>
    </row>
    <row r="70" spans="1:28">
      <c r="A70" s="7"/>
      <c r="B70" s="12"/>
      <c r="C70" s="14"/>
      <c r="D70" s="11"/>
      <c r="E70" s="11"/>
      <c r="F70" s="11"/>
      <c r="H70" s="6"/>
      <c r="I70" s="6"/>
      <c r="J70" s="6"/>
      <c r="K70" s="6"/>
      <c r="L70" s="6"/>
      <c r="M70" s="6"/>
      <c r="N70" s="6"/>
    </row>
    <row r="71" spans="1:28">
      <c r="A71" s="7"/>
      <c r="B71" s="12"/>
      <c r="C71" s="14"/>
      <c r="D71" s="11"/>
      <c r="E71" s="11"/>
      <c r="F71" s="11"/>
      <c r="H71" s="6"/>
      <c r="I71" s="6"/>
      <c r="J71" s="6"/>
      <c r="K71" s="6"/>
      <c r="L71" s="6"/>
      <c r="M71" s="6"/>
      <c r="N71" s="6"/>
    </row>
    <row r="72" spans="1:28">
      <c r="A72" s="7"/>
      <c r="B72" s="12"/>
      <c r="C72" s="14"/>
      <c r="D72" s="11"/>
      <c r="E72" s="11"/>
      <c r="F72" s="11"/>
      <c r="H72" s="6"/>
      <c r="I72" s="6"/>
      <c r="J72" s="6"/>
      <c r="K72" s="6"/>
      <c r="L72" s="6"/>
      <c r="M72" s="6"/>
      <c r="N72" s="6"/>
    </row>
    <row r="73" spans="1:28">
      <c r="A73" s="664" t="s">
        <v>230</v>
      </c>
      <c r="B73" s="665"/>
      <c r="C73" s="665" t="s">
        <v>231</v>
      </c>
      <c r="D73" s="665" t="s">
        <v>374</v>
      </c>
      <c r="E73" s="670" t="s">
        <v>375</v>
      </c>
      <c r="F73" s="665" t="str">
        <f>'SolarPV Financial Analysis'!F75</f>
        <v>20X3</v>
      </c>
      <c r="G73" s="665" t="str">
        <f>'SolarPV Financial Analysis'!G75</f>
        <v>20X4</v>
      </c>
      <c r="H73" s="666" t="str">
        <f>'SolarPV Financial Analysis'!H75</f>
        <v>20X5</v>
      </c>
      <c r="I73" s="666" t="str">
        <f>'SolarPV Financial Analysis'!I75</f>
        <v>20X6</v>
      </c>
      <c r="J73" s="667" t="str">
        <f>'SolarPV Financial Analysis'!J75</f>
        <v>20X7</v>
      </c>
      <c r="K73" s="668" t="str">
        <f>'SolarPV Financial Analysis'!K75</f>
        <v>20X8</v>
      </c>
      <c r="L73" s="668" t="str">
        <f>'SolarPV Financial Analysis'!L75</f>
        <v>20X9</v>
      </c>
      <c r="M73" s="668" t="str">
        <f>'SolarPV Financial Analysis'!M75</f>
        <v>20X10</v>
      </c>
      <c r="N73" s="668" t="str">
        <f>'SolarPV Financial Analysis'!N75</f>
        <v>20X11</v>
      </c>
      <c r="O73" s="669" t="str">
        <f>'SolarPV Financial Analysis'!O75</f>
        <v>20X12</v>
      </c>
      <c r="P73" s="669" t="str">
        <f>'SolarPV Financial Analysis'!P75</f>
        <v>20X13</v>
      </c>
      <c r="Q73" s="669" t="str">
        <f>'SolarPV Financial Analysis'!Q75</f>
        <v>20X14</v>
      </c>
      <c r="R73" s="669" t="str">
        <f>'SolarPV Financial Analysis'!R75</f>
        <v>20X15</v>
      </c>
      <c r="S73" s="669" t="str">
        <f>'SolarPV Financial Analysis'!S75</f>
        <v>20X16</v>
      </c>
      <c r="T73" s="669" t="str">
        <f>'SolarPV Financial Analysis'!T75</f>
        <v>20X17</v>
      </c>
      <c r="U73" s="669" t="str">
        <f>'SolarPV Financial Analysis'!U75</f>
        <v>20X18</v>
      </c>
      <c r="V73" s="669" t="str">
        <f>'SolarPV Financial Analysis'!V75</f>
        <v>20X19</v>
      </c>
      <c r="W73" s="669" t="str">
        <f>'SolarPV Financial Analysis'!W75</f>
        <v>20X20</v>
      </c>
      <c r="X73" s="669" t="str">
        <f>'SolarPV Financial Analysis'!X75</f>
        <v>20X21</v>
      </c>
      <c r="Y73" s="669" t="str">
        <f>'SolarPV Financial Analysis'!Y75</f>
        <v>20X22</v>
      </c>
      <c r="Z73" s="669" t="str">
        <f>'SolarPV Financial Analysis'!Z75</f>
        <v>20X23</v>
      </c>
      <c r="AA73" s="669" t="str">
        <f>'SolarPV Financial Analysis'!AA75</f>
        <v>20X24</v>
      </c>
      <c r="AB73" s="669" t="str">
        <f>'SolarPV Financial Analysis'!AB75</f>
        <v>20X25</v>
      </c>
    </row>
    <row r="74" spans="1:28">
      <c r="A74" s="675"/>
      <c r="B74" s="676"/>
      <c r="C74" s="676" t="s">
        <v>257</v>
      </c>
      <c r="D74" s="676">
        <v>0</v>
      </c>
      <c r="E74" s="677">
        <v>1</v>
      </c>
      <c r="F74" s="676">
        <v>2</v>
      </c>
      <c r="G74" s="676">
        <v>3</v>
      </c>
      <c r="H74" s="677">
        <v>4</v>
      </c>
      <c r="I74" s="676">
        <v>5</v>
      </c>
      <c r="J74" s="676">
        <v>6</v>
      </c>
      <c r="K74" s="677">
        <v>7</v>
      </c>
      <c r="L74" s="676">
        <v>8</v>
      </c>
      <c r="M74" s="676">
        <v>9</v>
      </c>
      <c r="N74" s="677">
        <v>10</v>
      </c>
      <c r="O74" s="676">
        <v>11</v>
      </c>
      <c r="P74" s="676">
        <v>12</v>
      </c>
      <c r="Q74" s="677">
        <v>13</v>
      </c>
      <c r="R74" s="676">
        <v>14</v>
      </c>
      <c r="S74" s="676">
        <v>15</v>
      </c>
      <c r="T74" s="677">
        <v>16</v>
      </c>
      <c r="U74" s="676">
        <v>17</v>
      </c>
      <c r="V74" s="676">
        <v>18</v>
      </c>
      <c r="W74" s="677">
        <v>19</v>
      </c>
      <c r="X74" s="676">
        <v>20</v>
      </c>
      <c r="Y74" s="676">
        <v>21</v>
      </c>
      <c r="Z74" s="677">
        <v>22</v>
      </c>
      <c r="AA74" s="676">
        <v>23</v>
      </c>
      <c r="AB74" s="676">
        <v>24</v>
      </c>
    </row>
    <row r="75" spans="1:28">
      <c r="A75" s="5" t="s">
        <v>258</v>
      </c>
      <c r="B75" s="653">
        <f>TFCostBiodigester*B61</f>
        <v>2973302.5794230769</v>
      </c>
      <c r="C75" s="653"/>
      <c r="D75" s="653">
        <f>B75</f>
        <v>2973302.5794230769</v>
      </c>
      <c r="E75" s="654">
        <v>0</v>
      </c>
      <c r="F75" s="653">
        <v>0</v>
      </c>
      <c r="G75" s="653">
        <v>0</v>
      </c>
      <c r="H75" s="653">
        <v>0</v>
      </c>
      <c r="I75" s="653">
        <v>0</v>
      </c>
      <c r="J75" s="653">
        <v>0</v>
      </c>
      <c r="K75" s="653">
        <v>0</v>
      </c>
      <c r="L75" s="653">
        <v>0</v>
      </c>
      <c r="M75" s="653">
        <v>0</v>
      </c>
      <c r="N75" s="653">
        <v>0</v>
      </c>
      <c r="O75" s="653">
        <v>0</v>
      </c>
      <c r="P75" s="653">
        <v>0</v>
      </c>
      <c r="Q75" s="653">
        <v>0</v>
      </c>
      <c r="R75" s="653">
        <v>0</v>
      </c>
      <c r="S75" s="653">
        <v>0</v>
      </c>
      <c r="T75" s="653">
        <v>0</v>
      </c>
      <c r="U75" s="653">
        <v>0</v>
      </c>
      <c r="V75" s="653">
        <v>0</v>
      </c>
      <c r="W75" s="653">
        <v>0</v>
      </c>
      <c r="X75" s="653">
        <v>0</v>
      </c>
      <c r="Y75" s="653">
        <v>0</v>
      </c>
      <c r="Z75" s="653">
        <v>0</v>
      </c>
      <c r="AA75" s="653">
        <v>0</v>
      </c>
      <c r="AB75" s="653">
        <v>0</v>
      </c>
    </row>
    <row r="76" spans="1:28">
      <c r="A76" s="5" t="s">
        <v>259</v>
      </c>
      <c r="B76" s="653">
        <f>B75*0.05</f>
        <v>148665.12897115384</v>
      </c>
      <c r="C76" s="653"/>
      <c r="D76" s="653">
        <f>B76</f>
        <v>148665.12897115384</v>
      </c>
      <c r="E76" s="653">
        <v>216147.90176204412</v>
      </c>
      <c r="F76" s="653">
        <v>216147.90176204412</v>
      </c>
      <c r="G76" s="653">
        <v>216147.90176204412</v>
      </c>
      <c r="H76" s="653">
        <v>216147.90176204412</v>
      </c>
      <c r="I76" s="653">
        <v>216147.90176204412</v>
      </c>
      <c r="J76" s="653">
        <v>216147.90176204412</v>
      </c>
      <c r="K76" s="653">
        <v>216147.90176204412</v>
      </c>
      <c r="L76" s="653">
        <v>216147.90176204412</v>
      </c>
      <c r="M76" s="653">
        <v>216147.90176204412</v>
      </c>
      <c r="N76" s="653">
        <v>216147.90176204412</v>
      </c>
      <c r="O76" s="653">
        <v>216147.90176204412</v>
      </c>
      <c r="P76" s="653">
        <v>216147.90176204412</v>
      </c>
      <c r="Q76" s="653">
        <v>216147.90176204412</v>
      </c>
      <c r="R76" s="653">
        <v>216147.90176204412</v>
      </c>
      <c r="S76" s="653">
        <v>216147.90176204412</v>
      </c>
      <c r="T76" s="653">
        <v>216147.90176204412</v>
      </c>
      <c r="U76" s="653">
        <v>216147.90176204412</v>
      </c>
      <c r="V76" s="653">
        <v>216147.90176204412</v>
      </c>
      <c r="W76" s="653">
        <v>216147.90176204412</v>
      </c>
      <c r="X76" s="653">
        <v>216147.90176204412</v>
      </c>
      <c r="Y76" s="653">
        <v>216147.90176204412</v>
      </c>
      <c r="Z76" s="653">
        <v>216147.90176204412</v>
      </c>
      <c r="AA76" s="653">
        <v>216147.90176204412</v>
      </c>
      <c r="AB76" s="653">
        <v>216147.90176204412</v>
      </c>
    </row>
    <row r="77" spans="1:28">
      <c r="A77" s="7" t="s">
        <v>260</v>
      </c>
      <c r="B77" s="12">
        <f>SUM(B75:B76)</f>
        <v>3121967.7083942308</v>
      </c>
      <c r="C77" s="14"/>
      <c r="D77" s="14">
        <f>SUM(D75:D76)</f>
        <v>3121967.7083942308</v>
      </c>
      <c r="E77" s="14">
        <f>SUM(E75:E76)</f>
        <v>216147.90176204412</v>
      </c>
      <c r="F77" s="14">
        <f t="shared" ref="F77:AB77" si="8">SUM(F75:F76)</f>
        <v>216147.90176204412</v>
      </c>
      <c r="G77" s="14">
        <f t="shared" si="8"/>
        <v>216147.90176204412</v>
      </c>
      <c r="H77" s="14">
        <f t="shared" si="8"/>
        <v>216147.90176204412</v>
      </c>
      <c r="I77" s="14">
        <f t="shared" si="8"/>
        <v>216147.90176204412</v>
      </c>
      <c r="J77" s="14">
        <f t="shared" si="8"/>
        <v>216147.90176204412</v>
      </c>
      <c r="K77" s="14">
        <f t="shared" si="8"/>
        <v>216147.90176204412</v>
      </c>
      <c r="L77" s="14">
        <f t="shared" si="8"/>
        <v>216147.90176204412</v>
      </c>
      <c r="M77" s="14">
        <f t="shared" si="8"/>
        <v>216147.90176204412</v>
      </c>
      <c r="N77" s="14">
        <f t="shared" si="8"/>
        <v>216147.90176204412</v>
      </c>
      <c r="O77" s="14">
        <f t="shared" si="8"/>
        <v>216147.90176204412</v>
      </c>
      <c r="P77" s="14">
        <f t="shared" si="8"/>
        <v>216147.90176204412</v>
      </c>
      <c r="Q77" s="14">
        <f t="shared" si="8"/>
        <v>216147.90176204412</v>
      </c>
      <c r="R77" s="14">
        <f t="shared" si="8"/>
        <v>216147.90176204412</v>
      </c>
      <c r="S77" s="14">
        <f t="shared" si="8"/>
        <v>216147.90176204412</v>
      </c>
      <c r="T77" s="14">
        <f t="shared" si="8"/>
        <v>216147.90176204412</v>
      </c>
      <c r="U77" s="14">
        <f t="shared" si="8"/>
        <v>216147.90176204412</v>
      </c>
      <c r="V77" s="14">
        <f t="shared" si="8"/>
        <v>216147.90176204412</v>
      </c>
      <c r="W77" s="14">
        <f t="shared" si="8"/>
        <v>216147.90176204412</v>
      </c>
      <c r="X77" s="14">
        <f t="shared" si="8"/>
        <v>216147.90176204412</v>
      </c>
      <c r="Y77" s="14">
        <f t="shared" si="8"/>
        <v>216147.90176204412</v>
      </c>
      <c r="Z77" s="14">
        <f t="shared" si="8"/>
        <v>216147.90176204412</v>
      </c>
      <c r="AA77" s="14">
        <f t="shared" si="8"/>
        <v>216147.90176204412</v>
      </c>
      <c r="AB77" s="14">
        <f t="shared" si="8"/>
        <v>216147.90176204412</v>
      </c>
    </row>
    <row r="78" spans="1:28">
      <c r="A78" s="7" t="s">
        <v>261</v>
      </c>
      <c r="C78" s="14"/>
      <c r="D78" s="678">
        <f t="shared" ref="D78:AB78" si="9">(D77)/(1+SocDiscountRate)^D74</f>
        <v>3121967.7083942308</v>
      </c>
      <c r="E78" s="678">
        <f t="shared" si="9"/>
        <v>192989.19800182508</v>
      </c>
      <c r="F78" s="678">
        <f t="shared" si="9"/>
        <v>172311.78393020097</v>
      </c>
      <c r="G78" s="678">
        <f t="shared" si="9"/>
        <v>153849.80708053656</v>
      </c>
      <c r="H78" s="678">
        <f t="shared" si="9"/>
        <v>137365.8991790505</v>
      </c>
      <c r="I78" s="678">
        <f t="shared" si="9"/>
        <v>122648.12426700936</v>
      </c>
      <c r="J78" s="678">
        <f t="shared" si="9"/>
        <v>109507.25380982978</v>
      </c>
      <c r="K78" s="678">
        <f t="shared" si="9"/>
        <v>97774.333758776585</v>
      </c>
      <c r="L78" s="678">
        <f t="shared" si="9"/>
        <v>87298.512284621946</v>
      </c>
      <c r="M78" s="660">
        <f t="shared" si="9"/>
        <v>77945.100254126737</v>
      </c>
      <c r="N78" s="660">
        <f t="shared" si="9"/>
        <v>69593.839512613151</v>
      </c>
      <c r="O78" s="660">
        <f t="shared" si="9"/>
        <v>62137.356707690298</v>
      </c>
      <c r="P78" s="660">
        <f t="shared" si="9"/>
        <v>55479.782774723484</v>
      </c>
      <c r="Q78" s="660">
        <f t="shared" si="9"/>
        <v>49535.520334574532</v>
      </c>
      <c r="R78" s="660">
        <f t="shared" si="9"/>
        <v>44228.143155870115</v>
      </c>
      <c r="S78" s="660">
        <f t="shared" si="9"/>
        <v>39489.413532026891</v>
      </c>
      <c r="T78" s="660">
        <f t="shared" si="9"/>
        <v>35258.404939309716</v>
      </c>
      <c r="U78" s="660">
        <f t="shared" si="9"/>
        <v>31480.718695812247</v>
      </c>
      <c r="V78" s="660">
        <f t="shared" si="9"/>
        <v>28107.784549832359</v>
      </c>
      <c r="W78" s="660">
        <f t="shared" si="9"/>
        <v>25096.23620520746</v>
      </c>
      <c r="X78" s="660">
        <f t="shared" si="9"/>
        <v>22407.353754649521</v>
      </c>
      <c r="Y78" s="660">
        <f t="shared" si="9"/>
        <v>20006.565852365642</v>
      </c>
      <c r="Z78" s="660">
        <f t="shared" si="9"/>
        <v>17863.005225326462</v>
      </c>
      <c r="AA78" s="660">
        <f t="shared" si="9"/>
        <v>15949.111808327199</v>
      </c>
      <c r="AB78" s="660">
        <f t="shared" si="9"/>
        <v>14240.278400292142</v>
      </c>
    </row>
    <row r="79" spans="1:28">
      <c r="A79" s="7" t="s">
        <v>262</v>
      </c>
      <c r="B79" s="12"/>
      <c r="C79" s="14"/>
      <c r="D79" s="678">
        <f t="shared" ref="D79:AB79" si="10">(D77)/(1+EscoDiscountRate)^D74</f>
        <v>3121967.7083942308</v>
      </c>
      <c r="E79" s="678">
        <f t="shared" si="10"/>
        <v>180123.25146837012</v>
      </c>
      <c r="F79" s="678">
        <f t="shared" si="10"/>
        <v>150102.70955697508</v>
      </c>
      <c r="G79" s="678">
        <f t="shared" si="10"/>
        <v>125085.59129747923</v>
      </c>
      <c r="H79" s="678">
        <f t="shared" si="10"/>
        <v>104237.99274789936</v>
      </c>
      <c r="I79" s="678">
        <f t="shared" si="10"/>
        <v>86864.99395658281</v>
      </c>
      <c r="J79" s="678">
        <f t="shared" si="10"/>
        <v>72387.494963819001</v>
      </c>
      <c r="K79" s="678">
        <f t="shared" si="10"/>
        <v>60322.912469849172</v>
      </c>
      <c r="L79" s="678">
        <f t="shared" si="10"/>
        <v>50269.093724874314</v>
      </c>
      <c r="M79" s="678">
        <f t="shared" si="10"/>
        <v>41890.911437395262</v>
      </c>
      <c r="N79" s="678">
        <f t="shared" si="10"/>
        <v>34909.092864496051</v>
      </c>
      <c r="O79" s="678">
        <f t="shared" si="10"/>
        <v>29090.910720413376</v>
      </c>
      <c r="P79" s="678">
        <f t="shared" si="10"/>
        <v>24242.425600344483</v>
      </c>
      <c r="Q79" s="678">
        <f t="shared" si="10"/>
        <v>20202.0213336204</v>
      </c>
      <c r="R79" s="678">
        <f t="shared" si="10"/>
        <v>16835.017778017002</v>
      </c>
      <c r="S79" s="678">
        <f t="shared" si="10"/>
        <v>14029.181481680835</v>
      </c>
      <c r="T79" s="678">
        <f t="shared" si="10"/>
        <v>11690.984568067364</v>
      </c>
      <c r="U79" s="678">
        <f t="shared" si="10"/>
        <v>9742.4871400561369</v>
      </c>
      <c r="V79" s="678">
        <f t="shared" si="10"/>
        <v>8118.7392833801141</v>
      </c>
      <c r="W79" s="678">
        <f t="shared" si="10"/>
        <v>6765.616069483428</v>
      </c>
      <c r="X79" s="678">
        <f t="shared" si="10"/>
        <v>5638.0133912361898</v>
      </c>
      <c r="Y79" s="678">
        <f t="shared" si="10"/>
        <v>4698.344492696825</v>
      </c>
      <c r="Z79" s="678">
        <f t="shared" si="10"/>
        <v>3915.2870772473548</v>
      </c>
      <c r="AA79" s="678">
        <f t="shared" si="10"/>
        <v>3262.7392310394625</v>
      </c>
      <c r="AB79" s="678">
        <f t="shared" si="10"/>
        <v>2718.949359199552</v>
      </c>
    </row>
    <row r="80" spans="1:28">
      <c r="A80" s="7"/>
      <c r="B80" s="12"/>
      <c r="C80" s="14"/>
      <c r="D80" s="14"/>
      <c r="E80" s="14"/>
      <c r="F80" s="14"/>
      <c r="G80" s="14"/>
      <c r="H80" s="14"/>
      <c r="I80" s="14"/>
      <c r="J80" s="14"/>
      <c r="K80" s="14"/>
      <c r="L80" s="14"/>
      <c r="M80" s="14"/>
      <c r="N80" s="14"/>
      <c r="O80" s="14"/>
      <c r="P80" s="14"/>
      <c r="Q80" s="14"/>
      <c r="R80" s="14"/>
      <c r="S80" s="14"/>
      <c r="T80" s="14"/>
      <c r="U80" s="14"/>
      <c r="V80" s="14"/>
      <c r="W80" s="14"/>
      <c r="X80" s="14"/>
      <c r="Y80" s="14"/>
      <c r="Z80" s="14"/>
      <c r="AA80" s="14"/>
      <c r="AB80" s="14"/>
    </row>
    <row r="81" spans="1:30">
      <c r="A81" s="684" t="s">
        <v>263</v>
      </c>
      <c r="B81" s="685"/>
      <c r="C81" s="686"/>
      <c r="D81" s="686" t="s">
        <v>374</v>
      </c>
      <c r="E81" s="686" t="s">
        <v>375</v>
      </c>
      <c r="F81" s="686" t="s">
        <v>376</v>
      </c>
      <c r="G81" s="686" t="s">
        <v>377</v>
      </c>
      <c r="H81" s="686" t="s">
        <v>378</v>
      </c>
      <c r="I81" s="686" t="s">
        <v>379</v>
      </c>
      <c r="J81" s="686" t="s">
        <v>380</v>
      </c>
      <c r="K81" s="686" t="s">
        <v>381</v>
      </c>
      <c r="L81" s="686" t="s">
        <v>382</v>
      </c>
      <c r="M81" s="686" t="s">
        <v>383</v>
      </c>
      <c r="N81" s="686" t="s">
        <v>384</v>
      </c>
      <c r="O81" s="686" t="s">
        <v>385</v>
      </c>
      <c r="P81" s="686" t="s">
        <v>386</v>
      </c>
      <c r="Q81" s="686" t="s">
        <v>387</v>
      </c>
      <c r="R81" s="686" t="s">
        <v>388</v>
      </c>
      <c r="S81" s="686" t="s">
        <v>389</v>
      </c>
      <c r="T81" s="686" t="s">
        <v>390</v>
      </c>
      <c r="U81" s="686" t="s">
        <v>391</v>
      </c>
      <c r="V81" s="686" t="s">
        <v>392</v>
      </c>
      <c r="W81" s="686" t="s">
        <v>393</v>
      </c>
      <c r="X81" s="686" t="s">
        <v>394</v>
      </c>
      <c r="Y81" s="686" t="s">
        <v>395</v>
      </c>
      <c r="Z81" s="686" t="s">
        <v>396</v>
      </c>
      <c r="AA81" s="686" t="s">
        <v>397</v>
      </c>
      <c r="AB81" s="686" t="s">
        <v>398</v>
      </c>
    </row>
    <row r="82" spans="1:30">
      <c r="A82" s="7" t="s">
        <v>264</v>
      </c>
      <c r="B82" s="12">
        <f>E12*AvePrice_per_cubic_meter_of_methane*ValUncertainty_and_Market_Adjustment</f>
        <v>252858.72983801426</v>
      </c>
      <c r="C82" s="14"/>
      <c r="D82" s="14">
        <f>B82</f>
        <v>252858.72983801426</v>
      </c>
      <c r="E82" s="848">
        <v>367687.98734276387</v>
      </c>
      <c r="F82" s="848">
        <v>367687.98734276387</v>
      </c>
      <c r="G82" s="848">
        <v>367687.98734276387</v>
      </c>
      <c r="H82" s="848">
        <v>367687.98734276387</v>
      </c>
      <c r="I82" s="848">
        <v>367687.98734276387</v>
      </c>
      <c r="J82" s="848">
        <v>367687.98734276387</v>
      </c>
      <c r="K82" s="848">
        <v>367687.98734276387</v>
      </c>
      <c r="L82" s="848">
        <v>367687.98734276387</v>
      </c>
      <c r="M82" s="848">
        <v>367687.98734276387</v>
      </c>
      <c r="N82" s="848">
        <v>367687.98734276387</v>
      </c>
      <c r="O82" s="848">
        <v>367687.98734276387</v>
      </c>
      <c r="P82" s="848">
        <v>367687.98734276387</v>
      </c>
      <c r="Q82" s="848">
        <v>367687.98734276387</v>
      </c>
      <c r="R82" s="848">
        <v>367687.98734276387</v>
      </c>
      <c r="S82" s="848">
        <v>367687.98734276387</v>
      </c>
      <c r="T82" s="848">
        <v>367687.98734276387</v>
      </c>
      <c r="U82" s="848">
        <v>367687.98734276387</v>
      </c>
      <c r="V82" s="848">
        <v>367687.98734276387</v>
      </c>
      <c r="W82" s="848">
        <v>367687.98734276387</v>
      </c>
      <c r="X82" s="848">
        <v>367687.98734276387</v>
      </c>
      <c r="Y82" s="848">
        <v>367687.98734276387</v>
      </c>
      <c r="Z82" s="848">
        <v>367687.98734276387</v>
      </c>
      <c r="AA82" s="848">
        <v>367687.98734276387</v>
      </c>
      <c r="AB82" s="848">
        <v>367687.98734276387</v>
      </c>
    </row>
    <row r="83" spans="1:30">
      <c r="A83" s="7" t="s">
        <v>265</v>
      </c>
      <c r="B83" s="12">
        <f>B66*AvPrice_of_Urea*ValUncertainty_and_Market_Adjustment</f>
        <v>64092.314545655892</v>
      </c>
      <c r="C83" s="14"/>
      <c r="D83" s="14">
        <f>B83</f>
        <v>64092.314545655892</v>
      </c>
      <c r="E83" s="848">
        <v>93185.398647214039</v>
      </c>
      <c r="F83" s="848">
        <v>93185.398647214039</v>
      </c>
      <c r="G83" s="848">
        <v>93185.398647214039</v>
      </c>
      <c r="H83" s="848">
        <v>93185.398647214039</v>
      </c>
      <c r="I83" s="848">
        <v>93185.398647214039</v>
      </c>
      <c r="J83" s="848">
        <v>93185.398647214039</v>
      </c>
      <c r="K83" s="848">
        <v>93185.398647214039</v>
      </c>
      <c r="L83" s="848">
        <v>93185.398647214039</v>
      </c>
      <c r="M83" s="848">
        <v>93185.398647214039</v>
      </c>
      <c r="N83" s="848">
        <v>93185.398647214039</v>
      </c>
      <c r="O83" s="848">
        <v>93185.398647214039</v>
      </c>
      <c r="P83" s="848">
        <v>93185.398647214039</v>
      </c>
      <c r="Q83" s="848">
        <v>93185.398647214039</v>
      </c>
      <c r="R83" s="848">
        <v>93185.398647214039</v>
      </c>
      <c r="S83" s="848">
        <v>93185.398647214039</v>
      </c>
      <c r="T83" s="848">
        <v>93185.398647214039</v>
      </c>
      <c r="U83" s="848">
        <v>93185.398647214039</v>
      </c>
      <c r="V83" s="848">
        <v>93185.398647214039</v>
      </c>
      <c r="W83" s="848">
        <v>93185.398647214039</v>
      </c>
      <c r="X83" s="848">
        <v>93185.398647214039</v>
      </c>
      <c r="Y83" s="848">
        <v>93185.398647214039</v>
      </c>
      <c r="Z83" s="848">
        <v>93185.398647214039</v>
      </c>
      <c r="AA83" s="848">
        <v>93185.398647214039</v>
      </c>
      <c r="AB83" s="848">
        <v>93185.398647214039</v>
      </c>
    </row>
    <row r="84" spans="1:30">
      <c r="A84" s="7" t="s">
        <v>266</v>
      </c>
      <c r="B84" s="12">
        <f>SUM(B82:B83)</f>
        <v>316951.04438367015</v>
      </c>
      <c r="C84" s="14"/>
      <c r="D84" s="14">
        <f>SUM(D82:D83)</f>
        <v>316951.04438367015</v>
      </c>
      <c r="E84" s="14">
        <f t="shared" ref="E84:AB84" si="11">SUM(E82:E83)</f>
        <v>460873.38598997792</v>
      </c>
      <c r="F84" s="14">
        <f t="shared" si="11"/>
        <v>460873.38598997792</v>
      </c>
      <c r="G84" s="14">
        <f t="shared" si="11"/>
        <v>460873.38598997792</v>
      </c>
      <c r="H84" s="14">
        <f t="shared" si="11"/>
        <v>460873.38598997792</v>
      </c>
      <c r="I84" s="14">
        <f t="shared" si="11"/>
        <v>460873.38598997792</v>
      </c>
      <c r="J84" s="14">
        <f t="shared" si="11"/>
        <v>460873.38598997792</v>
      </c>
      <c r="K84" s="14">
        <f t="shared" si="11"/>
        <v>460873.38598997792</v>
      </c>
      <c r="L84" s="14">
        <f t="shared" si="11"/>
        <v>460873.38598997792</v>
      </c>
      <c r="M84" s="14">
        <f t="shared" si="11"/>
        <v>460873.38598997792</v>
      </c>
      <c r="N84" s="14">
        <f t="shared" si="11"/>
        <v>460873.38598997792</v>
      </c>
      <c r="O84" s="14">
        <f t="shared" si="11"/>
        <v>460873.38598997792</v>
      </c>
      <c r="P84" s="14">
        <f t="shared" si="11"/>
        <v>460873.38598997792</v>
      </c>
      <c r="Q84" s="14">
        <f t="shared" si="11"/>
        <v>460873.38598997792</v>
      </c>
      <c r="R84" s="14">
        <f t="shared" si="11"/>
        <v>460873.38598997792</v>
      </c>
      <c r="S84" s="14">
        <f t="shared" si="11"/>
        <v>460873.38598997792</v>
      </c>
      <c r="T84" s="14">
        <f t="shared" si="11"/>
        <v>460873.38598997792</v>
      </c>
      <c r="U84" s="14">
        <f t="shared" si="11"/>
        <v>460873.38598997792</v>
      </c>
      <c r="V84" s="14">
        <f t="shared" si="11"/>
        <v>460873.38598997792</v>
      </c>
      <c r="W84" s="14">
        <f t="shared" si="11"/>
        <v>460873.38598997792</v>
      </c>
      <c r="X84" s="14">
        <f t="shared" si="11"/>
        <v>460873.38598997792</v>
      </c>
      <c r="Y84" s="14">
        <f t="shared" si="11"/>
        <v>460873.38598997792</v>
      </c>
      <c r="Z84" s="14">
        <f t="shared" si="11"/>
        <v>460873.38598997792</v>
      </c>
      <c r="AA84" s="14">
        <f t="shared" si="11"/>
        <v>460873.38598997792</v>
      </c>
      <c r="AB84" s="14">
        <f t="shared" si="11"/>
        <v>460873.38598997792</v>
      </c>
    </row>
    <row r="85" spans="1:30">
      <c r="A85" s="7" t="s">
        <v>267</v>
      </c>
      <c r="B85" s="12"/>
      <c r="C85" s="14"/>
      <c r="D85" s="678">
        <f t="shared" ref="D85:AB85" si="12">(D84)/(1+SocDiscountRate)^D74</f>
        <v>316951.04438367015</v>
      </c>
      <c r="E85" s="678">
        <f t="shared" si="12"/>
        <v>411494.09463390883</v>
      </c>
      <c r="F85" s="678">
        <f t="shared" si="12"/>
        <v>367405.44163741858</v>
      </c>
      <c r="G85" s="678">
        <f t="shared" si="12"/>
        <v>328040.57289055223</v>
      </c>
      <c r="H85" s="678">
        <f t="shared" si="12"/>
        <v>292893.36865227879</v>
      </c>
      <c r="I85" s="678">
        <f t="shared" si="12"/>
        <v>261511.93629667748</v>
      </c>
      <c r="J85" s="678">
        <f t="shared" si="12"/>
        <v>233492.8002648906</v>
      </c>
      <c r="K85" s="678">
        <f t="shared" si="12"/>
        <v>208475.71452222375</v>
      </c>
      <c r="L85" s="678">
        <f t="shared" si="12"/>
        <v>186139.03082341404</v>
      </c>
      <c r="M85" s="678">
        <f t="shared" si="12"/>
        <v>166195.5632351911</v>
      </c>
      <c r="N85" s="678">
        <f t="shared" si="12"/>
        <v>148388.89574570634</v>
      </c>
      <c r="O85" s="678">
        <f t="shared" si="12"/>
        <v>132490.08548723775</v>
      </c>
      <c r="P85" s="678">
        <f t="shared" si="12"/>
        <v>118294.71918503373</v>
      </c>
      <c r="Q85" s="678">
        <f t="shared" si="12"/>
        <v>105620.28498663724</v>
      </c>
      <c r="R85" s="678">
        <f t="shared" si="12"/>
        <v>94303.825880926102</v>
      </c>
      <c r="S85" s="678">
        <f t="shared" si="12"/>
        <v>84199.844536541161</v>
      </c>
      <c r="T85" s="678">
        <f t="shared" si="12"/>
        <v>75178.432621911736</v>
      </c>
      <c r="U85" s="678">
        <f t="shared" si="12"/>
        <v>67123.600555278332</v>
      </c>
      <c r="V85" s="678">
        <f t="shared" si="12"/>
        <v>59931.786210069935</v>
      </c>
      <c r="W85" s="678">
        <f t="shared" si="12"/>
        <v>53510.52340184815</v>
      </c>
      <c r="X85" s="678">
        <f t="shared" si="12"/>
        <v>47777.253037364426</v>
      </c>
      <c r="Y85" s="678">
        <f t="shared" si="12"/>
        <v>42658.261640503944</v>
      </c>
      <c r="Z85" s="678">
        <f t="shared" si="12"/>
        <v>38087.733607592803</v>
      </c>
      <c r="AA85" s="678">
        <f t="shared" si="12"/>
        <v>34006.905006779292</v>
      </c>
      <c r="AB85" s="678">
        <f t="shared" si="12"/>
        <v>30363.308041767221</v>
      </c>
    </row>
    <row r="86" spans="1:30">
      <c r="A86" s="7" t="s">
        <v>268</v>
      </c>
      <c r="B86" s="12"/>
      <c r="C86" s="14"/>
      <c r="D86" s="678">
        <f t="shared" ref="D86:AB86" si="13">(D84)/(1+EscoDiscountRate)^D74</f>
        <v>316951.04438367015</v>
      </c>
      <c r="E86" s="678">
        <f t="shared" si="13"/>
        <v>384061.15499164828</v>
      </c>
      <c r="F86" s="678">
        <f t="shared" si="13"/>
        <v>320050.96249304025</v>
      </c>
      <c r="G86" s="678">
        <f t="shared" si="13"/>
        <v>266709.13541086687</v>
      </c>
      <c r="H86" s="678">
        <f t="shared" si="13"/>
        <v>222257.61284238906</v>
      </c>
      <c r="I86" s="678">
        <f t="shared" si="13"/>
        <v>185214.67736865755</v>
      </c>
      <c r="J86" s="678">
        <f t="shared" si="13"/>
        <v>154345.5644738813</v>
      </c>
      <c r="K86" s="678">
        <f t="shared" si="13"/>
        <v>128621.30372823442</v>
      </c>
      <c r="L86" s="678">
        <f t="shared" si="13"/>
        <v>107184.41977352869</v>
      </c>
      <c r="M86" s="678">
        <f t="shared" si="13"/>
        <v>89320.349811273903</v>
      </c>
      <c r="N86" s="678">
        <f t="shared" si="13"/>
        <v>74433.624842728255</v>
      </c>
      <c r="O86" s="678">
        <f t="shared" si="13"/>
        <v>62028.020702273541</v>
      </c>
      <c r="P86" s="678">
        <f t="shared" si="13"/>
        <v>51690.017251894627</v>
      </c>
      <c r="Q86" s="678">
        <f t="shared" si="13"/>
        <v>43075.014376578853</v>
      </c>
      <c r="R86" s="678">
        <f t="shared" si="13"/>
        <v>35895.845313815713</v>
      </c>
      <c r="S86" s="678">
        <f t="shared" si="13"/>
        <v>29913.204428179757</v>
      </c>
      <c r="T86" s="678">
        <f t="shared" si="13"/>
        <v>24927.67035681647</v>
      </c>
      <c r="U86" s="678">
        <f t="shared" si="13"/>
        <v>20773.058630680393</v>
      </c>
      <c r="V86" s="678">
        <f t="shared" si="13"/>
        <v>17310.882192233661</v>
      </c>
      <c r="W86" s="678">
        <f t="shared" si="13"/>
        <v>14425.735160194716</v>
      </c>
      <c r="X86" s="678">
        <f t="shared" si="13"/>
        <v>12021.445966828929</v>
      </c>
      <c r="Y86" s="678">
        <f t="shared" si="13"/>
        <v>10017.871639024108</v>
      </c>
      <c r="Z86" s="678">
        <f t="shared" si="13"/>
        <v>8348.2263658534248</v>
      </c>
      <c r="AA86" s="678">
        <f t="shared" si="13"/>
        <v>6956.855304877854</v>
      </c>
      <c r="AB86" s="678">
        <f t="shared" si="13"/>
        <v>5797.379420731545</v>
      </c>
    </row>
    <row r="87" spans="1:30">
      <c r="A87" s="7"/>
      <c r="B87" s="12"/>
      <c r="C87" s="14"/>
      <c r="D87" s="678"/>
      <c r="E87" s="678"/>
      <c r="F87" s="678"/>
      <c r="G87" s="678"/>
      <c r="H87" s="678"/>
      <c r="I87" s="678"/>
      <c r="J87" s="678"/>
      <c r="K87" s="678"/>
      <c r="L87" s="678"/>
      <c r="M87" s="678"/>
      <c r="N87" s="678"/>
      <c r="O87" s="678"/>
      <c r="P87" s="678"/>
      <c r="Q87" s="678"/>
      <c r="R87" s="678"/>
      <c r="S87" s="678"/>
      <c r="T87" s="678"/>
      <c r="U87" s="678"/>
      <c r="V87" s="678"/>
      <c r="W87" s="678"/>
      <c r="X87" s="678"/>
      <c r="Y87" s="678"/>
      <c r="Z87" s="678"/>
      <c r="AA87" s="678"/>
      <c r="AB87" s="678"/>
    </row>
    <row r="88" spans="1:30" s="700" customFormat="1">
      <c r="A88" s="698" t="s">
        <v>269</v>
      </c>
      <c r="B88" s="696"/>
      <c r="C88" s="697"/>
      <c r="D88" s="699">
        <f t="shared" ref="D88:AB88" si="14">D84-D77</f>
        <v>-2805016.6640105606</v>
      </c>
      <c r="E88" s="699">
        <f t="shared" si="14"/>
        <v>244725.4842279338</v>
      </c>
      <c r="F88" s="699">
        <f t="shared" si="14"/>
        <v>244725.4842279338</v>
      </c>
      <c r="G88" s="699">
        <f t="shared" si="14"/>
        <v>244725.4842279338</v>
      </c>
      <c r="H88" s="699">
        <f t="shared" si="14"/>
        <v>244725.4842279338</v>
      </c>
      <c r="I88" s="699">
        <f t="shared" si="14"/>
        <v>244725.4842279338</v>
      </c>
      <c r="J88" s="699">
        <f t="shared" si="14"/>
        <v>244725.4842279338</v>
      </c>
      <c r="K88" s="699">
        <f t="shared" si="14"/>
        <v>244725.4842279338</v>
      </c>
      <c r="L88" s="699">
        <f t="shared" si="14"/>
        <v>244725.4842279338</v>
      </c>
      <c r="M88" s="699">
        <f t="shared" si="14"/>
        <v>244725.4842279338</v>
      </c>
      <c r="N88" s="699">
        <f t="shared" si="14"/>
        <v>244725.4842279338</v>
      </c>
      <c r="O88" s="699">
        <f t="shared" si="14"/>
        <v>244725.4842279338</v>
      </c>
      <c r="P88" s="699">
        <f t="shared" si="14"/>
        <v>244725.4842279338</v>
      </c>
      <c r="Q88" s="699">
        <f t="shared" si="14"/>
        <v>244725.4842279338</v>
      </c>
      <c r="R88" s="699">
        <f t="shared" si="14"/>
        <v>244725.4842279338</v>
      </c>
      <c r="S88" s="699">
        <f t="shared" si="14"/>
        <v>244725.4842279338</v>
      </c>
      <c r="T88" s="699">
        <f t="shared" si="14"/>
        <v>244725.4842279338</v>
      </c>
      <c r="U88" s="699">
        <f t="shared" si="14"/>
        <v>244725.4842279338</v>
      </c>
      <c r="V88" s="699">
        <f t="shared" si="14"/>
        <v>244725.4842279338</v>
      </c>
      <c r="W88" s="699">
        <f t="shared" si="14"/>
        <v>244725.4842279338</v>
      </c>
      <c r="X88" s="699">
        <f t="shared" si="14"/>
        <v>244725.4842279338</v>
      </c>
      <c r="Y88" s="699">
        <f t="shared" si="14"/>
        <v>244725.4842279338</v>
      </c>
      <c r="Z88" s="699">
        <f t="shared" si="14"/>
        <v>244725.4842279338</v>
      </c>
      <c r="AA88" s="699">
        <f t="shared" si="14"/>
        <v>244725.4842279338</v>
      </c>
      <c r="AB88" s="699">
        <f t="shared" si="14"/>
        <v>244725.4842279338</v>
      </c>
    </row>
    <row r="89" spans="1:30">
      <c r="A89" s="7"/>
      <c r="B89" s="12"/>
      <c r="C89" s="14"/>
      <c r="D89" s="14"/>
      <c r="E89" s="14"/>
      <c r="F89" s="14"/>
      <c r="G89" s="14"/>
      <c r="H89" s="14"/>
      <c r="I89" s="14"/>
      <c r="J89" s="14"/>
      <c r="K89" s="14"/>
      <c r="L89" s="14"/>
      <c r="M89" s="14"/>
      <c r="N89" s="14"/>
      <c r="O89" s="14"/>
      <c r="P89" s="14"/>
      <c r="Q89" s="14"/>
      <c r="R89" s="14"/>
      <c r="S89" s="14"/>
      <c r="T89" s="14"/>
      <c r="U89" s="14"/>
      <c r="V89" s="14"/>
      <c r="W89" s="14"/>
      <c r="X89" s="14"/>
      <c r="Y89" s="14"/>
      <c r="Z89" s="14"/>
      <c r="AA89" s="14"/>
      <c r="AB89" s="14"/>
    </row>
    <row r="90" spans="1:30">
      <c r="A90" s="7"/>
      <c r="B90" s="12"/>
      <c r="C90" s="14"/>
      <c r="D90" s="14"/>
      <c r="E90" s="14"/>
      <c r="F90" s="14"/>
      <c r="G90" s="14"/>
      <c r="H90" s="14"/>
      <c r="I90" s="14"/>
      <c r="J90" s="14"/>
      <c r="K90" s="14"/>
      <c r="L90" s="14"/>
      <c r="M90" s="14"/>
      <c r="N90" s="14"/>
      <c r="O90" s="14"/>
      <c r="P90" s="14"/>
      <c r="Q90" s="14"/>
      <c r="R90" s="14"/>
      <c r="S90" s="14"/>
      <c r="T90" s="14"/>
      <c r="U90" s="14"/>
      <c r="V90" s="14"/>
      <c r="W90" s="14"/>
      <c r="X90" s="14"/>
      <c r="Y90" s="14"/>
      <c r="Z90" s="14"/>
      <c r="AA90" s="14"/>
      <c r="AB90" s="14"/>
    </row>
    <row r="91" spans="1:30">
      <c r="A91" s="664" t="s">
        <v>270</v>
      </c>
      <c r="B91" s="665"/>
      <c r="C91" s="665"/>
      <c r="D91" s="665" t="s">
        <v>374</v>
      </c>
      <c r="E91" s="670" t="s">
        <v>375</v>
      </c>
      <c r="F91" s="665" t="s">
        <v>376</v>
      </c>
      <c r="G91" s="665" t="s">
        <v>377</v>
      </c>
      <c r="H91" s="666" t="s">
        <v>378</v>
      </c>
      <c r="I91" s="666" t="s">
        <v>379</v>
      </c>
      <c r="J91" s="667" t="s">
        <v>380</v>
      </c>
      <c r="K91" s="668" t="s">
        <v>381</v>
      </c>
      <c r="L91" s="668" t="s">
        <v>382</v>
      </c>
      <c r="M91" s="668" t="s">
        <v>383</v>
      </c>
      <c r="N91" s="668" t="s">
        <v>384</v>
      </c>
      <c r="O91" s="669" t="s">
        <v>385</v>
      </c>
      <c r="P91" s="669" t="s">
        <v>386</v>
      </c>
      <c r="Q91" s="669" t="s">
        <v>387</v>
      </c>
      <c r="R91" s="669" t="s">
        <v>388</v>
      </c>
      <c r="S91" s="669" t="s">
        <v>389</v>
      </c>
      <c r="T91" s="669" t="s">
        <v>390</v>
      </c>
      <c r="U91" s="669" t="s">
        <v>391</v>
      </c>
      <c r="V91" s="669" t="s">
        <v>392</v>
      </c>
      <c r="W91" s="669" t="s">
        <v>393</v>
      </c>
      <c r="X91" s="669" t="s">
        <v>394</v>
      </c>
      <c r="Y91" s="669" t="s">
        <v>395</v>
      </c>
      <c r="Z91" s="669" t="s">
        <v>396</v>
      </c>
      <c r="AA91" s="669" t="s">
        <v>397</v>
      </c>
      <c r="AB91" s="669" t="s">
        <v>398</v>
      </c>
    </row>
    <row r="92" spans="1:30">
      <c r="A92" s="7" t="s">
        <v>271</v>
      </c>
      <c r="B92" s="12">
        <f>(B64)*AvePrice_per_liter_of_Kerosene*ValUncertainty_and_Market_Adjustment_for_Kerosene*ValQuality_and_Standards_Agjustment</f>
        <v>532472.21039623674</v>
      </c>
      <c r="C92" s="14"/>
      <c r="D92" s="848">
        <f>B92</f>
        <v>532472.21039623674</v>
      </c>
      <c r="E92" s="848">
        <v>774174.49418199633</v>
      </c>
      <c r="F92" s="848">
        <v>774174.49418199633</v>
      </c>
      <c r="G92" s="848">
        <v>774174.49418199633</v>
      </c>
      <c r="H92" s="848">
        <v>774174.49418199633</v>
      </c>
      <c r="I92" s="848">
        <v>774174.49418199633</v>
      </c>
      <c r="J92" s="848">
        <v>774174.49418199633</v>
      </c>
      <c r="K92" s="848">
        <v>774174.49418199633</v>
      </c>
      <c r="L92" s="848">
        <v>774174.49418199633</v>
      </c>
      <c r="M92" s="848">
        <v>774174.49418199633</v>
      </c>
      <c r="N92" s="848">
        <v>774174.49418199633</v>
      </c>
      <c r="O92" s="848">
        <v>774174.49418199633</v>
      </c>
      <c r="P92" s="848">
        <v>774174.49418199633</v>
      </c>
      <c r="Q92" s="848">
        <v>774174.49418199633</v>
      </c>
      <c r="R92" s="848">
        <v>774174.49418199633</v>
      </c>
      <c r="S92" s="848">
        <v>774174.49418199633</v>
      </c>
      <c r="T92" s="848">
        <v>774174.49418199633</v>
      </c>
      <c r="U92" s="848">
        <v>774174.49418199633</v>
      </c>
      <c r="V92" s="848">
        <v>774174.49418199633</v>
      </c>
      <c r="W92" s="848">
        <v>774174.49418199633</v>
      </c>
      <c r="X92" s="848">
        <v>774174.49418199633</v>
      </c>
      <c r="Y92" s="848">
        <v>774174.49418199633</v>
      </c>
      <c r="Z92" s="848">
        <v>774174.49418199633</v>
      </c>
      <c r="AA92" s="848">
        <v>774174.49418199633</v>
      </c>
      <c r="AB92" s="848">
        <v>774174.49418199633</v>
      </c>
      <c r="AC92" s="846"/>
      <c r="AD92" s="846"/>
    </row>
    <row r="93" spans="1:30">
      <c r="A93" s="7" t="s">
        <v>272</v>
      </c>
      <c r="B93" s="12">
        <f>(B65)*AvPriceWood_charcoal*ValQuality_and_Standards_Agjustment*ValUncertainty_and_Market_Adjustment_for_Kerosene</f>
        <v>70908.260619982364</v>
      </c>
      <c r="C93" s="14"/>
      <c r="D93" s="848">
        <f>B93</f>
        <v>70908.260619982364</v>
      </c>
      <c r="E93" s="848">
        <v>103095.27093996113</v>
      </c>
      <c r="F93" s="848">
        <v>103095.27093996113</v>
      </c>
      <c r="G93" s="848">
        <v>103095.27093996113</v>
      </c>
      <c r="H93" s="848">
        <v>103095.27093996113</v>
      </c>
      <c r="I93" s="848">
        <v>103095.27093996113</v>
      </c>
      <c r="J93" s="848">
        <v>103095.27093996113</v>
      </c>
      <c r="K93" s="848">
        <v>103095.27093996113</v>
      </c>
      <c r="L93" s="848">
        <v>103095.27093996113</v>
      </c>
      <c r="M93" s="848">
        <v>103095.27093996113</v>
      </c>
      <c r="N93" s="848">
        <v>103095.27093996113</v>
      </c>
      <c r="O93" s="848">
        <v>103095.27093996113</v>
      </c>
      <c r="P93" s="848">
        <v>103095.27093996113</v>
      </c>
      <c r="Q93" s="848">
        <v>103095.27093996113</v>
      </c>
      <c r="R93" s="848">
        <v>103095.27093996113</v>
      </c>
      <c r="S93" s="848">
        <v>103095.27093996113</v>
      </c>
      <c r="T93" s="848">
        <v>103095.27093996113</v>
      </c>
      <c r="U93" s="848">
        <v>103095.27093996113</v>
      </c>
      <c r="V93" s="848">
        <v>103095.27093996113</v>
      </c>
      <c r="W93" s="848">
        <v>103095.27093996113</v>
      </c>
      <c r="X93" s="848">
        <v>103095.27093996113</v>
      </c>
      <c r="Y93" s="848">
        <v>103095.27093996113</v>
      </c>
      <c r="Z93" s="848">
        <v>103095.27093996113</v>
      </c>
      <c r="AA93" s="848">
        <v>103095.27093996113</v>
      </c>
      <c r="AB93" s="848">
        <v>103095.27093996113</v>
      </c>
      <c r="AC93" s="846"/>
      <c r="AD93" s="846"/>
    </row>
    <row r="94" spans="1:30">
      <c r="A94" s="7" t="s">
        <v>273</v>
      </c>
      <c r="B94" s="12">
        <f>B83</f>
        <v>64092.314545655892</v>
      </c>
      <c r="C94" s="14"/>
      <c r="D94" s="848">
        <f>B94</f>
        <v>64092.314545655892</v>
      </c>
      <c r="E94" s="848">
        <v>93185.398647214039</v>
      </c>
      <c r="F94" s="848">
        <v>93185.398647214039</v>
      </c>
      <c r="G94" s="848">
        <v>93185.398647214039</v>
      </c>
      <c r="H94" s="848">
        <v>93185.398647214039</v>
      </c>
      <c r="I94" s="848">
        <v>93185.398647214039</v>
      </c>
      <c r="J94" s="848">
        <v>93185.398647214039</v>
      </c>
      <c r="K94" s="848">
        <v>93185.398647214039</v>
      </c>
      <c r="L94" s="848">
        <v>93185.398647214039</v>
      </c>
      <c r="M94" s="848">
        <v>93185.398647214039</v>
      </c>
      <c r="N94" s="848">
        <v>93185.398647214039</v>
      </c>
      <c r="O94" s="848">
        <v>93185.398647214039</v>
      </c>
      <c r="P94" s="848">
        <v>93185.398647214039</v>
      </c>
      <c r="Q94" s="848">
        <v>93185.398647214039</v>
      </c>
      <c r="R94" s="848">
        <v>93185.398647214039</v>
      </c>
      <c r="S94" s="848">
        <v>93185.398647214039</v>
      </c>
      <c r="T94" s="848">
        <v>93185.398647214039</v>
      </c>
      <c r="U94" s="848">
        <v>93185.398647214039</v>
      </c>
      <c r="V94" s="848">
        <v>93185.398647214039</v>
      </c>
      <c r="W94" s="848">
        <v>93185.398647214039</v>
      </c>
      <c r="X94" s="848">
        <v>93185.398647214039</v>
      </c>
      <c r="Y94" s="848">
        <v>93185.398647214039</v>
      </c>
      <c r="Z94" s="848">
        <v>93185.398647214039</v>
      </c>
      <c r="AA94" s="848">
        <v>93185.398647214039</v>
      </c>
      <c r="AB94" s="848">
        <v>93185.398647214039</v>
      </c>
      <c r="AC94" s="846"/>
      <c r="AD94" s="846"/>
    </row>
    <row r="95" spans="1:30">
      <c r="A95" s="7" t="s">
        <v>274</v>
      </c>
      <c r="B95" s="12">
        <f>SUM(B92:B94)</f>
        <v>667472.78556187497</v>
      </c>
      <c r="C95" s="14"/>
      <c r="D95" s="14">
        <f>SUM(D92:D94)</f>
        <v>667472.78556187497</v>
      </c>
      <c r="E95" s="14">
        <f t="shared" ref="E95:AB95" si="15">SUM(E92:E94)</f>
        <v>970455.16376917157</v>
      </c>
      <c r="F95" s="14">
        <f t="shared" si="15"/>
        <v>970455.16376917157</v>
      </c>
      <c r="G95" s="14">
        <f t="shared" si="15"/>
        <v>970455.16376917157</v>
      </c>
      <c r="H95" s="14">
        <f t="shared" si="15"/>
        <v>970455.16376917157</v>
      </c>
      <c r="I95" s="14">
        <f t="shared" si="15"/>
        <v>970455.16376917157</v>
      </c>
      <c r="J95" s="14">
        <f t="shared" si="15"/>
        <v>970455.16376917157</v>
      </c>
      <c r="K95" s="14">
        <f t="shared" si="15"/>
        <v>970455.16376917157</v>
      </c>
      <c r="L95" s="14">
        <f t="shared" si="15"/>
        <v>970455.16376917157</v>
      </c>
      <c r="M95" s="14">
        <f t="shared" si="15"/>
        <v>970455.16376917157</v>
      </c>
      <c r="N95" s="14">
        <f t="shared" si="15"/>
        <v>970455.16376917157</v>
      </c>
      <c r="O95" s="14">
        <f t="shared" si="15"/>
        <v>970455.16376917157</v>
      </c>
      <c r="P95" s="14">
        <f t="shared" si="15"/>
        <v>970455.16376917157</v>
      </c>
      <c r="Q95" s="14">
        <f t="shared" si="15"/>
        <v>970455.16376917157</v>
      </c>
      <c r="R95" s="14">
        <f t="shared" si="15"/>
        <v>970455.16376917157</v>
      </c>
      <c r="S95" s="14">
        <f t="shared" si="15"/>
        <v>970455.16376917157</v>
      </c>
      <c r="T95" s="14">
        <f t="shared" si="15"/>
        <v>970455.16376917157</v>
      </c>
      <c r="U95" s="14">
        <f t="shared" si="15"/>
        <v>970455.16376917157</v>
      </c>
      <c r="V95" s="14">
        <f t="shared" si="15"/>
        <v>970455.16376917157</v>
      </c>
      <c r="W95" s="14">
        <f t="shared" si="15"/>
        <v>970455.16376917157</v>
      </c>
      <c r="X95" s="14">
        <f t="shared" si="15"/>
        <v>970455.16376917157</v>
      </c>
      <c r="Y95" s="14">
        <f t="shared" si="15"/>
        <v>970455.16376917157</v>
      </c>
      <c r="Z95" s="14">
        <f t="shared" si="15"/>
        <v>970455.16376917157</v>
      </c>
      <c r="AA95" s="14">
        <f t="shared" si="15"/>
        <v>970455.16376917157</v>
      </c>
      <c r="AB95" s="14">
        <f t="shared" si="15"/>
        <v>970455.16376917157</v>
      </c>
    </row>
    <row r="96" spans="1:30">
      <c r="A96" s="7" t="s">
        <v>275</v>
      </c>
      <c r="B96" s="12"/>
      <c r="C96" s="14"/>
      <c r="D96" s="678">
        <f t="shared" ref="D96:AB96" si="16">(D95)/(1+SocDiscountRate)^D74</f>
        <v>667472.78556187497</v>
      </c>
      <c r="E96" s="678">
        <f t="shared" si="16"/>
        <v>866477.82479390316</v>
      </c>
      <c r="F96" s="678">
        <f t="shared" si="16"/>
        <v>773640.91499455634</v>
      </c>
      <c r="G96" s="678">
        <f t="shared" si="16"/>
        <v>690750.81695942522</v>
      </c>
      <c r="H96" s="678">
        <f t="shared" si="16"/>
        <v>616741.80085662962</v>
      </c>
      <c r="I96" s="678">
        <f t="shared" si="16"/>
        <v>550662.32219341933</v>
      </c>
      <c r="J96" s="678">
        <f t="shared" si="16"/>
        <v>491662.78767269576</v>
      </c>
      <c r="K96" s="678">
        <f t="shared" si="16"/>
        <v>438984.6318506212</v>
      </c>
      <c r="L96" s="678">
        <f t="shared" si="16"/>
        <v>391950.56415234035</v>
      </c>
      <c r="M96" s="678">
        <f t="shared" si="16"/>
        <v>349955.86085030384</v>
      </c>
      <c r="N96" s="678">
        <f t="shared" si="16"/>
        <v>312460.5900449141</v>
      </c>
      <c r="O96" s="678">
        <f t="shared" si="16"/>
        <v>278982.66968295898</v>
      </c>
      <c r="P96" s="678">
        <f t="shared" si="16"/>
        <v>249091.66935978484</v>
      </c>
      <c r="Q96" s="678">
        <f t="shared" si="16"/>
        <v>222403.27621409355</v>
      </c>
      <c r="R96" s="678">
        <f t="shared" si="16"/>
        <v>198574.35376258352</v>
      </c>
      <c r="S96" s="678">
        <f t="shared" si="16"/>
        <v>177298.53014516388</v>
      </c>
      <c r="T96" s="678">
        <f t="shared" si="16"/>
        <v>158302.25905818201</v>
      </c>
      <c r="U96" s="678">
        <f t="shared" si="16"/>
        <v>141341.30273051962</v>
      </c>
      <c r="V96" s="678">
        <f t="shared" si="16"/>
        <v>126197.59172367823</v>
      </c>
      <c r="W96" s="678">
        <f t="shared" si="16"/>
        <v>112676.42118185555</v>
      </c>
      <c r="X96" s="678">
        <f t="shared" si="16"/>
        <v>100603.94748379959</v>
      </c>
      <c r="Y96" s="678">
        <f t="shared" si="16"/>
        <v>89824.953110535353</v>
      </c>
      <c r="Z96" s="678">
        <f t="shared" si="16"/>
        <v>80200.850991549407</v>
      </c>
      <c r="AA96" s="678">
        <f t="shared" si="16"/>
        <v>71607.90267102627</v>
      </c>
      <c r="AB96" s="678">
        <f t="shared" si="16"/>
        <v>63935.627384844876</v>
      </c>
    </row>
    <row r="97" spans="1:28">
      <c r="A97" s="7" t="s">
        <v>276</v>
      </c>
      <c r="B97" s="12"/>
      <c r="C97" s="14"/>
      <c r="D97" s="678">
        <f t="shared" ref="D97:AB97" si="17">(D95)/(1+EscoDiscountRate)^D74</f>
        <v>667472.78556187497</v>
      </c>
      <c r="E97" s="678">
        <f t="shared" si="17"/>
        <v>808712.63647430972</v>
      </c>
      <c r="F97" s="678">
        <f t="shared" si="17"/>
        <v>673927.19706192473</v>
      </c>
      <c r="G97" s="678">
        <f t="shared" si="17"/>
        <v>561605.99755160394</v>
      </c>
      <c r="H97" s="678">
        <f t="shared" si="17"/>
        <v>468004.99795966997</v>
      </c>
      <c r="I97" s="678">
        <f t="shared" si="17"/>
        <v>390004.16496639163</v>
      </c>
      <c r="J97" s="678">
        <f t="shared" si="17"/>
        <v>325003.47080532636</v>
      </c>
      <c r="K97" s="678">
        <f t="shared" si="17"/>
        <v>270836.22567110532</v>
      </c>
      <c r="L97" s="678">
        <f t="shared" si="17"/>
        <v>225696.85472592112</v>
      </c>
      <c r="M97" s="678">
        <f t="shared" si="17"/>
        <v>188080.7122716009</v>
      </c>
      <c r="N97" s="678">
        <f t="shared" si="17"/>
        <v>156733.92689300075</v>
      </c>
      <c r="O97" s="678">
        <f t="shared" si="17"/>
        <v>130611.6057441673</v>
      </c>
      <c r="P97" s="678">
        <f t="shared" si="17"/>
        <v>108843.00478680609</v>
      </c>
      <c r="Q97" s="678">
        <f t="shared" si="17"/>
        <v>90702.503989005083</v>
      </c>
      <c r="R97" s="678">
        <f t="shared" si="17"/>
        <v>75585.419990837574</v>
      </c>
      <c r="S97" s="678">
        <f t="shared" si="17"/>
        <v>62987.849992364638</v>
      </c>
      <c r="T97" s="678">
        <f t="shared" si="17"/>
        <v>52489.874993637204</v>
      </c>
      <c r="U97" s="678">
        <f t="shared" si="17"/>
        <v>43741.562494697675</v>
      </c>
      <c r="V97" s="678">
        <f t="shared" si="17"/>
        <v>36451.302078914727</v>
      </c>
      <c r="W97" s="678">
        <f t="shared" si="17"/>
        <v>30376.085065762272</v>
      </c>
      <c r="X97" s="678">
        <f t="shared" si="17"/>
        <v>25313.404221468561</v>
      </c>
      <c r="Y97" s="678">
        <f t="shared" si="17"/>
        <v>21094.503517890469</v>
      </c>
      <c r="Z97" s="678">
        <f t="shared" si="17"/>
        <v>17578.752931575393</v>
      </c>
      <c r="AA97" s="678">
        <f t="shared" si="17"/>
        <v>14648.960776312826</v>
      </c>
      <c r="AB97" s="678">
        <f t="shared" si="17"/>
        <v>12207.467313594023</v>
      </c>
    </row>
    <row r="98" spans="1:28">
      <c r="A98" s="7"/>
      <c r="B98" s="12"/>
      <c r="C98" s="14"/>
      <c r="D98" s="678"/>
      <c r="E98" s="678"/>
      <c r="F98" s="678"/>
      <c r="G98" s="678"/>
      <c r="H98" s="678"/>
      <c r="I98" s="678"/>
      <c r="J98" s="678"/>
      <c r="K98" s="678"/>
      <c r="L98" s="678"/>
      <c r="M98" s="678"/>
      <c r="N98" s="678"/>
      <c r="O98" s="678"/>
      <c r="P98" s="678"/>
      <c r="Q98" s="678"/>
      <c r="R98" s="678"/>
      <c r="S98" s="678"/>
      <c r="T98" s="678"/>
      <c r="U98" s="678"/>
      <c r="V98" s="678"/>
      <c r="W98" s="678"/>
      <c r="X98" s="678"/>
      <c r="Y98" s="678"/>
      <c r="Z98" s="678"/>
      <c r="AA98" s="678"/>
      <c r="AB98" s="678"/>
    </row>
    <row r="99" spans="1:28">
      <c r="A99" s="664" t="s">
        <v>277</v>
      </c>
      <c r="B99" s="685"/>
      <c r="C99" s="686"/>
      <c r="D99" s="695"/>
      <c r="E99" s="695"/>
      <c r="F99" s="695"/>
      <c r="G99" s="695"/>
      <c r="H99" s="695"/>
      <c r="I99" s="695"/>
      <c r="J99" s="695"/>
      <c r="K99" s="695"/>
      <c r="L99" s="695"/>
      <c r="M99" s="695"/>
      <c r="N99" s="695"/>
      <c r="O99" s="695"/>
      <c r="P99" s="695"/>
      <c r="Q99" s="695"/>
      <c r="R99" s="695"/>
      <c r="S99" s="695"/>
      <c r="T99" s="695"/>
      <c r="U99" s="695"/>
      <c r="V99" s="695"/>
      <c r="W99" s="695"/>
      <c r="X99" s="695"/>
      <c r="Y99" s="695"/>
      <c r="Z99" s="695"/>
      <c r="AA99" s="695"/>
      <c r="AB99" s="695"/>
    </row>
    <row r="100" spans="1:28">
      <c r="A100" s="5" t="s">
        <v>278</v>
      </c>
      <c r="B100" s="12">
        <f>B64*B47*ValUncertainty_and_Market_Adjustment_for_Kerosene</f>
        <v>33279513.149764795</v>
      </c>
      <c r="C100" s="14"/>
      <c r="D100" s="678">
        <f t="shared" ref="D100:D105" si="18">B100</f>
        <v>33279513.149764795</v>
      </c>
      <c r="E100" s="678">
        <v>48385905.886374764</v>
      </c>
      <c r="F100" s="678">
        <v>48385905.886374764</v>
      </c>
      <c r="G100" s="678">
        <v>48385905.886374764</v>
      </c>
      <c r="H100" s="678">
        <v>48385905.886374764</v>
      </c>
      <c r="I100" s="678">
        <v>48385905.886374764</v>
      </c>
      <c r="J100" s="678">
        <v>48385905.886374764</v>
      </c>
      <c r="K100" s="678">
        <v>48385905.886374764</v>
      </c>
      <c r="L100" s="678">
        <v>48385905.886374764</v>
      </c>
      <c r="M100" s="678">
        <v>48385905.886374764</v>
      </c>
      <c r="N100" s="678">
        <v>48385905.886374764</v>
      </c>
      <c r="O100" s="678">
        <v>48385905.886374764</v>
      </c>
      <c r="P100" s="678">
        <v>48385905.886374764</v>
      </c>
      <c r="Q100" s="678">
        <v>48385905.886374764</v>
      </c>
      <c r="R100" s="678">
        <v>48385905.886374764</v>
      </c>
      <c r="S100" s="678">
        <v>48385905.886374764</v>
      </c>
      <c r="T100" s="678">
        <v>48385905.886374764</v>
      </c>
      <c r="U100" s="678">
        <v>48385905.886374764</v>
      </c>
      <c r="V100" s="678">
        <v>48385905.886374764</v>
      </c>
      <c r="W100" s="678">
        <v>48385905.886374764</v>
      </c>
      <c r="X100" s="678">
        <v>48385905.886374764</v>
      </c>
      <c r="Y100" s="678">
        <v>48385905.886374764</v>
      </c>
      <c r="Z100" s="678">
        <v>48385905.886374764</v>
      </c>
      <c r="AA100" s="678">
        <v>48385905.886374764</v>
      </c>
      <c r="AB100" s="678">
        <v>48385905.886374764</v>
      </c>
    </row>
    <row r="101" spans="1:28">
      <c r="A101" s="7" t="s">
        <v>279</v>
      </c>
      <c r="B101" s="12">
        <f>B100*EValKerosene*EfficiencyValKerosene*(1/B45)</f>
        <v>23850317.757331435</v>
      </c>
      <c r="C101" s="14"/>
      <c r="D101" s="678">
        <f t="shared" si="18"/>
        <v>23850317.757331435</v>
      </c>
      <c r="E101" s="678">
        <v>34676565.88523525</v>
      </c>
      <c r="F101" s="678">
        <v>34676565.88523525</v>
      </c>
      <c r="G101" s="678">
        <v>34676565.88523525</v>
      </c>
      <c r="H101" s="678">
        <v>34676565.88523525</v>
      </c>
      <c r="I101" s="678">
        <v>34676565.88523525</v>
      </c>
      <c r="J101" s="678">
        <v>34676565.88523525</v>
      </c>
      <c r="K101" s="678">
        <v>34676565.88523525</v>
      </c>
      <c r="L101" s="678">
        <v>34676565.88523525</v>
      </c>
      <c r="M101" s="678">
        <v>34676565.88523525</v>
      </c>
      <c r="N101" s="678">
        <v>34676565.88523525</v>
      </c>
      <c r="O101" s="678">
        <v>34676565.88523525</v>
      </c>
      <c r="P101" s="678">
        <v>34676565.88523525</v>
      </c>
      <c r="Q101" s="678">
        <v>34676565.88523525</v>
      </c>
      <c r="R101" s="678">
        <v>34676565.88523525</v>
      </c>
      <c r="S101" s="678">
        <v>34676565.88523525</v>
      </c>
      <c r="T101" s="678">
        <v>34676565.88523525</v>
      </c>
      <c r="U101" s="678">
        <v>34676565.88523525</v>
      </c>
      <c r="V101" s="678">
        <v>34676565.88523525</v>
      </c>
      <c r="W101" s="678">
        <v>34676565.88523525</v>
      </c>
      <c r="X101" s="678">
        <v>34676565.88523525</v>
      </c>
      <c r="Y101" s="678">
        <v>34676565.88523525</v>
      </c>
      <c r="Z101" s="678">
        <v>34676565.88523525</v>
      </c>
      <c r="AA101" s="678">
        <v>34676565.88523525</v>
      </c>
      <c r="AB101" s="678">
        <v>34676565.88523525</v>
      </c>
    </row>
    <row r="102" spans="1:28" ht="24.95">
      <c r="A102" s="7" t="s">
        <v>280</v>
      </c>
      <c r="B102" s="12">
        <f>B101*GensetCapacityUtilFac</f>
        <v>13108862.979650499</v>
      </c>
      <c r="C102" s="14"/>
      <c r="D102" s="678">
        <f t="shared" si="18"/>
        <v>13108862.979650499</v>
      </c>
      <c r="E102" s="678">
        <v>19059299.562356558</v>
      </c>
      <c r="F102" s="678">
        <v>19059299.562356558</v>
      </c>
      <c r="G102" s="678">
        <v>19059299.562356558</v>
      </c>
      <c r="H102" s="678">
        <v>19059299.562356558</v>
      </c>
      <c r="I102" s="678">
        <v>19059299.562356558</v>
      </c>
      <c r="J102" s="678">
        <v>19059299.562356558</v>
      </c>
      <c r="K102" s="678">
        <v>19059299.562356558</v>
      </c>
      <c r="L102" s="678">
        <v>19059299.562356558</v>
      </c>
      <c r="M102" s="678">
        <v>19059299.562356558</v>
      </c>
      <c r="N102" s="678">
        <v>19059299.562356558</v>
      </c>
      <c r="O102" s="678">
        <v>19059299.562356558</v>
      </c>
      <c r="P102" s="678">
        <v>19059299.562356558</v>
      </c>
      <c r="Q102" s="678">
        <v>19059299.562356558</v>
      </c>
      <c r="R102" s="678">
        <v>19059299.562356558</v>
      </c>
      <c r="S102" s="678">
        <v>19059299.562356558</v>
      </c>
      <c r="T102" s="678">
        <v>19059299.562356558</v>
      </c>
      <c r="U102" s="678">
        <v>19059299.562356558</v>
      </c>
      <c r="V102" s="678">
        <v>19059299.562356558</v>
      </c>
      <c r="W102" s="678">
        <v>19059299.562356558</v>
      </c>
      <c r="X102" s="678">
        <v>19059299.562356558</v>
      </c>
      <c r="Y102" s="678">
        <v>19059299.562356558</v>
      </c>
      <c r="Z102" s="678">
        <v>19059299.562356558</v>
      </c>
      <c r="AA102" s="678">
        <v>19059299.562356558</v>
      </c>
      <c r="AB102" s="678">
        <v>19059299.562356558</v>
      </c>
    </row>
    <row r="103" spans="1:28">
      <c r="A103" s="5" t="s">
        <v>281</v>
      </c>
      <c r="B103" s="12">
        <f>B65*B48*ValUncertainty_and_Market_Adjustment_for_Kerosene</f>
        <v>25506568.568338983</v>
      </c>
      <c r="C103" s="14"/>
      <c r="D103" s="678">
        <f t="shared" si="18"/>
        <v>25506568.568338983</v>
      </c>
      <c r="E103" s="678">
        <v>37084629.834518395</v>
      </c>
      <c r="F103" s="678">
        <v>37084629.834518395</v>
      </c>
      <c r="G103" s="678">
        <v>37084629.834518395</v>
      </c>
      <c r="H103" s="678">
        <v>37084629.834518395</v>
      </c>
      <c r="I103" s="678">
        <v>37084629.834518395</v>
      </c>
      <c r="J103" s="678">
        <v>37084629.834518395</v>
      </c>
      <c r="K103" s="678">
        <v>37084629.834518395</v>
      </c>
      <c r="L103" s="678">
        <v>37084629.834518395</v>
      </c>
      <c r="M103" s="678">
        <v>37084629.834518395</v>
      </c>
      <c r="N103" s="678">
        <v>37084629.834518395</v>
      </c>
      <c r="O103" s="678">
        <v>37084629.834518395</v>
      </c>
      <c r="P103" s="678">
        <v>37084629.834518395</v>
      </c>
      <c r="Q103" s="678">
        <v>37084629.834518395</v>
      </c>
      <c r="R103" s="678">
        <v>37084629.834518395</v>
      </c>
      <c r="S103" s="678">
        <v>37084629.834518395</v>
      </c>
      <c r="T103" s="678">
        <v>37084629.834518395</v>
      </c>
      <c r="U103" s="678">
        <v>37084629.834518395</v>
      </c>
      <c r="V103" s="678">
        <v>37084629.834518395</v>
      </c>
      <c r="W103" s="678">
        <v>37084629.834518395</v>
      </c>
      <c r="X103" s="678">
        <v>37084629.834518395</v>
      </c>
      <c r="Y103" s="678">
        <v>37084629.834518395</v>
      </c>
      <c r="Z103" s="678">
        <v>37084629.834518395</v>
      </c>
      <c r="AA103" s="678">
        <v>37084629.834518395</v>
      </c>
      <c r="AB103" s="678">
        <v>37084629.834518395</v>
      </c>
    </row>
    <row r="104" spans="1:28">
      <c r="A104" s="846" t="s">
        <v>282</v>
      </c>
      <c r="B104" s="694">
        <f>B103*EvalFuelwood*EfficiencyValFuelwood*(1/B45)</f>
        <v>17004379.045559321</v>
      </c>
      <c r="C104" s="14"/>
      <c r="D104" s="678">
        <f t="shared" si="18"/>
        <v>17004379.045559321</v>
      </c>
      <c r="E104" s="678">
        <v>24723086.556345597</v>
      </c>
      <c r="F104" s="678">
        <v>24723086.556345597</v>
      </c>
      <c r="G104" s="678">
        <v>24723086.556345597</v>
      </c>
      <c r="H104" s="678">
        <v>24723086.556345597</v>
      </c>
      <c r="I104" s="678">
        <v>24723086.556345597</v>
      </c>
      <c r="J104" s="678">
        <v>24723086.556345597</v>
      </c>
      <c r="K104" s="678">
        <v>24723086.556345597</v>
      </c>
      <c r="L104" s="678">
        <v>24723086.556345597</v>
      </c>
      <c r="M104" s="678">
        <v>24723086.556345597</v>
      </c>
      <c r="N104" s="678">
        <v>24723086.556345597</v>
      </c>
      <c r="O104" s="678">
        <v>24723086.556345597</v>
      </c>
      <c r="P104" s="678">
        <v>24723086.556345597</v>
      </c>
      <c r="Q104" s="678">
        <v>24723086.556345597</v>
      </c>
      <c r="R104" s="678">
        <v>24723086.556345597</v>
      </c>
      <c r="S104" s="678">
        <v>24723086.556345597</v>
      </c>
      <c r="T104" s="678">
        <v>24723086.556345597</v>
      </c>
      <c r="U104" s="678">
        <v>24723086.556345597</v>
      </c>
      <c r="V104" s="678">
        <v>24723086.556345597</v>
      </c>
      <c r="W104" s="678">
        <v>24723086.556345597</v>
      </c>
      <c r="X104" s="678">
        <v>24723086.556345597</v>
      </c>
      <c r="Y104" s="678">
        <v>24723086.556345597</v>
      </c>
      <c r="Z104" s="678">
        <v>24723086.556345597</v>
      </c>
      <c r="AA104" s="678">
        <v>24723086.556345597</v>
      </c>
      <c r="AB104" s="678">
        <v>24723086.556345597</v>
      </c>
    </row>
    <row r="105" spans="1:28" ht="24.95">
      <c r="A105" s="7" t="s">
        <v>283</v>
      </c>
      <c r="B105" s="12">
        <f>B104*GensetCapacityUtilFac</f>
        <v>9346126.0026087817</v>
      </c>
      <c r="C105" s="14"/>
      <c r="D105" s="678">
        <f t="shared" si="18"/>
        <v>9346126.0026087817</v>
      </c>
      <c r="E105" s="678">
        <v>13588563.364173632</v>
      </c>
      <c r="F105" s="678">
        <v>13588563.364173632</v>
      </c>
      <c r="G105" s="678">
        <v>13588563.364173632</v>
      </c>
      <c r="H105" s="678">
        <v>13588563.364173632</v>
      </c>
      <c r="I105" s="678">
        <v>13588563.364173632</v>
      </c>
      <c r="J105" s="678">
        <v>13588563.364173632</v>
      </c>
      <c r="K105" s="678">
        <v>13588563.364173632</v>
      </c>
      <c r="L105" s="678">
        <v>13588563.364173632</v>
      </c>
      <c r="M105" s="678">
        <v>13588563.364173632</v>
      </c>
      <c r="N105" s="678">
        <v>13588563.364173632</v>
      </c>
      <c r="O105" s="678">
        <v>13588563.364173632</v>
      </c>
      <c r="P105" s="678">
        <v>13588563.364173632</v>
      </c>
      <c r="Q105" s="678">
        <v>13588563.364173632</v>
      </c>
      <c r="R105" s="678">
        <v>13588563.364173632</v>
      </c>
      <c r="S105" s="678">
        <v>13588563.364173632</v>
      </c>
      <c r="T105" s="678">
        <v>13588563.364173632</v>
      </c>
      <c r="U105" s="678">
        <v>13588563.364173632</v>
      </c>
      <c r="V105" s="678">
        <v>13588563.364173632</v>
      </c>
      <c r="W105" s="678">
        <v>13588563.364173632</v>
      </c>
      <c r="X105" s="678">
        <v>13588563.364173632</v>
      </c>
      <c r="Y105" s="678">
        <v>13588563.364173632</v>
      </c>
      <c r="Z105" s="678">
        <v>13588563.364173632</v>
      </c>
      <c r="AA105" s="678">
        <v>13588563.364173632</v>
      </c>
      <c r="AB105" s="678">
        <v>13588563.364173632</v>
      </c>
    </row>
    <row r="106" spans="1:28">
      <c r="A106" s="7"/>
      <c r="B106" s="12"/>
      <c r="C106" s="14"/>
      <c r="D106" s="678"/>
      <c r="E106" s="678"/>
      <c r="F106" s="678"/>
      <c r="G106" s="678"/>
      <c r="H106" s="678"/>
      <c r="I106" s="678"/>
      <c r="J106" s="678"/>
      <c r="K106" s="678"/>
      <c r="L106" s="678"/>
      <c r="M106" s="678"/>
      <c r="N106" s="678"/>
      <c r="O106" s="678"/>
      <c r="P106" s="678"/>
      <c r="Q106" s="678"/>
      <c r="R106" s="678"/>
      <c r="S106" s="678"/>
      <c r="T106" s="678"/>
      <c r="U106" s="678"/>
      <c r="V106" s="678"/>
      <c r="W106" s="678"/>
      <c r="X106" s="678"/>
      <c r="Y106" s="678"/>
      <c r="Z106" s="678"/>
      <c r="AA106" s="678"/>
      <c r="AB106" s="678"/>
    </row>
    <row r="107" spans="1:28">
      <c r="A107" s="7"/>
      <c r="B107" s="12"/>
      <c r="C107" s="14"/>
      <c r="D107" s="678"/>
      <c r="E107" s="678"/>
      <c r="F107" s="678"/>
      <c r="G107" s="678"/>
      <c r="H107" s="678"/>
      <c r="I107" s="678"/>
      <c r="J107" s="678"/>
      <c r="K107" s="678"/>
      <c r="L107" s="678"/>
      <c r="M107" s="678"/>
      <c r="N107" s="678"/>
      <c r="O107" s="678"/>
      <c r="P107" s="678"/>
      <c r="Q107" s="678"/>
      <c r="R107" s="678"/>
      <c r="S107" s="678"/>
      <c r="T107" s="678"/>
      <c r="U107" s="678"/>
      <c r="V107" s="678"/>
      <c r="W107" s="678"/>
      <c r="X107" s="678"/>
      <c r="Y107" s="678"/>
      <c r="Z107" s="678"/>
      <c r="AA107" s="678"/>
      <c r="AB107" s="678"/>
    </row>
    <row r="108" spans="1:28">
      <c r="A108" s="7" t="s">
        <v>284</v>
      </c>
      <c r="B108" s="12"/>
      <c r="C108" s="14"/>
      <c r="D108" s="678"/>
      <c r="E108" s="678"/>
      <c r="F108" s="678"/>
      <c r="G108" s="678"/>
      <c r="H108" s="678"/>
      <c r="I108" s="678"/>
      <c r="J108" s="678"/>
      <c r="K108" s="678"/>
      <c r="L108" s="678"/>
      <c r="M108" s="678"/>
      <c r="N108" s="678"/>
      <c r="O108" s="678"/>
      <c r="P108" s="678"/>
      <c r="Q108" s="678"/>
      <c r="R108" s="678"/>
      <c r="S108" s="678"/>
      <c r="T108" s="678"/>
      <c r="U108" s="678"/>
      <c r="V108" s="678"/>
      <c r="W108" s="678"/>
      <c r="X108" s="678"/>
      <c r="Y108" s="678"/>
      <c r="Z108" s="678"/>
      <c r="AA108" s="678"/>
      <c r="AB108" s="678"/>
    </row>
    <row r="109" spans="1:28" ht="24.95">
      <c r="A109" s="7" t="s">
        <v>88</v>
      </c>
      <c r="B109" s="12">
        <f>B95</f>
        <v>667472.78556187497</v>
      </c>
      <c r="C109" s="14"/>
      <c r="D109" s="678"/>
      <c r="E109" s="678"/>
      <c r="F109" s="678"/>
      <c r="G109" s="678"/>
      <c r="H109" s="678"/>
      <c r="I109" s="678"/>
      <c r="J109" s="678"/>
      <c r="K109" s="678"/>
      <c r="L109" s="678"/>
      <c r="M109" s="678"/>
      <c r="N109" s="678"/>
      <c r="O109" s="678"/>
      <c r="P109" s="678"/>
      <c r="Q109" s="678"/>
      <c r="R109" s="678"/>
      <c r="S109" s="678"/>
      <c r="T109" s="678"/>
      <c r="U109" s="678"/>
      <c r="V109" s="678"/>
      <c r="W109" s="678"/>
      <c r="X109" s="678"/>
      <c r="Y109" s="678"/>
      <c r="Z109" s="678"/>
      <c r="AA109" s="678"/>
      <c r="AB109" s="678"/>
    </row>
    <row r="110" spans="1:28" ht="24.95">
      <c r="A110" s="7" t="s">
        <v>89</v>
      </c>
      <c r="B110" s="12">
        <f>SUM(D96:AB96)</f>
        <v>8221802.25543126</v>
      </c>
      <c r="C110" s="14"/>
      <c r="D110" s="678"/>
      <c r="E110" s="678"/>
      <c r="F110" s="678"/>
      <c r="G110" s="678"/>
      <c r="H110" s="678"/>
      <c r="I110" s="678"/>
      <c r="J110" s="678"/>
      <c r="K110" s="678"/>
      <c r="L110" s="678"/>
      <c r="M110" s="678"/>
      <c r="N110" s="678"/>
      <c r="O110" s="678"/>
      <c r="P110" s="678"/>
      <c r="Q110" s="678"/>
      <c r="R110" s="678"/>
      <c r="S110" s="678"/>
      <c r="T110" s="678"/>
      <c r="U110" s="678"/>
      <c r="V110" s="678"/>
      <c r="W110" s="678"/>
      <c r="X110" s="678"/>
      <c r="Y110" s="678"/>
      <c r="Z110" s="678"/>
      <c r="AA110" s="678"/>
      <c r="AB110" s="678"/>
    </row>
    <row r="111" spans="1:28" ht="24.95">
      <c r="A111" s="7" t="s">
        <v>90</v>
      </c>
      <c r="B111" s="12">
        <f>SUM(D97:AB97)</f>
        <v>5458711.2678397652</v>
      </c>
      <c r="C111" s="14"/>
      <c r="D111" s="678"/>
      <c r="E111" s="678"/>
      <c r="F111" s="678"/>
      <c r="G111" s="678"/>
      <c r="H111" s="678"/>
      <c r="I111" s="678"/>
      <c r="J111" s="678"/>
      <c r="K111" s="678"/>
      <c r="L111" s="678"/>
      <c r="M111" s="678"/>
      <c r="N111" s="678"/>
      <c r="O111" s="678"/>
      <c r="P111" s="678"/>
      <c r="Q111" s="678"/>
      <c r="R111" s="678"/>
      <c r="S111" s="678"/>
      <c r="T111" s="678"/>
      <c r="U111" s="678"/>
      <c r="V111" s="678"/>
      <c r="W111" s="678"/>
      <c r="X111" s="678"/>
      <c r="Y111" s="678"/>
      <c r="Z111" s="678"/>
      <c r="AA111" s="678"/>
      <c r="AB111" s="678"/>
    </row>
    <row r="112" spans="1:28" ht="15" thickBot="1">
      <c r="A112" s="7"/>
      <c r="B112" s="12"/>
      <c r="C112" s="14"/>
      <c r="D112" s="678"/>
      <c r="E112" s="678"/>
      <c r="F112" s="678"/>
      <c r="G112" s="678"/>
      <c r="H112" s="678"/>
      <c r="I112" s="678"/>
      <c r="J112" s="678"/>
      <c r="K112" s="678"/>
      <c r="L112" s="678"/>
      <c r="M112" s="678"/>
      <c r="N112" s="678"/>
      <c r="O112" s="678"/>
      <c r="P112" s="678"/>
      <c r="Q112" s="678"/>
      <c r="R112" s="678"/>
      <c r="S112" s="678"/>
      <c r="T112" s="678"/>
      <c r="U112" s="678"/>
      <c r="V112" s="678"/>
      <c r="W112" s="678"/>
      <c r="X112" s="678"/>
      <c r="Y112" s="678"/>
      <c r="Z112" s="678"/>
      <c r="AA112" s="678"/>
      <c r="AB112" s="678"/>
    </row>
    <row r="113" spans="1:28" ht="15" thickBot="1">
      <c r="A113" s="679" t="s">
        <v>498</v>
      </c>
      <c r="B113" s="688">
        <f>IRR(D88:AB88)</f>
        <v>7.0073974470742595E-2</v>
      </c>
      <c r="C113" s="680"/>
      <c r="D113" s="678"/>
      <c r="E113" s="678"/>
      <c r="F113" s="678"/>
      <c r="G113" s="678"/>
      <c r="H113" s="678"/>
      <c r="I113" s="678"/>
      <c r="J113" s="678"/>
      <c r="K113" s="678"/>
      <c r="L113" s="678"/>
      <c r="M113" s="678"/>
      <c r="N113" s="678"/>
      <c r="O113" s="678"/>
      <c r="P113" s="678"/>
      <c r="Q113" s="678"/>
      <c r="R113" s="678"/>
      <c r="S113" s="678"/>
      <c r="T113" s="678"/>
      <c r="U113" s="678"/>
      <c r="V113" s="678"/>
      <c r="W113" s="678"/>
      <c r="X113" s="678"/>
      <c r="Y113" s="678"/>
      <c r="Z113" s="678"/>
      <c r="AA113" s="678"/>
      <c r="AB113" s="678"/>
    </row>
    <row r="114" spans="1:28" ht="15" thickBot="1">
      <c r="A114" s="682" t="s">
        <v>609</v>
      </c>
      <c r="B114" s="683">
        <f>NPV(Cost_of_borrowing_from_GCF,D88:AB88)</f>
        <v>2532819.0807046066</v>
      </c>
      <c r="C114" s="680"/>
      <c r="D114" s="678"/>
      <c r="E114" s="678"/>
      <c r="F114" s="678"/>
      <c r="G114" s="678"/>
      <c r="H114" s="678"/>
      <c r="I114" s="678"/>
      <c r="J114" s="678"/>
      <c r="K114" s="678"/>
      <c r="L114" s="678"/>
      <c r="M114" s="678"/>
      <c r="N114" s="678"/>
      <c r="O114" s="678"/>
      <c r="P114" s="678"/>
      <c r="Q114" s="678"/>
      <c r="R114" s="678"/>
      <c r="S114" s="678"/>
      <c r="T114" s="678"/>
      <c r="U114" s="678"/>
      <c r="V114" s="678"/>
      <c r="W114" s="678"/>
      <c r="X114" s="678"/>
      <c r="Y114" s="678"/>
      <c r="Z114" s="678"/>
      <c r="AA114" s="678"/>
      <c r="AB114" s="678"/>
    </row>
    <row r="115" spans="1:28" ht="15" thickBot="1">
      <c r="A115" s="682" t="s">
        <v>610</v>
      </c>
      <c r="B115" s="683">
        <f>NPV(SocDiscountRate,D88:AB88)</f>
        <v>-803568.04386018403</v>
      </c>
      <c r="C115" s="681"/>
      <c r="D115" s="678"/>
      <c r="E115" s="678"/>
      <c r="F115" s="678"/>
      <c r="G115" s="678"/>
      <c r="H115" s="678"/>
      <c r="I115" s="678"/>
      <c r="J115" s="678"/>
      <c r="K115" s="678"/>
      <c r="L115" s="678"/>
      <c r="M115" s="678"/>
      <c r="N115" s="678"/>
      <c r="O115" s="678"/>
      <c r="P115" s="678"/>
      <c r="Q115" s="678"/>
      <c r="R115" s="678"/>
      <c r="S115" s="678"/>
      <c r="T115" s="678"/>
      <c r="U115" s="678"/>
      <c r="V115" s="678"/>
      <c r="W115" s="678"/>
      <c r="X115" s="678"/>
      <c r="Y115" s="678"/>
      <c r="Z115" s="678"/>
      <c r="AA115" s="678"/>
      <c r="AB115" s="678"/>
    </row>
    <row r="116" spans="1:28">
      <c r="A116" s="682" t="s">
        <v>611</v>
      </c>
      <c r="B116" s="683">
        <f>NPV(EscoDiscountRate,D88:AB88)</f>
        <v>-1330651.1609821264</v>
      </c>
      <c r="C116" s="681"/>
      <c r="D116" s="678"/>
      <c r="E116" s="678"/>
      <c r="F116" s="678"/>
      <c r="G116" s="678"/>
      <c r="H116" s="678"/>
      <c r="I116" s="678"/>
      <c r="J116" s="678"/>
      <c r="K116" s="678"/>
      <c r="L116" s="678"/>
      <c r="M116" s="678"/>
      <c r="N116" s="678"/>
      <c r="O116" s="678"/>
      <c r="P116" s="678"/>
      <c r="Q116" s="678"/>
      <c r="R116" s="678"/>
      <c r="S116" s="678"/>
      <c r="T116" s="678"/>
      <c r="U116" s="678"/>
      <c r="V116" s="678"/>
      <c r="W116" s="678"/>
      <c r="X116" s="678"/>
      <c r="Y116" s="678"/>
      <c r="Z116" s="678"/>
      <c r="AA116" s="678"/>
      <c r="AB116" s="678"/>
    </row>
    <row r="117" spans="1:28">
      <c r="A117" s="7"/>
      <c r="B117" s="12"/>
      <c r="C117" s="14"/>
      <c r="D117" s="678"/>
      <c r="E117" s="678"/>
      <c r="F117" s="678"/>
      <c r="G117" s="678"/>
      <c r="H117" s="678"/>
      <c r="I117" s="678"/>
      <c r="J117" s="678"/>
      <c r="K117" s="678"/>
      <c r="L117" s="678"/>
      <c r="M117" s="678"/>
      <c r="N117" s="678"/>
      <c r="O117" s="678"/>
      <c r="P117" s="678"/>
      <c r="Q117" s="678"/>
      <c r="R117" s="678"/>
      <c r="S117" s="678"/>
      <c r="T117" s="678"/>
      <c r="U117" s="678"/>
      <c r="V117" s="678"/>
      <c r="W117" s="678"/>
      <c r="X117" s="678"/>
      <c r="Y117" s="678"/>
      <c r="Z117" s="678"/>
      <c r="AA117" s="678"/>
      <c r="AB117" s="678"/>
    </row>
    <row r="118" spans="1:28">
      <c r="A118" s="7"/>
      <c r="B118" s="12"/>
      <c r="C118" s="14"/>
      <c r="D118" s="678"/>
      <c r="E118" s="678"/>
      <c r="F118" s="678"/>
      <c r="G118" s="678"/>
      <c r="H118" s="678"/>
      <c r="I118" s="678"/>
      <c r="J118" s="678"/>
      <c r="K118" s="678"/>
      <c r="L118" s="678"/>
      <c r="M118" s="678"/>
      <c r="N118" s="678"/>
      <c r="O118" s="678"/>
      <c r="P118" s="678"/>
      <c r="Q118" s="678"/>
      <c r="R118" s="678"/>
      <c r="S118" s="678"/>
      <c r="T118" s="678"/>
      <c r="U118" s="678"/>
      <c r="V118" s="678"/>
      <c r="W118" s="678"/>
      <c r="X118" s="678"/>
      <c r="Y118" s="678"/>
      <c r="Z118" s="678"/>
      <c r="AA118" s="678"/>
      <c r="AB118" s="678"/>
    </row>
    <row r="119" spans="1:28">
      <c r="C119" s="14"/>
      <c r="D119" s="678"/>
      <c r="E119" s="678"/>
      <c r="F119" s="678"/>
      <c r="G119" s="678"/>
      <c r="H119" s="678"/>
      <c r="I119" s="678"/>
      <c r="J119" s="678"/>
      <c r="K119" s="678"/>
      <c r="L119" s="678"/>
      <c r="M119" s="678"/>
      <c r="N119" s="678"/>
      <c r="O119" s="678"/>
      <c r="P119" s="678"/>
      <c r="Q119" s="678"/>
      <c r="R119" s="678"/>
      <c r="S119" s="678"/>
      <c r="T119" s="678"/>
      <c r="U119" s="678"/>
      <c r="V119" s="678"/>
      <c r="W119" s="678"/>
      <c r="X119" s="678"/>
      <c r="Y119" s="678"/>
      <c r="Z119" s="678"/>
      <c r="AA119" s="678"/>
      <c r="AB119" s="678"/>
    </row>
    <row r="120" spans="1:28">
      <c r="C120" s="14"/>
      <c r="D120" s="678"/>
      <c r="E120" s="678"/>
      <c r="F120" s="678"/>
      <c r="G120" s="678"/>
      <c r="H120" s="678"/>
      <c r="I120" s="678"/>
      <c r="J120" s="678"/>
      <c r="K120" s="678"/>
      <c r="L120" s="678"/>
      <c r="M120" s="678"/>
      <c r="N120" s="678"/>
      <c r="O120" s="678"/>
      <c r="P120" s="678"/>
      <c r="Q120" s="678"/>
      <c r="R120" s="678"/>
      <c r="S120" s="678"/>
      <c r="T120" s="678"/>
      <c r="U120" s="678"/>
      <c r="V120" s="678"/>
      <c r="W120" s="678"/>
      <c r="X120" s="678"/>
      <c r="Y120" s="678"/>
      <c r="Z120" s="678"/>
      <c r="AA120" s="678"/>
      <c r="AB120" s="678"/>
    </row>
    <row r="121" spans="1:28">
      <c r="C121" s="14"/>
      <c r="D121" s="678"/>
      <c r="E121" s="678"/>
      <c r="F121" s="678"/>
      <c r="G121" s="678"/>
      <c r="H121" s="678"/>
      <c r="I121" s="678"/>
      <c r="J121" s="678"/>
      <c r="K121" s="678"/>
      <c r="L121" s="678"/>
      <c r="M121" s="678"/>
      <c r="N121" s="678"/>
      <c r="O121" s="678"/>
      <c r="P121" s="678"/>
      <c r="Q121" s="678"/>
      <c r="R121" s="678"/>
      <c r="S121" s="678"/>
      <c r="T121" s="678"/>
      <c r="U121" s="678"/>
      <c r="V121" s="678"/>
      <c r="W121" s="678"/>
      <c r="X121" s="678"/>
      <c r="Y121" s="678"/>
      <c r="Z121" s="678"/>
      <c r="AA121" s="678"/>
      <c r="AB121" s="678"/>
    </row>
    <row r="122" spans="1:28">
      <c r="C122" s="14"/>
      <c r="D122" s="678"/>
      <c r="E122" s="678"/>
      <c r="F122" s="678"/>
      <c r="G122" s="678"/>
      <c r="H122" s="678"/>
      <c r="I122" s="678"/>
      <c r="J122" s="678"/>
      <c r="K122" s="678"/>
      <c r="L122" s="678"/>
      <c r="M122" s="678"/>
      <c r="N122" s="678"/>
      <c r="O122" s="678"/>
      <c r="P122" s="678"/>
      <c r="Q122" s="678"/>
      <c r="R122" s="678"/>
      <c r="S122" s="678"/>
      <c r="T122" s="678"/>
      <c r="U122" s="678"/>
      <c r="V122" s="678"/>
      <c r="W122" s="678"/>
      <c r="X122" s="678"/>
      <c r="Y122" s="678"/>
      <c r="Z122" s="678"/>
      <c r="AA122" s="678"/>
      <c r="AB122" s="678"/>
    </row>
    <row r="126" spans="1:28">
      <c r="A126" s="846"/>
    </row>
    <row r="127" spans="1:28">
      <c r="A127" s="849"/>
    </row>
    <row r="128" spans="1:28">
      <c r="A128" s="846"/>
    </row>
    <row r="129" spans="1:2">
      <c r="A129" s="846"/>
    </row>
    <row r="130" spans="1:2">
      <c r="A130" s="660"/>
    </row>
    <row r="131" spans="1:2">
      <c r="A131" s="846"/>
    </row>
    <row r="132" spans="1:2">
      <c r="A132" s="15"/>
      <c r="B132" s="846"/>
    </row>
  </sheetData>
  <mergeCells count="1">
    <mergeCell ref="A3:A4"/>
  </mergeCell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FEB318-BF46-416F-8F35-D9F0AC060F2B}">
  <sheetPr>
    <tabColor rgb="FF7030A0"/>
  </sheetPr>
  <dimension ref="A1:AM162"/>
  <sheetViews>
    <sheetView showGridLines="0" topLeftCell="A39" zoomScale="80" zoomScaleNormal="80" workbookViewId="0">
      <selection activeCell="I78" sqref="I78"/>
    </sheetView>
  </sheetViews>
  <sheetFormatPr defaultColWidth="8.85546875" defaultRowHeight="12.6"/>
  <cols>
    <col min="1" max="1" width="7.42578125" style="215" customWidth="1"/>
    <col min="2" max="2" width="41" style="215" customWidth="1"/>
    <col min="3" max="3" width="16" style="215" customWidth="1"/>
    <col min="4" max="4" width="23" style="215" customWidth="1"/>
    <col min="5" max="7" width="16.140625" style="215" customWidth="1"/>
    <col min="8" max="9" width="14.42578125" style="215" customWidth="1"/>
    <col min="10" max="10" width="17.5703125" style="215" customWidth="1"/>
    <col min="11" max="11" width="13.5703125" style="215" bestFit="1" customWidth="1"/>
    <col min="12" max="12" width="14.5703125" style="215" bestFit="1" customWidth="1"/>
    <col min="13" max="13" width="14.85546875" style="215" bestFit="1" customWidth="1"/>
    <col min="14" max="14" width="17.140625" style="215" customWidth="1"/>
    <col min="15" max="15" width="16.42578125" style="215" bestFit="1" customWidth="1"/>
    <col min="16" max="16" width="17.140625" style="215" bestFit="1" customWidth="1"/>
    <col min="17" max="17" width="24.42578125" style="215" customWidth="1"/>
    <col min="18" max="18" width="18.42578125" style="215" bestFit="1" customWidth="1"/>
    <col min="19" max="19" width="18.5703125" style="215" bestFit="1" customWidth="1"/>
    <col min="20" max="20" width="19.42578125" style="215" bestFit="1" customWidth="1"/>
    <col min="21" max="21" width="20.42578125" style="215" bestFit="1" customWidth="1"/>
    <col min="22" max="22" width="20.85546875" style="215" bestFit="1" customWidth="1"/>
    <col min="23" max="23" width="21.42578125" style="215" bestFit="1" customWidth="1"/>
    <col min="24" max="25" width="22.42578125" style="215" bestFit="1" customWidth="1"/>
    <col min="26" max="27" width="23.85546875" style="215" bestFit="1" customWidth="1"/>
    <col min="28" max="29" width="24.85546875" style="215" bestFit="1" customWidth="1"/>
    <col min="30" max="34" width="11.42578125" style="215" bestFit="1" customWidth="1"/>
    <col min="35" max="39" width="12.42578125" style="215" bestFit="1" customWidth="1"/>
    <col min="40" max="40" width="12" style="215" bestFit="1" customWidth="1"/>
    <col min="41" max="256" width="8.85546875" style="215"/>
    <col min="257" max="257" width="7.42578125" style="215" customWidth="1"/>
    <col min="258" max="258" width="41" style="215" customWidth="1"/>
    <col min="259" max="259" width="16" style="215" customWidth="1"/>
    <col min="260" max="260" width="16.140625" style="215" bestFit="1" customWidth="1"/>
    <col min="261" max="261" width="11.85546875" style="215" customWidth="1"/>
    <col min="262" max="262" width="12.42578125" style="215" bestFit="1" customWidth="1"/>
    <col min="263" max="264" width="13" style="215" bestFit="1" customWidth="1"/>
    <col min="265" max="265" width="12.5703125" style="215" bestFit="1" customWidth="1"/>
    <col min="266" max="266" width="13.42578125" style="215" bestFit="1" customWidth="1"/>
    <col min="267" max="267" width="13.5703125" style="215" bestFit="1" customWidth="1"/>
    <col min="268" max="268" width="14.5703125" style="215" bestFit="1" customWidth="1"/>
    <col min="269" max="269" width="14.85546875" style="215" bestFit="1" customWidth="1"/>
    <col min="270" max="270" width="17.140625" style="215" customWidth="1"/>
    <col min="271" max="271" width="16.42578125" style="215" bestFit="1" customWidth="1"/>
    <col min="272" max="272" width="17.140625" style="215" bestFit="1" customWidth="1"/>
    <col min="273" max="273" width="24.42578125" style="215" customWidth="1"/>
    <col min="274" max="274" width="18.42578125" style="215" bestFit="1" customWidth="1"/>
    <col min="275" max="275" width="18.5703125" style="215" bestFit="1" customWidth="1"/>
    <col min="276" max="276" width="19.42578125" style="215" bestFit="1" customWidth="1"/>
    <col min="277" max="277" width="20.42578125" style="215" bestFit="1" customWidth="1"/>
    <col min="278" max="278" width="20.85546875" style="215" bestFit="1" customWidth="1"/>
    <col min="279" max="279" width="21.42578125" style="215" bestFit="1" customWidth="1"/>
    <col min="280" max="281" width="22.42578125" style="215" bestFit="1" customWidth="1"/>
    <col min="282" max="283" width="23.85546875" style="215" bestFit="1" customWidth="1"/>
    <col min="284" max="285" width="24.85546875" style="215" bestFit="1" customWidth="1"/>
    <col min="286" max="290" width="11.42578125" style="215" bestFit="1" customWidth="1"/>
    <col min="291" max="295" width="12.42578125" style="215" bestFit="1" customWidth="1"/>
    <col min="296" max="296" width="12" style="215" bestFit="1" customWidth="1"/>
    <col min="297" max="512" width="8.85546875" style="215"/>
    <col min="513" max="513" width="7.42578125" style="215" customWidth="1"/>
    <col min="514" max="514" width="41" style="215" customWidth="1"/>
    <col min="515" max="515" width="16" style="215" customWidth="1"/>
    <col min="516" max="516" width="16.140625" style="215" bestFit="1" customWidth="1"/>
    <col min="517" max="517" width="11.85546875" style="215" customWidth="1"/>
    <col min="518" max="518" width="12.42578125" style="215" bestFit="1" customWidth="1"/>
    <col min="519" max="520" width="13" style="215" bestFit="1" customWidth="1"/>
    <col min="521" max="521" width="12.5703125" style="215" bestFit="1" customWidth="1"/>
    <col min="522" max="522" width="13.42578125" style="215" bestFit="1" customWidth="1"/>
    <col min="523" max="523" width="13.5703125" style="215" bestFit="1" customWidth="1"/>
    <col min="524" max="524" width="14.5703125" style="215" bestFit="1" customWidth="1"/>
    <col min="525" max="525" width="14.85546875" style="215" bestFit="1" customWidth="1"/>
    <col min="526" max="526" width="17.140625" style="215" customWidth="1"/>
    <col min="527" max="527" width="16.42578125" style="215" bestFit="1" customWidth="1"/>
    <col min="528" max="528" width="17.140625" style="215" bestFit="1" customWidth="1"/>
    <col min="529" max="529" width="24.42578125" style="215" customWidth="1"/>
    <col min="530" max="530" width="18.42578125" style="215" bestFit="1" customWidth="1"/>
    <col min="531" max="531" width="18.5703125" style="215" bestFit="1" customWidth="1"/>
    <col min="532" max="532" width="19.42578125" style="215" bestFit="1" customWidth="1"/>
    <col min="533" max="533" width="20.42578125" style="215" bestFit="1" customWidth="1"/>
    <col min="534" max="534" width="20.85546875" style="215" bestFit="1" customWidth="1"/>
    <col min="535" max="535" width="21.42578125" style="215" bestFit="1" customWidth="1"/>
    <col min="536" max="537" width="22.42578125" style="215" bestFit="1" customWidth="1"/>
    <col min="538" max="539" width="23.85546875" style="215" bestFit="1" customWidth="1"/>
    <col min="540" max="541" width="24.85546875" style="215" bestFit="1" customWidth="1"/>
    <col min="542" max="546" width="11.42578125" style="215" bestFit="1" customWidth="1"/>
    <col min="547" max="551" width="12.42578125" style="215" bestFit="1" customWidth="1"/>
    <col min="552" max="552" width="12" style="215" bestFit="1" customWidth="1"/>
    <col min="553" max="768" width="8.85546875" style="215"/>
    <col min="769" max="769" width="7.42578125" style="215" customWidth="1"/>
    <col min="770" max="770" width="41" style="215" customWidth="1"/>
    <col min="771" max="771" width="16" style="215" customWidth="1"/>
    <col min="772" max="772" width="16.140625" style="215" bestFit="1" customWidth="1"/>
    <col min="773" max="773" width="11.85546875" style="215" customWidth="1"/>
    <col min="774" max="774" width="12.42578125" style="215" bestFit="1" customWidth="1"/>
    <col min="775" max="776" width="13" style="215" bestFit="1" customWidth="1"/>
    <col min="777" max="777" width="12.5703125" style="215" bestFit="1" customWidth="1"/>
    <col min="778" max="778" width="13.42578125" style="215" bestFit="1" customWidth="1"/>
    <col min="779" max="779" width="13.5703125" style="215" bestFit="1" customWidth="1"/>
    <col min="780" max="780" width="14.5703125" style="215" bestFit="1" customWidth="1"/>
    <col min="781" max="781" width="14.85546875" style="215" bestFit="1" customWidth="1"/>
    <col min="782" max="782" width="17.140625" style="215" customWidth="1"/>
    <col min="783" max="783" width="16.42578125" style="215" bestFit="1" customWidth="1"/>
    <col min="784" max="784" width="17.140625" style="215" bestFit="1" customWidth="1"/>
    <col min="785" max="785" width="24.42578125" style="215" customWidth="1"/>
    <col min="786" max="786" width="18.42578125" style="215" bestFit="1" customWidth="1"/>
    <col min="787" max="787" width="18.5703125" style="215" bestFit="1" customWidth="1"/>
    <col min="788" max="788" width="19.42578125" style="215" bestFit="1" customWidth="1"/>
    <col min="789" max="789" width="20.42578125" style="215" bestFit="1" customWidth="1"/>
    <col min="790" max="790" width="20.85546875" style="215" bestFit="1" customWidth="1"/>
    <col min="791" max="791" width="21.42578125" style="215" bestFit="1" customWidth="1"/>
    <col min="792" max="793" width="22.42578125" style="215" bestFit="1" customWidth="1"/>
    <col min="794" max="795" width="23.85546875" style="215" bestFit="1" customWidth="1"/>
    <col min="796" max="797" width="24.85546875" style="215" bestFit="1" customWidth="1"/>
    <col min="798" max="802" width="11.42578125" style="215" bestFit="1" customWidth="1"/>
    <col min="803" max="807" width="12.42578125" style="215" bestFit="1" customWidth="1"/>
    <col min="808" max="808" width="12" style="215" bestFit="1" customWidth="1"/>
    <col min="809" max="1024" width="8.85546875" style="215"/>
    <col min="1025" max="1025" width="7.42578125" style="215" customWidth="1"/>
    <col min="1026" max="1026" width="41" style="215" customWidth="1"/>
    <col min="1027" max="1027" width="16" style="215" customWidth="1"/>
    <col min="1028" max="1028" width="16.140625" style="215" bestFit="1" customWidth="1"/>
    <col min="1029" max="1029" width="11.85546875" style="215" customWidth="1"/>
    <col min="1030" max="1030" width="12.42578125" style="215" bestFit="1" customWidth="1"/>
    <col min="1031" max="1032" width="13" style="215" bestFit="1" customWidth="1"/>
    <col min="1033" max="1033" width="12.5703125" style="215" bestFit="1" customWidth="1"/>
    <col min="1034" max="1034" width="13.42578125" style="215" bestFit="1" customWidth="1"/>
    <col min="1035" max="1035" width="13.5703125" style="215" bestFit="1" customWidth="1"/>
    <col min="1036" max="1036" width="14.5703125" style="215" bestFit="1" customWidth="1"/>
    <col min="1037" max="1037" width="14.85546875" style="215" bestFit="1" customWidth="1"/>
    <col min="1038" max="1038" width="17.140625" style="215" customWidth="1"/>
    <col min="1039" max="1039" width="16.42578125" style="215" bestFit="1" customWidth="1"/>
    <col min="1040" max="1040" width="17.140625" style="215" bestFit="1" customWidth="1"/>
    <col min="1041" max="1041" width="24.42578125" style="215" customWidth="1"/>
    <col min="1042" max="1042" width="18.42578125" style="215" bestFit="1" customWidth="1"/>
    <col min="1043" max="1043" width="18.5703125" style="215" bestFit="1" customWidth="1"/>
    <col min="1044" max="1044" width="19.42578125" style="215" bestFit="1" customWidth="1"/>
    <col min="1045" max="1045" width="20.42578125" style="215" bestFit="1" customWidth="1"/>
    <col min="1046" max="1046" width="20.85546875" style="215" bestFit="1" customWidth="1"/>
    <col min="1047" max="1047" width="21.42578125" style="215" bestFit="1" customWidth="1"/>
    <col min="1048" max="1049" width="22.42578125" style="215" bestFit="1" customWidth="1"/>
    <col min="1050" max="1051" width="23.85546875" style="215" bestFit="1" customWidth="1"/>
    <col min="1052" max="1053" width="24.85546875" style="215" bestFit="1" customWidth="1"/>
    <col min="1054" max="1058" width="11.42578125" style="215" bestFit="1" customWidth="1"/>
    <col min="1059" max="1063" width="12.42578125" style="215" bestFit="1" customWidth="1"/>
    <col min="1064" max="1064" width="12" style="215" bestFit="1" customWidth="1"/>
    <col min="1065" max="1280" width="8.85546875" style="215"/>
    <col min="1281" max="1281" width="7.42578125" style="215" customWidth="1"/>
    <col min="1282" max="1282" width="41" style="215" customWidth="1"/>
    <col min="1283" max="1283" width="16" style="215" customWidth="1"/>
    <col min="1284" max="1284" width="16.140625" style="215" bestFit="1" customWidth="1"/>
    <col min="1285" max="1285" width="11.85546875" style="215" customWidth="1"/>
    <col min="1286" max="1286" width="12.42578125" style="215" bestFit="1" customWidth="1"/>
    <col min="1287" max="1288" width="13" style="215" bestFit="1" customWidth="1"/>
    <col min="1289" max="1289" width="12.5703125" style="215" bestFit="1" customWidth="1"/>
    <col min="1290" max="1290" width="13.42578125" style="215" bestFit="1" customWidth="1"/>
    <col min="1291" max="1291" width="13.5703125" style="215" bestFit="1" customWidth="1"/>
    <col min="1292" max="1292" width="14.5703125" style="215" bestFit="1" customWidth="1"/>
    <col min="1293" max="1293" width="14.85546875" style="215" bestFit="1" customWidth="1"/>
    <col min="1294" max="1294" width="17.140625" style="215" customWidth="1"/>
    <col min="1295" max="1295" width="16.42578125" style="215" bestFit="1" customWidth="1"/>
    <col min="1296" max="1296" width="17.140625" style="215" bestFit="1" customWidth="1"/>
    <col min="1297" max="1297" width="24.42578125" style="215" customWidth="1"/>
    <col min="1298" max="1298" width="18.42578125" style="215" bestFit="1" customWidth="1"/>
    <col min="1299" max="1299" width="18.5703125" style="215" bestFit="1" customWidth="1"/>
    <col min="1300" max="1300" width="19.42578125" style="215" bestFit="1" customWidth="1"/>
    <col min="1301" max="1301" width="20.42578125" style="215" bestFit="1" customWidth="1"/>
    <col min="1302" max="1302" width="20.85546875" style="215" bestFit="1" customWidth="1"/>
    <col min="1303" max="1303" width="21.42578125" style="215" bestFit="1" customWidth="1"/>
    <col min="1304" max="1305" width="22.42578125" style="215" bestFit="1" customWidth="1"/>
    <col min="1306" max="1307" width="23.85546875" style="215" bestFit="1" customWidth="1"/>
    <col min="1308" max="1309" width="24.85546875" style="215" bestFit="1" customWidth="1"/>
    <col min="1310" max="1314" width="11.42578125" style="215" bestFit="1" customWidth="1"/>
    <col min="1315" max="1319" width="12.42578125" style="215" bestFit="1" customWidth="1"/>
    <col min="1320" max="1320" width="12" style="215" bestFit="1" customWidth="1"/>
    <col min="1321" max="1536" width="8.85546875" style="215"/>
    <col min="1537" max="1537" width="7.42578125" style="215" customWidth="1"/>
    <col min="1538" max="1538" width="41" style="215" customWidth="1"/>
    <col min="1539" max="1539" width="16" style="215" customWidth="1"/>
    <col min="1540" max="1540" width="16.140625" style="215" bestFit="1" customWidth="1"/>
    <col min="1541" max="1541" width="11.85546875" style="215" customWidth="1"/>
    <col min="1542" max="1542" width="12.42578125" style="215" bestFit="1" customWidth="1"/>
    <col min="1543" max="1544" width="13" style="215" bestFit="1" customWidth="1"/>
    <col min="1545" max="1545" width="12.5703125" style="215" bestFit="1" customWidth="1"/>
    <col min="1546" max="1546" width="13.42578125" style="215" bestFit="1" customWidth="1"/>
    <col min="1547" max="1547" width="13.5703125" style="215" bestFit="1" customWidth="1"/>
    <col min="1548" max="1548" width="14.5703125" style="215" bestFit="1" customWidth="1"/>
    <col min="1549" max="1549" width="14.85546875" style="215" bestFit="1" customWidth="1"/>
    <col min="1550" max="1550" width="17.140625" style="215" customWidth="1"/>
    <col min="1551" max="1551" width="16.42578125" style="215" bestFit="1" customWidth="1"/>
    <col min="1552" max="1552" width="17.140625" style="215" bestFit="1" customWidth="1"/>
    <col min="1553" max="1553" width="24.42578125" style="215" customWidth="1"/>
    <col min="1554" max="1554" width="18.42578125" style="215" bestFit="1" customWidth="1"/>
    <col min="1555" max="1555" width="18.5703125" style="215" bestFit="1" customWidth="1"/>
    <col min="1556" max="1556" width="19.42578125" style="215" bestFit="1" customWidth="1"/>
    <col min="1557" max="1557" width="20.42578125" style="215" bestFit="1" customWidth="1"/>
    <col min="1558" max="1558" width="20.85546875" style="215" bestFit="1" customWidth="1"/>
    <col min="1559" max="1559" width="21.42578125" style="215" bestFit="1" customWidth="1"/>
    <col min="1560" max="1561" width="22.42578125" style="215" bestFit="1" customWidth="1"/>
    <col min="1562" max="1563" width="23.85546875" style="215" bestFit="1" customWidth="1"/>
    <col min="1564" max="1565" width="24.85546875" style="215" bestFit="1" customWidth="1"/>
    <col min="1566" max="1570" width="11.42578125" style="215" bestFit="1" customWidth="1"/>
    <col min="1571" max="1575" width="12.42578125" style="215" bestFit="1" customWidth="1"/>
    <col min="1576" max="1576" width="12" style="215" bestFit="1" customWidth="1"/>
    <col min="1577" max="1792" width="8.85546875" style="215"/>
    <col min="1793" max="1793" width="7.42578125" style="215" customWidth="1"/>
    <col min="1794" max="1794" width="41" style="215" customWidth="1"/>
    <col min="1795" max="1795" width="16" style="215" customWidth="1"/>
    <col min="1796" max="1796" width="16.140625" style="215" bestFit="1" customWidth="1"/>
    <col min="1797" max="1797" width="11.85546875" style="215" customWidth="1"/>
    <col min="1798" max="1798" width="12.42578125" style="215" bestFit="1" customWidth="1"/>
    <col min="1799" max="1800" width="13" style="215" bestFit="1" customWidth="1"/>
    <col min="1801" max="1801" width="12.5703125" style="215" bestFit="1" customWidth="1"/>
    <col min="1802" max="1802" width="13.42578125" style="215" bestFit="1" customWidth="1"/>
    <col min="1803" max="1803" width="13.5703125" style="215" bestFit="1" customWidth="1"/>
    <col min="1804" max="1804" width="14.5703125" style="215" bestFit="1" customWidth="1"/>
    <col min="1805" max="1805" width="14.85546875" style="215" bestFit="1" customWidth="1"/>
    <col min="1806" max="1806" width="17.140625" style="215" customWidth="1"/>
    <col min="1807" max="1807" width="16.42578125" style="215" bestFit="1" customWidth="1"/>
    <col min="1808" max="1808" width="17.140625" style="215" bestFit="1" customWidth="1"/>
    <col min="1809" max="1809" width="24.42578125" style="215" customWidth="1"/>
    <col min="1810" max="1810" width="18.42578125" style="215" bestFit="1" customWidth="1"/>
    <col min="1811" max="1811" width="18.5703125" style="215" bestFit="1" customWidth="1"/>
    <col min="1812" max="1812" width="19.42578125" style="215" bestFit="1" customWidth="1"/>
    <col min="1813" max="1813" width="20.42578125" style="215" bestFit="1" customWidth="1"/>
    <col min="1814" max="1814" width="20.85546875" style="215" bestFit="1" customWidth="1"/>
    <col min="1815" max="1815" width="21.42578125" style="215" bestFit="1" customWidth="1"/>
    <col min="1816" max="1817" width="22.42578125" style="215" bestFit="1" customWidth="1"/>
    <col min="1818" max="1819" width="23.85546875" style="215" bestFit="1" customWidth="1"/>
    <col min="1820" max="1821" width="24.85546875" style="215" bestFit="1" customWidth="1"/>
    <col min="1822" max="1826" width="11.42578125" style="215" bestFit="1" customWidth="1"/>
    <col min="1827" max="1831" width="12.42578125" style="215" bestFit="1" customWidth="1"/>
    <col min="1832" max="1832" width="12" style="215" bestFit="1" customWidth="1"/>
    <col min="1833" max="2048" width="8.85546875" style="215"/>
    <col min="2049" max="2049" width="7.42578125" style="215" customWidth="1"/>
    <col min="2050" max="2050" width="41" style="215" customWidth="1"/>
    <col min="2051" max="2051" width="16" style="215" customWidth="1"/>
    <col min="2052" max="2052" width="16.140625" style="215" bestFit="1" customWidth="1"/>
    <col min="2053" max="2053" width="11.85546875" style="215" customWidth="1"/>
    <col min="2054" max="2054" width="12.42578125" style="215" bestFit="1" customWidth="1"/>
    <col min="2055" max="2056" width="13" style="215" bestFit="1" customWidth="1"/>
    <col min="2057" max="2057" width="12.5703125" style="215" bestFit="1" customWidth="1"/>
    <col min="2058" max="2058" width="13.42578125" style="215" bestFit="1" customWidth="1"/>
    <col min="2059" max="2059" width="13.5703125" style="215" bestFit="1" customWidth="1"/>
    <col min="2060" max="2060" width="14.5703125" style="215" bestFit="1" customWidth="1"/>
    <col min="2061" max="2061" width="14.85546875" style="215" bestFit="1" customWidth="1"/>
    <col min="2062" max="2062" width="17.140625" style="215" customWidth="1"/>
    <col min="2063" max="2063" width="16.42578125" style="215" bestFit="1" customWidth="1"/>
    <col min="2064" max="2064" width="17.140625" style="215" bestFit="1" customWidth="1"/>
    <col min="2065" max="2065" width="24.42578125" style="215" customWidth="1"/>
    <col min="2066" max="2066" width="18.42578125" style="215" bestFit="1" customWidth="1"/>
    <col min="2067" max="2067" width="18.5703125" style="215" bestFit="1" customWidth="1"/>
    <col min="2068" max="2068" width="19.42578125" style="215" bestFit="1" customWidth="1"/>
    <col min="2069" max="2069" width="20.42578125" style="215" bestFit="1" customWidth="1"/>
    <col min="2070" max="2070" width="20.85546875" style="215" bestFit="1" customWidth="1"/>
    <col min="2071" max="2071" width="21.42578125" style="215" bestFit="1" customWidth="1"/>
    <col min="2072" max="2073" width="22.42578125" style="215" bestFit="1" customWidth="1"/>
    <col min="2074" max="2075" width="23.85546875" style="215" bestFit="1" customWidth="1"/>
    <col min="2076" max="2077" width="24.85546875" style="215" bestFit="1" customWidth="1"/>
    <col min="2078" max="2082" width="11.42578125" style="215" bestFit="1" customWidth="1"/>
    <col min="2083" max="2087" width="12.42578125" style="215" bestFit="1" customWidth="1"/>
    <col min="2088" max="2088" width="12" style="215" bestFit="1" customWidth="1"/>
    <col min="2089" max="2304" width="8.85546875" style="215"/>
    <col min="2305" max="2305" width="7.42578125" style="215" customWidth="1"/>
    <col min="2306" max="2306" width="41" style="215" customWidth="1"/>
    <col min="2307" max="2307" width="16" style="215" customWidth="1"/>
    <col min="2308" max="2308" width="16.140625" style="215" bestFit="1" customWidth="1"/>
    <col min="2309" max="2309" width="11.85546875" style="215" customWidth="1"/>
    <col min="2310" max="2310" width="12.42578125" style="215" bestFit="1" customWidth="1"/>
    <col min="2311" max="2312" width="13" style="215" bestFit="1" customWidth="1"/>
    <col min="2313" max="2313" width="12.5703125" style="215" bestFit="1" customWidth="1"/>
    <col min="2314" max="2314" width="13.42578125" style="215" bestFit="1" customWidth="1"/>
    <col min="2315" max="2315" width="13.5703125" style="215" bestFit="1" customWidth="1"/>
    <col min="2316" max="2316" width="14.5703125" style="215" bestFit="1" customWidth="1"/>
    <col min="2317" max="2317" width="14.85546875" style="215" bestFit="1" customWidth="1"/>
    <col min="2318" max="2318" width="17.140625" style="215" customWidth="1"/>
    <col min="2319" max="2319" width="16.42578125" style="215" bestFit="1" customWidth="1"/>
    <col min="2320" max="2320" width="17.140625" style="215" bestFit="1" customWidth="1"/>
    <col min="2321" max="2321" width="24.42578125" style="215" customWidth="1"/>
    <col min="2322" max="2322" width="18.42578125" style="215" bestFit="1" customWidth="1"/>
    <col min="2323" max="2323" width="18.5703125" style="215" bestFit="1" customWidth="1"/>
    <col min="2324" max="2324" width="19.42578125" style="215" bestFit="1" customWidth="1"/>
    <col min="2325" max="2325" width="20.42578125" style="215" bestFit="1" customWidth="1"/>
    <col min="2326" max="2326" width="20.85546875" style="215" bestFit="1" customWidth="1"/>
    <col min="2327" max="2327" width="21.42578125" style="215" bestFit="1" customWidth="1"/>
    <col min="2328" max="2329" width="22.42578125" style="215" bestFit="1" customWidth="1"/>
    <col min="2330" max="2331" width="23.85546875" style="215" bestFit="1" customWidth="1"/>
    <col min="2332" max="2333" width="24.85546875" style="215" bestFit="1" customWidth="1"/>
    <col min="2334" max="2338" width="11.42578125" style="215" bestFit="1" customWidth="1"/>
    <col min="2339" max="2343" width="12.42578125" style="215" bestFit="1" customWidth="1"/>
    <col min="2344" max="2344" width="12" style="215" bestFit="1" customWidth="1"/>
    <col min="2345" max="2560" width="8.85546875" style="215"/>
    <col min="2561" max="2561" width="7.42578125" style="215" customWidth="1"/>
    <col min="2562" max="2562" width="41" style="215" customWidth="1"/>
    <col min="2563" max="2563" width="16" style="215" customWidth="1"/>
    <col min="2564" max="2564" width="16.140625" style="215" bestFit="1" customWidth="1"/>
    <col min="2565" max="2565" width="11.85546875" style="215" customWidth="1"/>
    <col min="2566" max="2566" width="12.42578125" style="215" bestFit="1" customWidth="1"/>
    <col min="2567" max="2568" width="13" style="215" bestFit="1" customWidth="1"/>
    <col min="2569" max="2569" width="12.5703125" style="215" bestFit="1" customWidth="1"/>
    <col min="2570" max="2570" width="13.42578125" style="215" bestFit="1" customWidth="1"/>
    <col min="2571" max="2571" width="13.5703125" style="215" bestFit="1" customWidth="1"/>
    <col min="2572" max="2572" width="14.5703125" style="215" bestFit="1" customWidth="1"/>
    <col min="2573" max="2573" width="14.85546875" style="215" bestFit="1" customWidth="1"/>
    <col min="2574" max="2574" width="17.140625" style="215" customWidth="1"/>
    <col min="2575" max="2575" width="16.42578125" style="215" bestFit="1" customWidth="1"/>
    <col min="2576" max="2576" width="17.140625" style="215" bestFit="1" customWidth="1"/>
    <col min="2577" max="2577" width="24.42578125" style="215" customWidth="1"/>
    <col min="2578" max="2578" width="18.42578125" style="215" bestFit="1" customWidth="1"/>
    <col min="2579" max="2579" width="18.5703125" style="215" bestFit="1" customWidth="1"/>
    <col min="2580" max="2580" width="19.42578125" style="215" bestFit="1" customWidth="1"/>
    <col min="2581" max="2581" width="20.42578125" style="215" bestFit="1" customWidth="1"/>
    <col min="2582" max="2582" width="20.85546875" style="215" bestFit="1" customWidth="1"/>
    <col min="2583" max="2583" width="21.42578125" style="215" bestFit="1" customWidth="1"/>
    <col min="2584" max="2585" width="22.42578125" style="215" bestFit="1" customWidth="1"/>
    <col min="2586" max="2587" width="23.85546875" style="215" bestFit="1" customWidth="1"/>
    <col min="2588" max="2589" width="24.85546875" style="215" bestFit="1" customWidth="1"/>
    <col min="2590" max="2594" width="11.42578125" style="215" bestFit="1" customWidth="1"/>
    <col min="2595" max="2599" width="12.42578125" style="215" bestFit="1" customWidth="1"/>
    <col min="2600" max="2600" width="12" style="215" bestFit="1" customWidth="1"/>
    <col min="2601" max="2816" width="8.85546875" style="215"/>
    <col min="2817" max="2817" width="7.42578125" style="215" customWidth="1"/>
    <col min="2818" max="2818" width="41" style="215" customWidth="1"/>
    <col min="2819" max="2819" width="16" style="215" customWidth="1"/>
    <col min="2820" max="2820" width="16.140625" style="215" bestFit="1" customWidth="1"/>
    <col min="2821" max="2821" width="11.85546875" style="215" customWidth="1"/>
    <col min="2822" max="2822" width="12.42578125" style="215" bestFit="1" customWidth="1"/>
    <col min="2823" max="2824" width="13" style="215" bestFit="1" customWidth="1"/>
    <col min="2825" max="2825" width="12.5703125" style="215" bestFit="1" customWidth="1"/>
    <col min="2826" max="2826" width="13.42578125" style="215" bestFit="1" customWidth="1"/>
    <col min="2827" max="2827" width="13.5703125" style="215" bestFit="1" customWidth="1"/>
    <col min="2828" max="2828" width="14.5703125" style="215" bestFit="1" customWidth="1"/>
    <col min="2829" max="2829" width="14.85546875" style="215" bestFit="1" customWidth="1"/>
    <col min="2830" max="2830" width="17.140625" style="215" customWidth="1"/>
    <col min="2831" max="2831" width="16.42578125" style="215" bestFit="1" customWidth="1"/>
    <col min="2832" max="2832" width="17.140625" style="215" bestFit="1" customWidth="1"/>
    <col min="2833" max="2833" width="24.42578125" style="215" customWidth="1"/>
    <col min="2834" max="2834" width="18.42578125" style="215" bestFit="1" customWidth="1"/>
    <col min="2835" max="2835" width="18.5703125" style="215" bestFit="1" customWidth="1"/>
    <col min="2836" max="2836" width="19.42578125" style="215" bestFit="1" customWidth="1"/>
    <col min="2837" max="2837" width="20.42578125" style="215" bestFit="1" customWidth="1"/>
    <col min="2838" max="2838" width="20.85546875" style="215" bestFit="1" customWidth="1"/>
    <col min="2839" max="2839" width="21.42578125" style="215" bestFit="1" customWidth="1"/>
    <col min="2840" max="2841" width="22.42578125" style="215" bestFit="1" customWidth="1"/>
    <col min="2842" max="2843" width="23.85546875" style="215" bestFit="1" customWidth="1"/>
    <col min="2844" max="2845" width="24.85546875" style="215" bestFit="1" customWidth="1"/>
    <col min="2846" max="2850" width="11.42578125" style="215" bestFit="1" customWidth="1"/>
    <col min="2851" max="2855" width="12.42578125" style="215" bestFit="1" customWidth="1"/>
    <col min="2856" max="2856" width="12" style="215" bestFit="1" customWidth="1"/>
    <col min="2857" max="3072" width="8.85546875" style="215"/>
    <col min="3073" max="3073" width="7.42578125" style="215" customWidth="1"/>
    <col min="3074" max="3074" width="41" style="215" customWidth="1"/>
    <col min="3075" max="3075" width="16" style="215" customWidth="1"/>
    <col min="3076" max="3076" width="16.140625" style="215" bestFit="1" customWidth="1"/>
    <col min="3077" max="3077" width="11.85546875" style="215" customWidth="1"/>
    <col min="3078" max="3078" width="12.42578125" style="215" bestFit="1" customWidth="1"/>
    <col min="3079" max="3080" width="13" style="215" bestFit="1" customWidth="1"/>
    <col min="3081" max="3081" width="12.5703125" style="215" bestFit="1" customWidth="1"/>
    <col min="3082" max="3082" width="13.42578125" style="215" bestFit="1" customWidth="1"/>
    <col min="3083" max="3083" width="13.5703125" style="215" bestFit="1" customWidth="1"/>
    <col min="3084" max="3084" width="14.5703125" style="215" bestFit="1" customWidth="1"/>
    <col min="3085" max="3085" width="14.85546875" style="215" bestFit="1" customWidth="1"/>
    <col min="3086" max="3086" width="17.140625" style="215" customWidth="1"/>
    <col min="3087" max="3087" width="16.42578125" style="215" bestFit="1" customWidth="1"/>
    <col min="3088" max="3088" width="17.140625" style="215" bestFit="1" customWidth="1"/>
    <col min="3089" max="3089" width="24.42578125" style="215" customWidth="1"/>
    <col min="3090" max="3090" width="18.42578125" style="215" bestFit="1" customWidth="1"/>
    <col min="3091" max="3091" width="18.5703125" style="215" bestFit="1" customWidth="1"/>
    <col min="3092" max="3092" width="19.42578125" style="215" bestFit="1" customWidth="1"/>
    <col min="3093" max="3093" width="20.42578125" style="215" bestFit="1" customWidth="1"/>
    <col min="3094" max="3094" width="20.85546875" style="215" bestFit="1" customWidth="1"/>
    <col min="3095" max="3095" width="21.42578125" style="215" bestFit="1" customWidth="1"/>
    <col min="3096" max="3097" width="22.42578125" style="215" bestFit="1" customWidth="1"/>
    <col min="3098" max="3099" width="23.85546875" style="215" bestFit="1" customWidth="1"/>
    <col min="3100" max="3101" width="24.85546875" style="215" bestFit="1" customWidth="1"/>
    <col min="3102" max="3106" width="11.42578125" style="215" bestFit="1" customWidth="1"/>
    <col min="3107" max="3111" width="12.42578125" style="215" bestFit="1" customWidth="1"/>
    <col min="3112" max="3112" width="12" style="215" bestFit="1" customWidth="1"/>
    <col min="3113" max="3328" width="8.85546875" style="215"/>
    <col min="3329" max="3329" width="7.42578125" style="215" customWidth="1"/>
    <col min="3330" max="3330" width="41" style="215" customWidth="1"/>
    <col min="3331" max="3331" width="16" style="215" customWidth="1"/>
    <col min="3332" max="3332" width="16.140625" style="215" bestFit="1" customWidth="1"/>
    <col min="3333" max="3333" width="11.85546875" style="215" customWidth="1"/>
    <col min="3334" max="3334" width="12.42578125" style="215" bestFit="1" customWidth="1"/>
    <col min="3335" max="3336" width="13" style="215" bestFit="1" customWidth="1"/>
    <col min="3337" max="3337" width="12.5703125" style="215" bestFit="1" customWidth="1"/>
    <col min="3338" max="3338" width="13.42578125" style="215" bestFit="1" customWidth="1"/>
    <col min="3339" max="3339" width="13.5703125" style="215" bestFit="1" customWidth="1"/>
    <col min="3340" max="3340" width="14.5703125" style="215" bestFit="1" customWidth="1"/>
    <col min="3341" max="3341" width="14.85546875" style="215" bestFit="1" customWidth="1"/>
    <col min="3342" max="3342" width="17.140625" style="215" customWidth="1"/>
    <col min="3343" max="3343" width="16.42578125" style="215" bestFit="1" customWidth="1"/>
    <col min="3344" max="3344" width="17.140625" style="215" bestFit="1" customWidth="1"/>
    <col min="3345" max="3345" width="24.42578125" style="215" customWidth="1"/>
    <col min="3346" max="3346" width="18.42578125" style="215" bestFit="1" customWidth="1"/>
    <col min="3347" max="3347" width="18.5703125" style="215" bestFit="1" customWidth="1"/>
    <col min="3348" max="3348" width="19.42578125" style="215" bestFit="1" customWidth="1"/>
    <col min="3349" max="3349" width="20.42578125" style="215" bestFit="1" customWidth="1"/>
    <col min="3350" max="3350" width="20.85546875" style="215" bestFit="1" customWidth="1"/>
    <col min="3351" max="3351" width="21.42578125" style="215" bestFit="1" customWidth="1"/>
    <col min="3352" max="3353" width="22.42578125" style="215" bestFit="1" customWidth="1"/>
    <col min="3354" max="3355" width="23.85546875" style="215" bestFit="1" customWidth="1"/>
    <col min="3356" max="3357" width="24.85546875" style="215" bestFit="1" customWidth="1"/>
    <col min="3358" max="3362" width="11.42578125" style="215" bestFit="1" customWidth="1"/>
    <col min="3363" max="3367" width="12.42578125" style="215" bestFit="1" customWidth="1"/>
    <col min="3368" max="3368" width="12" style="215" bestFit="1" customWidth="1"/>
    <col min="3369" max="3584" width="8.85546875" style="215"/>
    <col min="3585" max="3585" width="7.42578125" style="215" customWidth="1"/>
    <col min="3586" max="3586" width="41" style="215" customWidth="1"/>
    <col min="3587" max="3587" width="16" style="215" customWidth="1"/>
    <col min="3588" max="3588" width="16.140625" style="215" bestFit="1" customWidth="1"/>
    <col min="3589" max="3589" width="11.85546875" style="215" customWidth="1"/>
    <col min="3590" max="3590" width="12.42578125" style="215" bestFit="1" customWidth="1"/>
    <col min="3591" max="3592" width="13" style="215" bestFit="1" customWidth="1"/>
    <col min="3593" max="3593" width="12.5703125" style="215" bestFit="1" customWidth="1"/>
    <col min="3594" max="3594" width="13.42578125" style="215" bestFit="1" customWidth="1"/>
    <col min="3595" max="3595" width="13.5703125" style="215" bestFit="1" customWidth="1"/>
    <col min="3596" max="3596" width="14.5703125" style="215" bestFit="1" customWidth="1"/>
    <col min="3597" max="3597" width="14.85546875" style="215" bestFit="1" customWidth="1"/>
    <col min="3598" max="3598" width="17.140625" style="215" customWidth="1"/>
    <col min="3599" max="3599" width="16.42578125" style="215" bestFit="1" customWidth="1"/>
    <col min="3600" max="3600" width="17.140625" style="215" bestFit="1" customWidth="1"/>
    <col min="3601" max="3601" width="24.42578125" style="215" customWidth="1"/>
    <col min="3602" max="3602" width="18.42578125" style="215" bestFit="1" customWidth="1"/>
    <col min="3603" max="3603" width="18.5703125" style="215" bestFit="1" customWidth="1"/>
    <col min="3604" max="3604" width="19.42578125" style="215" bestFit="1" customWidth="1"/>
    <col min="3605" max="3605" width="20.42578125" style="215" bestFit="1" customWidth="1"/>
    <col min="3606" max="3606" width="20.85546875" style="215" bestFit="1" customWidth="1"/>
    <col min="3607" max="3607" width="21.42578125" style="215" bestFit="1" customWidth="1"/>
    <col min="3608" max="3609" width="22.42578125" style="215" bestFit="1" customWidth="1"/>
    <col min="3610" max="3611" width="23.85546875" style="215" bestFit="1" customWidth="1"/>
    <col min="3612" max="3613" width="24.85546875" style="215" bestFit="1" customWidth="1"/>
    <col min="3614" max="3618" width="11.42578125" style="215" bestFit="1" customWidth="1"/>
    <col min="3619" max="3623" width="12.42578125" style="215" bestFit="1" customWidth="1"/>
    <col min="3624" max="3624" width="12" style="215" bestFit="1" customWidth="1"/>
    <col min="3625" max="3840" width="8.85546875" style="215"/>
    <col min="3841" max="3841" width="7.42578125" style="215" customWidth="1"/>
    <col min="3842" max="3842" width="41" style="215" customWidth="1"/>
    <col min="3843" max="3843" width="16" style="215" customWidth="1"/>
    <col min="3844" max="3844" width="16.140625" style="215" bestFit="1" customWidth="1"/>
    <col min="3845" max="3845" width="11.85546875" style="215" customWidth="1"/>
    <col min="3846" max="3846" width="12.42578125" style="215" bestFit="1" customWidth="1"/>
    <col min="3847" max="3848" width="13" style="215" bestFit="1" customWidth="1"/>
    <col min="3849" max="3849" width="12.5703125" style="215" bestFit="1" customWidth="1"/>
    <col min="3850" max="3850" width="13.42578125" style="215" bestFit="1" customWidth="1"/>
    <col min="3851" max="3851" width="13.5703125" style="215" bestFit="1" customWidth="1"/>
    <col min="3852" max="3852" width="14.5703125" style="215" bestFit="1" customWidth="1"/>
    <col min="3853" max="3853" width="14.85546875" style="215" bestFit="1" customWidth="1"/>
    <col min="3854" max="3854" width="17.140625" style="215" customWidth="1"/>
    <col min="3855" max="3855" width="16.42578125" style="215" bestFit="1" customWidth="1"/>
    <col min="3856" max="3856" width="17.140625" style="215" bestFit="1" customWidth="1"/>
    <col min="3857" max="3857" width="24.42578125" style="215" customWidth="1"/>
    <col min="3858" max="3858" width="18.42578125" style="215" bestFit="1" customWidth="1"/>
    <col min="3859" max="3859" width="18.5703125" style="215" bestFit="1" customWidth="1"/>
    <col min="3860" max="3860" width="19.42578125" style="215" bestFit="1" customWidth="1"/>
    <col min="3861" max="3861" width="20.42578125" style="215" bestFit="1" customWidth="1"/>
    <col min="3862" max="3862" width="20.85546875" style="215" bestFit="1" customWidth="1"/>
    <col min="3863" max="3863" width="21.42578125" style="215" bestFit="1" customWidth="1"/>
    <col min="3864" max="3865" width="22.42578125" style="215" bestFit="1" customWidth="1"/>
    <col min="3866" max="3867" width="23.85546875" style="215" bestFit="1" customWidth="1"/>
    <col min="3868" max="3869" width="24.85546875" style="215" bestFit="1" customWidth="1"/>
    <col min="3870" max="3874" width="11.42578125" style="215" bestFit="1" customWidth="1"/>
    <col min="3875" max="3879" width="12.42578125" style="215" bestFit="1" customWidth="1"/>
    <col min="3880" max="3880" width="12" style="215" bestFit="1" customWidth="1"/>
    <col min="3881" max="4096" width="8.85546875" style="215"/>
    <col min="4097" max="4097" width="7.42578125" style="215" customWidth="1"/>
    <col min="4098" max="4098" width="41" style="215" customWidth="1"/>
    <col min="4099" max="4099" width="16" style="215" customWidth="1"/>
    <col min="4100" max="4100" width="16.140625" style="215" bestFit="1" customWidth="1"/>
    <col min="4101" max="4101" width="11.85546875" style="215" customWidth="1"/>
    <col min="4102" max="4102" width="12.42578125" style="215" bestFit="1" customWidth="1"/>
    <col min="4103" max="4104" width="13" style="215" bestFit="1" customWidth="1"/>
    <col min="4105" max="4105" width="12.5703125" style="215" bestFit="1" customWidth="1"/>
    <col min="4106" max="4106" width="13.42578125" style="215" bestFit="1" customWidth="1"/>
    <col min="4107" max="4107" width="13.5703125" style="215" bestFit="1" customWidth="1"/>
    <col min="4108" max="4108" width="14.5703125" style="215" bestFit="1" customWidth="1"/>
    <col min="4109" max="4109" width="14.85546875" style="215" bestFit="1" customWidth="1"/>
    <col min="4110" max="4110" width="17.140625" style="215" customWidth="1"/>
    <col min="4111" max="4111" width="16.42578125" style="215" bestFit="1" customWidth="1"/>
    <col min="4112" max="4112" width="17.140625" style="215" bestFit="1" customWidth="1"/>
    <col min="4113" max="4113" width="24.42578125" style="215" customWidth="1"/>
    <col min="4114" max="4114" width="18.42578125" style="215" bestFit="1" customWidth="1"/>
    <col min="4115" max="4115" width="18.5703125" style="215" bestFit="1" customWidth="1"/>
    <col min="4116" max="4116" width="19.42578125" style="215" bestFit="1" customWidth="1"/>
    <col min="4117" max="4117" width="20.42578125" style="215" bestFit="1" customWidth="1"/>
    <col min="4118" max="4118" width="20.85546875" style="215" bestFit="1" customWidth="1"/>
    <col min="4119" max="4119" width="21.42578125" style="215" bestFit="1" customWidth="1"/>
    <col min="4120" max="4121" width="22.42578125" style="215" bestFit="1" customWidth="1"/>
    <col min="4122" max="4123" width="23.85546875" style="215" bestFit="1" customWidth="1"/>
    <col min="4124" max="4125" width="24.85546875" style="215" bestFit="1" customWidth="1"/>
    <col min="4126" max="4130" width="11.42578125" style="215" bestFit="1" customWidth="1"/>
    <col min="4131" max="4135" width="12.42578125" style="215" bestFit="1" customWidth="1"/>
    <col min="4136" max="4136" width="12" style="215" bestFit="1" customWidth="1"/>
    <col min="4137" max="4352" width="8.85546875" style="215"/>
    <col min="4353" max="4353" width="7.42578125" style="215" customWidth="1"/>
    <col min="4354" max="4354" width="41" style="215" customWidth="1"/>
    <col min="4355" max="4355" width="16" style="215" customWidth="1"/>
    <col min="4356" max="4356" width="16.140625" style="215" bestFit="1" customWidth="1"/>
    <col min="4357" max="4357" width="11.85546875" style="215" customWidth="1"/>
    <col min="4358" max="4358" width="12.42578125" style="215" bestFit="1" customWidth="1"/>
    <col min="4359" max="4360" width="13" style="215" bestFit="1" customWidth="1"/>
    <col min="4361" max="4361" width="12.5703125" style="215" bestFit="1" customWidth="1"/>
    <col min="4362" max="4362" width="13.42578125" style="215" bestFit="1" customWidth="1"/>
    <col min="4363" max="4363" width="13.5703125" style="215" bestFit="1" customWidth="1"/>
    <col min="4364" max="4364" width="14.5703125" style="215" bestFit="1" customWidth="1"/>
    <col min="4365" max="4365" width="14.85546875" style="215" bestFit="1" customWidth="1"/>
    <col min="4366" max="4366" width="17.140625" style="215" customWidth="1"/>
    <col min="4367" max="4367" width="16.42578125" style="215" bestFit="1" customWidth="1"/>
    <col min="4368" max="4368" width="17.140625" style="215" bestFit="1" customWidth="1"/>
    <col min="4369" max="4369" width="24.42578125" style="215" customWidth="1"/>
    <col min="4370" max="4370" width="18.42578125" style="215" bestFit="1" customWidth="1"/>
    <col min="4371" max="4371" width="18.5703125" style="215" bestFit="1" customWidth="1"/>
    <col min="4372" max="4372" width="19.42578125" style="215" bestFit="1" customWidth="1"/>
    <col min="4373" max="4373" width="20.42578125" style="215" bestFit="1" customWidth="1"/>
    <col min="4374" max="4374" width="20.85546875" style="215" bestFit="1" customWidth="1"/>
    <col min="4375" max="4375" width="21.42578125" style="215" bestFit="1" customWidth="1"/>
    <col min="4376" max="4377" width="22.42578125" style="215" bestFit="1" customWidth="1"/>
    <col min="4378" max="4379" width="23.85546875" style="215" bestFit="1" customWidth="1"/>
    <col min="4380" max="4381" width="24.85546875" style="215" bestFit="1" customWidth="1"/>
    <col min="4382" max="4386" width="11.42578125" style="215" bestFit="1" customWidth="1"/>
    <col min="4387" max="4391" width="12.42578125" style="215" bestFit="1" customWidth="1"/>
    <col min="4392" max="4392" width="12" style="215" bestFit="1" customWidth="1"/>
    <col min="4393" max="4608" width="8.85546875" style="215"/>
    <col min="4609" max="4609" width="7.42578125" style="215" customWidth="1"/>
    <col min="4610" max="4610" width="41" style="215" customWidth="1"/>
    <col min="4611" max="4611" width="16" style="215" customWidth="1"/>
    <col min="4612" max="4612" width="16.140625" style="215" bestFit="1" customWidth="1"/>
    <col min="4613" max="4613" width="11.85546875" style="215" customWidth="1"/>
    <col min="4614" max="4614" width="12.42578125" style="215" bestFit="1" customWidth="1"/>
    <col min="4615" max="4616" width="13" style="215" bestFit="1" customWidth="1"/>
    <col min="4617" max="4617" width="12.5703125" style="215" bestFit="1" customWidth="1"/>
    <col min="4618" max="4618" width="13.42578125" style="215" bestFit="1" customWidth="1"/>
    <col min="4619" max="4619" width="13.5703125" style="215" bestFit="1" customWidth="1"/>
    <col min="4620" max="4620" width="14.5703125" style="215" bestFit="1" customWidth="1"/>
    <col min="4621" max="4621" width="14.85546875" style="215" bestFit="1" customWidth="1"/>
    <col min="4622" max="4622" width="17.140625" style="215" customWidth="1"/>
    <col min="4623" max="4623" width="16.42578125" style="215" bestFit="1" customWidth="1"/>
    <col min="4624" max="4624" width="17.140625" style="215" bestFit="1" customWidth="1"/>
    <col min="4625" max="4625" width="24.42578125" style="215" customWidth="1"/>
    <col min="4626" max="4626" width="18.42578125" style="215" bestFit="1" customWidth="1"/>
    <col min="4627" max="4627" width="18.5703125" style="215" bestFit="1" customWidth="1"/>
    <col min="4628" max="4628" width="19.42578125" style="215" bestFit="1" customWidth="1"/>
    <col min="4629" max="4629" width="20.42578125" style="215" bestFit="1" customWidth="1"/>
    <col min="4630" max="4630" width="20.85546875" style="215" bestFit="1" customWidth="1"/>
    <col min="4631" max="4631" width="21.42578125" style="215" bestFit="1" customWidth="1"/>
    <col min="4632" max="4633" width="22.42578125" style="215" bestFit="1" customWidth="1"/>
    <col min="4634" max="4635" width="23.85546875" style="215" bestFit="1" customWidth="1"/>
    <col min="4636" max="4637" width="24.85546875" style="215" bestFit="1" customWidth="1"/>
    <col min="4638" max="4642" width="11.42578125" style="215" bestFit="1" customWidth="1"/>
    <col min="4643" max="4647" width="12.42578125" style="215" bestFit="1" customWidth="1"/>
    <col min="4648" max="4648" width="12" style="215" bestFit="1" customWidth="1"/>
    <col min="4649" max="4864" width="8.85546875" style="215"/>
    <col min="4865" max="4865" width="7.42578125" style="215" customWidth="1"/>
    <col min="4866" max="4866" width="41" style="215" customWidth="1"/>
    <col min="4867" max="4867" width="16" style="215" customWidth="1"/>
    <col min="4868" max="4868" width="16.140625" style="215" bestFit="1" customWidth="1"/>
    <col min="4869" max="4869" width="11.85546875" style="215" customWidth="1"/>
    <col min="4870" max="4870" width="12.42578125" style="215" bestFit="1" customWidth="1"/>
    <col min="4871" max="4872" width="13" style="215" bestFit="1" customWidth="1"/>
    <col min="4873" max="4873" width="12.5703125" style="215" bestFit="1" customWidth="1"/>
    <col min="4874" max="4874" width="13.42578125" style="215" bestFit="1" customWidth="1"/>
    <col min="4875" max="4875" width="13.5703125" style="215" bestFit="1" customWidth="1"/>
    <col min="4876" max="4876" width="14.5703125" style="215" bestFit="1" customWidth="1"/>
    <col min="4877" max="4877" width="14.85546875" style="215" bestFit="1" customWidth="1"/>
    <col min="4878" max="4878" width="17.140625" style="215" customWidth="1"/>
    <col min="4879" max="4879" width="16.42578125" style="215" bestFit="1" customWidth="1"/>
    <col min="4880" max="4880" width="17.140625" style="215" bestFit="1" customWidth="1"/>
    <col min="4881" max="4881" width="24.42578125" style="215" customWidth="1"/>
    <col min="4882" max="4882" width="18.42578125" style="215" bestFit="1" customWidth="1"/>
    <col min="4883" max="4883" width="18.5703125" style="215" bestFit="1" customWidth="1"/>
    <col min="4884" max="4884" width="19.42578125" style="215" bestFit="1" customWidth="1"/>
    <col min="4885" max="4885" width="20.42578125" style="215" bestFit="1" customWidth="1"/>
    <col min="4886" max="4886" width="20.85546875" style="215" bestFit="1" customWidth="1"/>
    <col min="4887" max="4887" width="21.42578125" style="215" bestFit="1" customWidth="1"/>
    <col min="4888" max="4889" width="22.42578125" style="215" bestFit="1" customWidth="1"/>
    <col min="4890" max="4891" width="23.85546875" style="215" bestFit="1" customWidth="1"/>
    <col min="4892" max="4893" width="24.85546875" style="215" bestFit="1" customWidth="1"/>
    <col min="4894" max="4898" width="11.42578125" style="215" bestFit="1" customWidth="1"/>
    <col min="4899" max="4903" width="12.42578125" style="215" bestFit="1" customWidth="1"/>
    <col min="4904" max="4904" width="12" style="215" bestFit="1" customWidth="1"/>
    <col min="4905" max="5120" width="8.85546875" style="215"/>
    <col min="5121" max="5121" width="7.42578125" style="215" customWidth="1"/>
    <col min="5122" max="5122" width="41" style="215" customWidth="1"/>
    <col min="5123" max="5123" width="16" style="215" customWidth="1"/>
    <col min="5124" max="5124" width="16.140625" style="215" bestFit="1" customWidth="1"/>
    <col min="5125" max="5125" width="11.85546875" style="215" customWidth="1"/>
    <col min="5126" max="5126" width="12.42578125" style="215" bestFit="1" customWidth="1"/>
    <col min="5127" max="5128" width="13" style="215" bestFit="1" customWidth="1"/>
    <col min="5129" max="5129" width="12.5703125" style="215" bestFit="1" customWidth="1"/>
    <col min="5130" max="5130" width="13.42578125" style="215" bestFit="1" customWidth="1"/>
    <col min="5131" max="5131" width="13.5703125" style="215" bestFit="1" customWidth="1"/>
    <col min="5132" max="5132" width="14.5703125" style="215" bestFit="1" customWidth="1"/>
    <col min="5133" max="5133" width="14.85546875" style="215" bestFit="1" customWidth="1"/>
    <col min="5134" max="5134" width="17.140625" style="215" customWidth="1"/>
    <col min="5135" max="5135" width="16.42578125" style="215" bestFit="1" customWidth="1"/>
    <col min="5136" max="5136" width="17.140625" style="215" bestFit="1" customWidth="1"/>
    <col min="5137" max="5137" width="24.42578125" style="215" customWidth="1"/>
    <col min="5138" max="5138" width="18.42578125" style="215" bestFit="1" customWidth="1"/>
    <col min="5139" max="5139" width="18.5703125" style="215" bestFit="1" customWidth="1"/>
    <col min="5140" max="5140" width="19.42578125" style="215" bestFit="1" customWidth="1"/>
    <col min="5141" max="5141" width="20.42578125" style="215" bestFit="1" customWidth="1"/>
    <col min="5142" max="5142" width="20.85546875" style="215" bestFit="1" customWidth="1"/>
    <col min="5143" max="5143" width="21.42578125" style="215" bestFit="1" customWidth="1"/>
    <col min="5144" max="5145" width="22.42578125" style="215" bestFit="1" customWidth="1"/>
    <col min="5146" max="5147" width="23.85546875" style="215" bestFit="1" customWidth="1"/>
    <col min="5148" max="5149" width="24.85546875" style="215" bestFit="1" customWidth="1"/>
    <col min="5150" max="5154" width="11.42578125" style="215" bestFit="1" customWidth="1"/>
    <col min="5155" max="5159" width="12.42578125" style="215" bestFit="1" customWidth="1"/>
    <col min="5160" max="5160" width="12" style="215" bestFit="1" customWidth="1"/>
    <col min="5161" max="5376" width="8.85546875" style="215"/>
    <col min="5377" max="5377" width="7.42578125" style="215" customWidth="1"/>
    <col min="5378" max="5378" width="41" style="215" customWidth="1"/>
    <col min="5379" max="5379" width="16" style="215" customWidth="1"/>
    <col min="5380" max="5380" width="16.140625" style="215" bestFit="1" customWidth="1"/>
    <col min="5381" max="5381" width="11.85546875" style="215" customWidth="1"/>
    <col min="5382" max="5382" width="12.42578125" style="215" bestFit="1" customWidth="1"/>
    <col min="5383" max="5384" width="13" style="215" bestFit="1" customWidth="1"/>
    <col min="5385" max="5385" width="12.5703125" style="215" bestFit="1" customWidth="1"/>
    <col min="5386" max="5386" width="13.42578125" style="215" bestFit="1" customWidth="1"/>
    <col min="5387" max="5387" width="13.5703125" style="215" bestFit="1" customWidth="1"/>
    <col min="5388" max="5388" width="14.5703125" style="215" bestFit="1" customWidth="1"/>
    <col min="5389" max="5389" width="14.85546875" style="215" bestFit="1" customWidth="1"/>
    <col min="5390" max="5390" width="17.140625" style="215" customWidth="1"/>
    <col min="5391" max="5391" width="16.42578125" style="215" bestFit="1" customWidth="1"/>
    <col min="5392" max="5392" width="17.140625" style="215" bestFit="1" customWidth="1"/>
    <col min="5393" max="5393" width="24.42578125" style="215" customWidth="1"/>
    <col min="5394" max="5394" width="18.42578125" style="215" bestFit="1" customWidth="1"/>
    <col min="5395" max="5395" width="18.5703125" style="215" bestFit="1" customWidth="1"/>
    <col min="5396" max="5396" width="19.42578125" style="215" bestFit="1" customWidth="1"/>
    <col min="5397" max="5397" width="20.42578125" style="215" bestFit="1" customWidth="1"/>
    <col min="5398" max="5398" width="20.85546875" style="215" bestFit="1" customWidth="1"/>
    <col min="5399" max="5399" width="21.42578125" style="215" bestFit="1" customWidth="1"/>
    <col min="5400" max="5401" width="22.42578125" style="215" bestFit="1" customWidth="1"/>
    <col min="5402" max="5403" width="23.85546875" style="215" bestFit="1" customWidth="1"/>
    <col min="5404" max="5405" width="24.85546875" style="215" bestFit="1" customWidth="1"/>
    <col min="5406" max="5410" width="11.42578125" style="215" bestFit="1" customWidth="1"/>
    <col min="5411" max="5415" width="12.42578125" style="215" bestFit="1" customWidth="1"/>
    <col min="5416" max="5416" width="12" style="215" bestFit="1" customWidth="1"/>
    <col min="5417" max="5632" width="8.85546875" style="215"/>
    <col min="5633" max="5633" width="7.42578125" style="215" customWidth="1"/>
    <col min="5634" max="5634" width="41" style="215" customWidth="1"/>
    <col min="5635" max="5635" width="16" style="215" customWidth="1"/>
    <col min="5636" max="5636" width="16.140625" style="215" bestFit="1" customWidth="1"/>
    <col min="5637" max="5637" width="11.85546875" style="215" customWidth="1"/>
    <col min="5638" max="5638" width="12.42578125" style="215" bestFit="1" customWidth="1"/>
    <col min="5639" max="5640" width="13" style="215" bestFit="1" customWidth="1"/>
    <col min="5641" max="5641" width="12.5703125" style="215" bestFit="1" customWidth="1"/>
    <col min="5642" max="5642" width="13.42578125" style="215" bestFit="1" customWidth="1"/>
    <col min="5643" max="5643" width="13.5703125" style="215" bestFit="1" customWidth="1"/>
    <col min="5644" max="5644" width="14.5703125" style="215" bestFit="1" customWidth="1"/>
    <col min="5645" max="5645" width="14.85546875" style="215" bestFit="1" customWidth="1"/>
    <col min="5646" max="5646" width="17.140625" style="215" customWidth="1"/>
    <col min="5647" max="5647" width="16.42578125" style="215" bestFit="1" customWidth="1"/>
    <col min="5648" max="5648" width="17.140625" style="215" bestFit="1" customWidth="1"/>
    <col min="5649" max="5649" width="24.42578125" style="215" customWidth="1"/>
    <col min="5650" max="5650" width="18.42578125" style="215" bestFit="1" customWidth="1"/>
    <col min="5651" max="5651" width="18.5703125" style="215" bestFit="1" customWidth="1"/>
    <col min="5652" max="5652" width="19.42578125" style="215" bestFit="1" customWidth="1"/>
    <col min="5653" max="5653" width="20.42578125" style="215" bestFit="1" customWidth="1"/>
    <col min="5654" max="5654" width="20.85546875" style="215" bestFit="1" customWidth="1"/>
    <col min="5655" max="5655" width="21.42578125" style="215" bestFit="1" customWidth="1"/>
    <col min="5656" max="5657" width="22.42578125" style="215" bestFit="1" customWidth="1"/>
    <col min="5658" max="5659" width="23.85546875" style="215" bestFit="1" customWidth="1"/>
    <col min="5660" max="5661" width="24.85546875" style="215" bestFit="1" customWidth="1"/>
    <col min="5662" max="5666" width="11.42578125" style="215" bestFit="1" customWidth="1"/>
    <col min="5667" max="5671" width="12.42578125" style="215" bestFit="1" customWidth="1"/>
    <col min="5672" max="5672" width="12" style="215" bestFit="1" customWidth="1"/>
    <col min="5673" max="5888" width="8.85546875" style="215"/>
    <col min="5889" max="5889" width="7.42578125" style="215" customWidth="1"/>
    <col min="5890" max="5890" width="41" style="215" customWidth="1"/>
    <col min="5891" max="5891" width="16" style="215" customWidth="1"/>
    <col min="5892" max="5892" width="16.140625" style="215" bestFit="1" customWidth="1"/>
    <col min="5893" max="5893" width="11.85546875" style="215" customWidth="1"/>
    <col min="5894" max="5894" width="12.42578125" style="215" bestFit="1" customWidth="1"/>
    <col min="5895" max="5896" width="13" style="215" bestFit="1" customWidth="1"/>
    <col min="5897" max="5897" width="12.5703125" style="215" bestFit="1" customWidth="1"/>
    <col min="5898" max="5898" width="13.42578125" style="215" bestFit="1" customWidth="1"/>
    <col min="5899" max="5899" width="13.5703125" style="215" bestFit="1" customWidth="1"/>
    <col min="5900" max="5900" width="14.5703125" style="215" bestFit="1" customWidth="1"/>
    <col min="5901" max="5901" width="14.85546875" style="215" bestFit="1" customWidth="1"/>
    <col min="5902" max="5902" width="17.140625" style="215" customWidth="1"/>
    <col min="5903" max="5903" width="16.42578125" style="215" bestFit="1" customWidth="1"/>
    <col min="5904" max="5904" width="17.140625" style="215" bestFit="1" customWidth="1"/>
    <col min="5905" max="5905" width="24.42578125" style="215" customWidth="1"/>
    <col min="5906" max="5906" width="18.42578125" style="215" bestFit="1" customWidth="1"/>
    <col min="5907" max="5907" width="18.5703125" style="215" bestFit="1" customWidth="1"/>
    <col min="5908" max="5908" width="19.42578125" style="215" bestFit="1" customWidth="1"/>
    <col min="5909" max="5909" width="20.42578125" style="215" bestFit="1" customWidth="1"/>
    <col min="5910" max="5910" width="20.85546875" style="215" bestFit="1" customWidth="1"/>
    <col min="5911" max="5911" width="21.42578125" style="215" bestFit="1" customWidth="1"/>
    <col min="5912" max="5913" width="22.42578125" style="215" bestFit="1" customWidth="1"/>
    <col min="5914" max="5915" width="23.85546875" style="215" bestFit="1" customWidth="1"/>
    <col min="5916" max="5917" width="24.85546875" style="215" bestFit="1" customWidth="1"/>
    <col min="5918" max="5922" width="11.42578125" style="215" bestFit="1" customWidth="1"/>
    <col min="5923" max="5927" width="12.42578125" style="215" bestFit="1" customWidth="1"/>
    <col min="5928" max="5928" width="12" style="215" bestFit="1" customWidth="1"/>
    <col min="5929" max="6144" width="8.85546875" style="215"/>
    <col min="6145" max="6145" width="7.42578125" style="215" customWidth="1"/>
    <col min="6146" max="6146" width="41" style="215" customWidth="1"/>
    <col min="6147" max="6147" width="16" style="215" customWidth="1"/>
    <col min="6148" max="6148" width="16.140625" style="215" bestFit="1" customWidth="1"/>
    <col min="6149" max="6149" width="11.85546875" style="215" customWidth="1"/>
    <col min="6150" max="6150" width="12.42578125" style="215" bestFit="1" customWidth="1"/>
    <col min="6151" max="6152" width="13" style="215" bestFit="1" customWidth="1"/>
    <col min="6153" max="6153" width="12.5703125" style="215" bestFit="1" customWidth="1"/>
    <col min="6154" max="6154" width="13.42578125" style="215" bestFit="1" customWidth="1"/>
    <col min="6155" max="6155" width="13.5703125" style="215" bestFit="1" customWidth="1"/>
    <col min="6156" max="6156" width="14.5703125" style="215" bestFit="1" customWidth="1"/>
    <col min="6157" max="6157" width="14.85546875" style="215" bestFit="1" customWidth="1"/>
    <col min="6158" max="6158" width="17.140625" style="215" customWidth="1"/>
    <col min="6159" max="6159" width="16.42578125" style="215" bestFit="1" customWidth="1"/>
    <col min="6160" max="6160" width="17.140625" style="215" bestFit="1" customWidth="1"/>
    <col min="6161" max="6161" width="24.42578125" style="215" customWidth="1"/>
    <col min="6162" max="6162" width="18.42578125" style="215" bestFit="1" customWidth="1"/>
    <col min="6163" max="6163" width="18.5703125" style="215" bestFit="1" customWidth="1"/>
    <col min="6164" max="6164" width="19.42578125" style="215" bestFit="1" customWidth="1"/>
    <col min="6165" max="6165" width="20.42578125" style="215" bestFit="1" customWidth="1"/>
    <col min="6166" max="6166" width="20.85546875" style="215" bestFit="1" customWidth="1"/>
    <col min="6167" max="6167" width="21.42578125" style="215" bestFit="1" customWidth="1"/>
    <col min="6168" max="6169" width="22.42578125" style="215" bestFit="1" customWidth="1"/>
    <col min="6170" max="6171" width="23.85546875" style="215" bestFit="1" customWidth="1"/>
    <col min="6172" max="6173" width="24.85546875" style="215" bestFit="1" customWidth="1"/>
    <col min="6174" max="6178" width="11.42578125" style="215" bestFit="1" customWidth="1"/>
    <col min="6179" max="6183" width="12.42578125" style="215" bestFit="1" customWidth="1"/>
    <col min="6184" max="6184" width="12" style="215" bestFit="1" customWidth="1"/>
    <col min="6185" max="6400" width="8.85546875" style="215"/>
    <col min="6401" max="6401" width="7.42578125" style="215" customWidth="1"/>
    <col min="6402" max="6402" width="41" style="215" customWidth="1"/>
    <col min="6403" max="6403" width="16" style="215" customWidth="1"/>
    <col min="6404" max="6404" width="16.140625" style="215" bestFit="1" customWidth="1"/>
    <col min="6405" max="6405" width="11.85546875" style="215" customWidth="1"/>
    <col min="6406" max="6406" width="12.42578125" style="215" bestFit="1" customWidth="1"/>
    <col min="6407" max="6408" width="13" style="215" bestFit="1" customWidth="1"/>
    <col min="6409" max="6409" width="12.5703125" style="215" bestFit="1" customWidth="1"/>
    <col min="6410" max="6410" width="13.42578125" style="215" bestFit="1" customWidth="1"/>
    <col min="6411" max="6411" width="13.5703125" style="215" bestFit="1" customWidth="1"/>
    <col min="6412" max="6412" width="14.5703125" style="215" bestFit="1" customWidth="1"/>
    <col min="6413" max="6413" width="14.85546875" style="215" bestFit="1" customWidth="1"/>
    <col min="6414" max="6414" width="17.140625" style="215" customWidth="1"/>
    <col min="6415" max="6415" width="16.42578125" style="215" bestFit="1" customWidth="1"/>
    <col min="6416" max="6416" width="17.140625" style="215" bestFit="1" customWidth="1"/>
    <col min="6417" max="6417" width="24.42578125" style="215" customWidth="1"/>
    <col min="6418" max="6418" width="18.42578125" style="215" bestFit="1" customWidth="1"/>
    <col min="6419" max="6419" width="18.5703125" style="215" bestFit="1" customWidth="1"/>
    <col min="6420" max="6420" width="19.42578125" style="215" bestFit="1" customWidth="1"/>
    <col min="6421" max="6421" width="20.42578125" style="215" bestFit="1" customWidth="1"/>
    <col min="6422" max="6422" width="20.85546875" style="215" bestFit="1" customWidth="1"/>
    <col min="6423" max="6423" width="21.42578125" style="215" bestFit="1" customWidth="1"/>
    <col min="6424" max="6425" width="22.42578125" style="215" bestFit="1" customWidth="1"/>
    <col min="6426" max="6427" width="23.85546875" style="215" bestFit="1" customWidth="1"/>
    <col min="6428" max="6429" width="24.85546875" style="215" bestFit="1" customWidth="1"/>
    <col min="6430" max="6434" width="11.42578125" style="215" bestFit="1" customWidth="1"/>
    <col min="6435" max="6439" width="12.42578125" style="215" bestFit="1" customWidth="1"/>
    <col min="6440" max="6440" width="12" style="215" bestFit="1" customWidth="1"/>
    <col min="6441" max="6656" width="8.85546875" style="215"/>
    <col min="6657" max="6657" width="7.42578125" style="215" customWidth="1"/>
    <col min="6658" max="6658" width="41" style="215" customWidth="1"/>
    <col min="6659" max="6659" width="16" style="215" customWidth="1"/>
    <col min="6660" max="6660" width="16.140625" style="215" bestFit="1" customWidth="1"/>
    <col min="6661" max="6661" width="11.85546875" style="215" customWidth="1"/>
    <col min="6662" max="6662" width="12.42578125" style="215" bestFit="1" customWidth="1"/>
    <col min="6663" max="6664" width="13" style="215" bestFit="1" customWidth="1"/>
    <col min="6665" max="6665" width="12.5703125" style="215" bestFit="1" customWidth="1"/>
    <col min="6666" max="6666" width="13.42578125" style="215" bestFit="1" customWidth="1"/>
    <col min="6667" max="6667" width="13.5703125" style="215" bestFit="1" customWidth="1"/>
    <col min="6668" max="6668" width="14.5703125" style="215" bestFit="1" customWidth="1"/>
    <col min="6669" max="6669" width="14.85546875" style="215" bestFit="1" customWidth="1"/>
    <col min="6670" max="6670" width="17.140625" style="215" customWidth="1"/>
    <col min="6671" max="6671" width="16.42578125" style="215" bestFit="1" customWidth="1"/>
    <col min="6672" max="6672" width="17.140625" style="215" bestFit="1" customWidth="1"/>
    <col min="6673" max="6673" width="24.42578125" style="215" customWidth="1"/>
    <col min="6674" max="6674" width="18.42578125" style="215" bestFit="1" customWidth="1"/>
    <col min="6675" max="6675" width="18.5703125" style="215" bestFit="1" customWidth="1"/>
    <col min="6676" max="6676" width="19.42578125" style="215" bestFit="1" customWidth="1"/>
    <col min="6677" max="6677" width="20.42578125" style="215" bestFit="1" customWidth="1"/>
    <col min="6678" max="6678" width="20.85546875" style="215" bestFit="1" customWidth="1"/>
    <col min="6679" max="6679" width="21.42578125" style="215" bestFit="1" customWidth="1"/>
    <col min="6680" max="6681" width="22.42578125" style="215" bestFit="1" customWidth="1"/>
    <col min="6682" max="6683" width="23.85546875" style="215" bestFit="1" customWidth="1"/>
    <col min="6684" max="6685" width="24.85546875" style="215" bestFit="1" customWidth="1"/>
    <col min="6686" max="6690" width="11.42578125" style="215" bestFit="1" customWidth="1"/>
    <col min="6691" max="6695" width="12.42578125" style="215" bestFit="1" customWidth="1"/>
    <col min="6696" max="6696" width="12" style="215" bestFit="1" customWidth="1"/>
    <col min="6697" max="6912" width="8.85546875" style="215"/>
    <col min="6913" max="6913" width="7.42578125" style="215" customWidth="1"/>
    <col min="6914" max="6914" width="41" style="215" customWidth="1"/>
    <col min="6915" max="6915" width="16" style="215" customWidth="1"/>
    <col min="6916" max="6916" width="16.140625" style="215" bestFit="1" customWidth="1"/>
    <col min="6917" max="6917" width="11.85546875" style="215" customWidth="1"/>
    <col min="6918" max="6918" width="12.42578125" style="215" bestFit="1" customWidth="1"/>
    <col min="6919" max="6920" width="13" style="215" bestFit="1" customWidth="1"/>
    <col min="6921" max="6921" width="12.5703125" style="215" bestFit="1" customWidth="1"/>
    <col min="6922" max="6922" width="13.42578125" style="215" bestFit="1" customWidth="1"/>
    <col min="6923" max="6923" width="13.5703125" style="215" bestFit="1" customWidth="1"/>
    <col min="6924" max="6924" width="14.5703125" style="215" bestFit="1" customWidth="1"/>
    <col min="6925" max="6925" width="14.85546875" style="215" bestFit="1" customWidth="1"/>
    <col min="6926" max="6926" width="17.140625" style="215" customWidth="1"/>
    <col min="6927" max="6927" width="16.42578125" style="215" bestFit="1" customWidth="1"/>
    <col min="6928" max="6928" width="17.140625" style="215" bestFit="1" customWidth="1"/>
    <col min="6929" max="6929" width="24.42578125" style="215" customWidth="1"/>
    <col min="6930" max="6930" width="18.42578125" style="215" bestFit="1" customWidth="1"/>
    <col min="6931" max="6931" width="18.5703125" style="215" bestFit="1" customWidth="1"/>
    <col min="6932" max="6932" width="19.42578125" style="215" bestFit="1" customWidth="1"/>
    <col min="6933" max="6933" width="20.42578125" style="215" bestFit="1" customWidth="1"/>
    <col min="6934" max="6934" width="20.85546875" style="215" bestFit="1" customWidth="1"/>
    <col min="6935" max="6935" width="21.42578125" style="215" bestFit="1" customWidth="1"/>
    <col min="6936" max="6937" width="22.42578125" style="215" bestFit="1" customWidth="1"/>
    <col min="6938" max="6939" width="23.85546875" style="215" bestFit="1" customWidth="1"/>
    <col min="6940" max="6941" width="24.85546875" style="215" bestFit="1" customWidth="1"/>
    <col min="6942" max="6946" width="11.42578125" style="215" bestFit="1" customWidth="1"/>
    <col min="6947" max="6951" width="12.42578125" style="215" bestFit="1" customWidth="1"/>
    <col min="6952" max="6952" width="12" style="215" bestFit="1" customWidth="1"/>
    <col min="6953" max="7168" width="8.85546875" style="215"/>
    <col min="7169" max="7169" width="7.42578125" style="215" customWidth="1"/>
    <col min="7170" max="7170" width="41" style="215" customWidth="1"/>
    <col min="7171" max="7171" width="16" style="215" customWidth="1"/>
    <col min="7172" max="7172" width="16.140625" style="215" bestFit="1" customWidth="1"/>
    <col min="7173" max="7173" width="11.85546875" style="215" customWidth="1"/>
    <col min="7174" max="7174" width="12.42578125" style="215" bestFit="1" customWidth="1"/>
    <col min="7175" max="7176" width="13" style="215" bestFit="1" customWidth="1"/>
    <col min="7177" max="7177" width="12.5703125" style="215" bestFit="1" customWidth="1"/>
    <col min="7178" max="7178" width="13.42578125" style="215" bestFit="1" customWidth="1"/>
    <col min="7179" max="7179" width="13.5703125" style="215" bestFit="1" customWidth="1"/>
    <col min="7180" max="7180" width="14.5703125" style="215" bestFit="1" customWidth="1"/>
    <col min="7181" max="7181" width="14.85546875" style="215" bestFit="1" customWidth="1"/>
    <col min="7182" max="7182" width="17.140625" style="215" customWidth="1"/>
    <col min="7183" max="7183" width="16.42578125" style="215" bestFit="1" customWidth="1"/>
    <col min="7184" max="7184" width="17.140625" style="215" bestFit="1" customWidth="1"/>
    <col min="7185" max="7185" width="24.42578125" style="215" customWidth="1"/>
    <col min="7186" max="7186" width="18.42578125" style="215" bestFit="1" customWidth="1"/>
    <col min="7187" max="7187" width="18.5703125" style="215" bestFit="1" customWidth="1"/>
    <col min="7188" max="7188" width="19.42578125" style="215" bestFit="1" customWidth="1"/>
    <col min="7189" max="7189" width="20.42578125" style="215" bestFit="1" customWidth="1"/>
    <col min="7190" max="7190" width="20.85546875" style="215" bestFit="1" customWidth="1"/>
    <col min="7191" max="7191" width="21.42578125" style="215" bestFit="1" customWidth="1"/>
    <col min="7192" max="7193" width="22.42578125" style="215" bestFit="1" customWidth="1"/>
    <col min="7194" max="7195" width="23.85546875" style="215" bestFit="1" customWidth="1"/>
    <col min="7196" max="7197" width="24.85546875" style="215" bestFit="1" customWidth="1"/>
    <col min="7198" max="7202" width="11.42578125" style="215" bestFit="1" customWidth="1"/>
    <col min="7203" max="7207" width="12.42578125" style="215" bestFit="1" customWidth="1"/>
    <col min="7208" max="7208" width="12" style="215" bestFit="1" customWidth="1"/>
    <col min="7209" max="7424" width="8.85546875" style="215"/>
    <col min="7425" max="7425" width="7.42578125" style="215" customWidth="1"/>
    <col min="7426" max="7426" width="41" style="215" customWidth="1"/>
    <col min="7427" max="7427" width="16" style="215" customWidth="1"/>
    <col min="7428" max="7428" width="16.140625" style="215" bestFit="1" customWidth="1"/>
    <col min="7429" max="7429" width="11.85546875" style="215" customWidth="1"/>
    <col min="7430" max="7430" width="12.42578125" style="215" bestFit="1" customWidth="1"/>
    <col min="7431" max="7432" width="13" style="215" bestFit="1" customWidth="1"/>
    <col min="7433" max="7433" width="12.5703125" style="215" bestFit="1" customWidth="1"/>
    <col min="7434" max="7434" width="13.42578125" style="215" bestFit="1" customWidth="1"/>
    <col min="7435" max="7435" width="13.5703125" style="215" bestFit="1" customWidth="1"/>
    <col min="7436" max="7436" width="14.5703125" style="215" bestFit="1" customWidth="1"/>
    <col min="7437" max="7437" width="14.85546875" style="215" bestFit="1" customWidth="1"/>
    <col min="7438" max="7438" width="17.140625" style="215" customWidth="1"/>
    <col min="7439" max="7439" width="16.42578125" style="215" bestFit="1" customWidth="1"/>
    <col min="7440" max="7440" width="17.140625" style="215" bestFit="1" customWidth="1"/>
    <col min="7441" max="7441" width="24.42578125" style="215" customWidth="1"/>
    <col min="7442" max="7442" width="18.42578125" style="215" bestFit="1" customWidth="1"/>
    <col min="7443" max="7443" width="18.5703125" style="215" bestFit="1" customWidth="1"/>
    <col min="7444" max="7444" width="19.42578125" style="215" bestFit="1" customWidth="1"/>
    <col min="7445" max="7445" width="20.42578125" style="215" bestFit="1" customWidth="1"/>
    <col min="7446" max="7446" width="20.85546875" style="215" bestFit="1" customWidth="1"/>
    <col min="7447" max="7447" width="21.42578125" style="215" bestFit="1" customWidth="1"/>
    <col min="7448" max="7449" width="22.42578125" style="215" bestFit="1" customWidth="1"/>
    <col min="7450" max="7451" width="23.85546875" style="215" bestFit="1" customWidth="1"/>
    <col min="7452" max="7453" width="24.85546875" style="215" bestFit="1" customWidth="1"/>
    <col min="7454" max="7458" width="11.42578125" style="215" bestFit="1" customWidth="1"/>
    <col min="7459" max="7463" width="12.42578125" style="215" bestFit="1" customWidth="1"/>
    <col min="7464" max="7464" width="12" style="215" bestFit="1" customWidth="1"/>
    <col min="7465" max="7680" width="8.85546875" style="215"/>
    <col min="7681" max="7681" width="7.42578125" style="215" customWidth="1"/>
    <col min="7682" max="7682" width="41" style="215" customWidth="1"/>
    <col min="7683" max="7683" width="16" style="215" customWidth="1"/>
    <col min="7684" max="7684" width="16.140625" style="215" bestFit="1" customWidth="1"/>
    <col min="7685" max="7685" width="11.85546875" style="215" customWidth="1"/>
    <col min="7686" max="7686" width="12.42578125" style="215" bestFit="1" customWidth="1"/>
    <col min="7687" max="7688" width="13" style="215" bestFit="1" customWidth="1"/>
    <col min="7689" max="7689" width="12.5703125" style="215" bestFit="1" customWidth="1"/>
    <col min="7690" max="7690" width="13.42578125" style="215" bestFit="1" customWidth="1"/>
    <col min="7691" max="7691" width="13.5703125" style="215" bestFit="1" customWidth="1"/>
    <col min="7692" max="7692" width="14.5703125" style="215" bestFit="1" customWidth="1"/>
    <col min="7693" max="7693" width="14.85546875" style="215" bestFit="1" customWidth="1"/>
    <col min="7694" max="7694" width="17.140625" style="215" customWidth="1"/>
    <col min="7695" max="7695" width="16.42578125" style="215" bestFit="1" customWidth="1"/>
    <col min="7696" max="7696" width="17.140625" style="215" bestFit="1" customWidth="1"/>
    <col min="7697" max="7697" width="24.42578125" style="215" customWidth="1"/>
    <col min="7698" max="7698" width="18.42578125" style="215" bestFit="1" customWidth="1"/>
    <col min="7699" max="7699" width="18.5703125" style="215" bestFit="1" customWidth="1"/>
    <col min="7700" max="7700" width="19.42578125" style="215" bestFit="1" customWidth="1"/>
    <col min="7701" max="7701" width="20.42578125" style="215" bestFit="1" customWidth="1"/>
    <col min="7702" max="7702" width="20.85546875" style="215" bestFit="1" customWidth="1"/>
    <col min="7703" max="7703" width="21.42578125" style="215" bestFit="1" customWidth="1"/>
    <col min="7704" max="7705" width="22.42578125" style="215" bestFit="1" customWidth="1"/>
    <col min="7706" max="7707" width="23.85546875" style="215" bestFit="1" customWidth="1"/>
    <col min="7708" max="7709" width="24.85546875" style="215" bestFit="1" customWidth="1"/>
    <col min="7710" max="7714" width="11.42578125" style="215" bestFit="1" customWidth="1"/>
    <col min="7715" max="7719" width="12.42578125" style="215" bestFit="1" customWidth="1"/>
    <col min="7720" max="7720" width="12" style="215" bestFit="1" customWidth="1"/>
    <col min="7721" max="7936" width="8.85546875" style="215"/>
    <col min="7937" max="7937" width="7.42578125" style="215" customWidth="1"/>
    <col min="7938" max="7938" width="41" style="215" customWidth="1"/>
    <col min="7939" max="7939" width="16" style="215" customWidth="1"/>
    <col min="7940" max="7940" width="16.140625" style="215" bestFit="1" customWidth="1"/>
    <col min="7941" max="7941" width="11.85546875" style="215" customWidth="1"/>
    <col min="7942" max="7942" width="12.42578125" style="215" bestFit="1" customWidth="1"/>
    <col min="7943" max="7944" width="13" style="215" bestFit="1" customWidth="1"/>
    <col min="7945" max="7945" width="12.5703125" style="215" bestFit="1" customWidth="1"/>
    <col min="7946" max="7946" width="13.42578125" style="215" bestFit="1" customWidth="1"/>
    <col min="7947" max="7947" width="13.5703125" style="215" bestFit="1" customWidth="1"/>
    <col min="7948" max="7948" width="14.5703125" style="215" bestFit="1" customWidth="1"/>
    <col min="7949" max="7949" width="14.85546875" style="215" bestFit="1" customWidth="1"/>
    <col min="7950" max="7950" width="17.140625" style="215" customWidth="1"/>
    <col min="7951" max="7951" width="16.42578125" style="215" bestFit="1" customWidth="1"/>
    <col min="7952" max="7952" width="17.140625" style="215" bestFit="1" customWidth="1"/>
    <col min="7953" max="7953" width="24.42578125" style="215" customWidth="1"/>
    <col min="7954" max="7954" width="18.42578125" style="215" bestFit="1" customWidth="1"/>
    <col min="7955" max="7955" width="18.5703125" style="215" bestFit="1" customWidth="1"/>
    <col min="7956" max="7956" width="19.42578125" style="215" bestFit="1" customWidth="1"/>
    <col min="7957" max="7957" width="20.42578125" style="215" bestFit="1" customWidth="1"/>
    <col min="7958" max="7958" width="20.85546875" style="215" bestFit="1" customWidth="1"/>
    <col min="7959" max="7959" width="21.42578125" style="215" bestFit="1" customWidth="1"/>
    <col min="7960" max="7961" width="22.42578125" style="215" bestFit="1" customWidth="1"/>
    <col min="7962" max="7963" width="23.85546875" style="215" bestFit="1" customWidth="1"/>
    <col min="7964" max="7965" width="24.85546875" style="215" bestFit="1" customWidth="1"/>
    <col min="7966" max="7970" width="11.42578125" style="215" bestFit="1" customWidth="1"/>
    <col min="7971" max="7975" width="12.42578125" style="215" bestFit="1" customWidth="1"/>
    <col min="7976" max="7976" width="12" style="215" bestFit="1" customWidth="1"/>
    <col min="7977" max="8192" width="8.85546875" style="215"/>
    <col min="8193" max="8193" width="7.42578125" style="215" customWidth="1"/>
    <col min="8194" max="8194" width="41" style="215" customWidth="1"/>
    <col min="8195" max="8195" width="16" style="215" customWidth="1"/>
    <col min="8196" max="8196" width="16.140625" style="215" bestFit="1" customWidth="1"/>
    <col min="8197" max="8197" width="11.85546875" style="215" customWidth="1"/>
    <col min="8198" max="8198" width="12.42578125" style="215" bestFit="1" customWidth="1"/>
    <col min="8199" max="8200" width="13" style="215" bestFit="1" customWidth="1"/>
    <col min="8201" max="8201" width="12.5703125" style="215" bestFit="1" customWidth="1"/>
    <col min="8202" max="8202" width="13.42578125" style="215" bestFit="1" customWidth="1"/>
    <col min="8203" max="8203" width="13.5703125" style="215" bestFit="1" customWidth="1"/>
    <col min="8204" max="8204" width="14.5703125" style="215" bestFit="1" customWidth="1"/>
    <col min="8205" max="8205" width="14.85546875" style="215" bestFit="1" customWidth="1"/>
    <col min="8206" max="8206" width="17.140625" style="215" customWidth="1"/>
    <col min="8207" max="8207" width="16.42578125" style="215" bestFit="1" customWidth="1"/>
    <col min="8208" max="8208" width="17.140625" style="215" bestFit="1" customWidth="1"/>
    <col min="8209" max="8209" width="24.42578125" style="215" customWidth="1"/>
    <col min="8210" max="8210" width="18.42578125" style="215" bestFit="1" customWidth="1"/>
    <col min="8211" max="8211" width="18.5703125" style="215" bestFit="1" customWidth="1"/>
    <col min="8212" max="8212" width="19.42578125" style="215" bestFit="1" customWidth="1"/>
    <col min="8213" max="8213" width="20.42578125" style="215" bestFit="1" customWidth="1"/>
    <col min="8214" max="8214" width="20.85546875" style="215" bestFit="1" customWidth="1"/>
    <col min="8215" max="8215" width="21.42578125" style="215" bestFit="1" customWidth="1"/>
    <col min="8216" max="8217" width="22.42578125" style="215" bestFit="1" customWidth="1"/>
    <col min="8218" max="8219" width="23.85546875" style="215" bestFit="1" customWidth="1"/>
    <col min="8220" max="8221" width="24.85546875" style="215" bestFit="1" customWidth="1"/>
    <col min="8222" max="8226" width="11.42578125" style="215" bestFit="1" customWidth="1"/>
    <col min="8227" max="8231" width="12.42578125" style="215" bestFit="1" customWidth="1"/>
    <col min="8232" max="8232" width="12" style="215" bestFit="1" customWidth="1"/>
    <col min="8233" max="8448" width="8.85546875" style="215"/>
    <col min="8449" max="8449" width="7.42578125" style="215" customWidth="1"/>
    <col min="8450" max="8450" width="41" style="215" customWidth="1"/>
    <col min="8451" max="8451" width="16" style="215" customWidth="1"/>
    <col min="8452" max="8452" width="16.140625" style="215" bestFit="1" customWidth="1"/>
    <col min="8453" max="8453" width="11.85546875" style="215" customWidth="1"/>
    <col min="8454" max="8454" width="12.42578125" style="215" bestFit="1" customWidth="1"/>
    <col min="8455" max="8456" width="13" style="215" bestFit="1" customWidth="1"/>
    <col min="8457" max="8457" width="12.5703125" style="215" bestFit="1" customWidth="1"/>
    <col min="8458" max="8458" width="13.42578125" style="215" bestFit="1" customWidth="1"/>
    <col min="8459" max="8459" width="13.5703125" style="215" bestFit="1" customWidth="1"/>
    <col min="8460" max="8460" width="14.5703125" style="215" bestFit="1" customWidth="1"/>
    <col min="8461" max="8461" width="14.85546875" style="215" bestFit="1" customWidth="1"/>
    <col min="8462" max="8462" width="17.140625" style="215" customWidth="1"/>
    <col min="8463" max="8463" width="16.42578125" style="215" bestFit="1" customWidth="1"/>
    <col min="8464" max="8464" width="17.140625" style="215" bestFit="1" customWidth="1"/>
    <col min="8465" max="8465" width="24.42578125" style="215" customWidth="1"/>
    <col min="8466" max="8466" width="18.42578125" style="215" bestFit="1" customWidth="1"/>
    <col min="8467" max="8467" width="18.5703125" style="215" bestFit="1" customWidth="1"/>
    <col min="8468" max="8468" width="19.42578125" style="215" bestFit="1" customWidth="1"/>
    <col min="8469" max="8469" width="20.42578125" style="215" bestFit="1" customWidth="1"/>
    <col min="8470" max="8470" width="20.85546875" style="215" bestFit="1" customWidth="1"/>
    <col min="8471" max="8471" width="21.42578125" style="215" bestFit="1" customWidth="1"/>
    <col min="8472" max="8473" width="22.42578125" style="215" bestFit="1" customWidth="1"/>
    <col min="8474" max="8475" width="23.85546875" style="215" bestFit="1" customWidth="1"/>
    <col min="8476" max="8477" width="24.85546875" style="215" bestFit="1" customWidth="1"/>
    <col min="8478" max="8482" width="11.42578125" style="215" bestFit="1" customWidth="1"/>
    <col min="8483" max="8487" width="12.42578125" style="215" bestFit="1" customWidth="1"/>
    <col min="8488" max="8488" width="12" style="215" bestFit="1" customWidth="1"/>
    <col min="8489" max="8704" width="8.85546875" style="215"/>
    <col min="8705" max="8705" width="7.42578125" style="215" customWidth="1"/>
    <col min="8706" max="8706" width="41" style="215" customWidth="1"/>
    <col min="8707" max="8707" width="16" style="215" customWidth="1"/>
    <col min="8708" max="8708" width="16.140625" style="215" bestFit="1" customWidth="1"/>
    <col min="8709" max="8709" width="11.85546875" style="215" customWidth="1"/>
    <col min="8710" max="8710" width="12.42578125" style="215" bestFit="1" customWidth="1"/>
    <col min="8711" max="8712" width="13" style="215" bestFit="1" customWidth="1"/>
    <col min="8713" max="8713" width="12.5703125" style="215" bestFit="1" customWidth="1"/>
    <col min="8714" max="8714" width="13.42578125" style="215" bestFit="1" customWidth="1"/>
    <col min="8715" max="8715" width="13.5703125" style="215" bestFit="1" customWidth="1"/>
    <col min="8716" max="8716" width="14.5703125" style="215" bestFit="1" customWidth="1"/>
    <col min="8717" max="8717" width="14.85546875" style="215" bestFit="1" customWidth="1"/>
    <col min="8718" max="8718" width="17.140625" style="215" customWidth="1"/>
    <col min="8719" max="8719" width="16.42578125" style="215" bestFit="1" customWidth="1"/>
    <col min="8720" max="8720" width="17.140625" style="215" bestFit="1" customWidth="1"/>
    <col min="8721" max="8721" width="24.42578125" style="215" customWidth="1"/>
    <col min="8722" max="8722" width="18.42578125" style="215" bestFit="1" customWidth="1"/>
    <col min="8723" max="8723" width="18.5703125" style="215" bestFit="1" customWidth="1"/>
    <col min="8724" max="8724" width="19.42578125" style="215" bestFit="1" customWidth="1"/>
    <col min="8725" max="8725" width="20.42578125" style="215" bestFit="1" customWidth="1"/>
    <col min="8726" max="8726" width="20.85546875" style="215" bestFit="1" customWidth="1"/>
    <col min="8727" max="8727" width="21.42578125" style="215" bestFit="1" customWidth="1"/>
    <col min="8728" max="8729" width="22.42578125" style="215" bestFit="1" customWidth="1"/>
    <col min="8730" max="8731" width="23.85546875" style="215" bestFit="1" customWidth="1"/>
    <col min="8732" max="8733" width="24.85546875" style="215" bestFit="1" customWidth="1"/>
    <col min="8734" max="8738" width="11.42578125" style="215" bestFit="1" customWidth="1"/>
    <col min="8739" max="8743" width="12.42578125" style="215" bestFit="1" customWidth="1"/>
    <col min="8744" max="8744" width="12" style="215" bestFit="1" customWidth="1"/>
    <col min="8745" max="8960" width="8.85546875" style="215"/>
    <col min="8961" max="8961" width="7.42578125" style="215" customWidth="1"/>
    <col min="8962" max="8962" width="41" style="215" customWidth="1"/>
    <col min="8963" max="8963" width="16" style="215" customWidth="1"/>
    <col min="8964" max="8964" width="16.140625" style="215" bestFit="1" customWidth="1"/>
    <col min="8965" max="8965" width="11.85546875" style="215" customWidth="1"/>
    <col min="8966" max="8966" width="12.42578125" style="215" bestFit="1" customWidth="1"/>
    <col min="8967" max="8968" width="13" style="215" bestFit="1" customWidth="1"/>
    <col min="8969" max="8969" width="12.5703125" style="215" bestFit="1" customWidth="1"/>
    <col min="8970" max="8970" width="13.42578125" style="215" bestFit="1" customWidth="1"/>
    <col min="8971" max="8971" width="13.5703125" style="215" bestFit="1" customWidth="1"/>
    <col min="8972" max="8972" width="14.5703125" style="215" bestFit="1" customWidth="1"/>
    <col min="8973" max="8973" width="14.85546875" style="215" bestFit="1" customWidth="1"/>
    <col min="8974" max="8974" width="17.140625" style="215" customWidth="1"/>
    <col min="8975" max="8975" width="16.42578125" style="215" bestFit="1" customWidth="1"/>
    <col min="8976" max="8976" width="17.140625" style="215" bestFit="1" customWidth="1"/>
    <col min="8977" max="8977" width="24.42578125" style="215" customWidth="1"/>
    <col min="8978" max="8978" width="18.42578125" style="215" bestFit="1" customWidth="1"/>
    <col min="8979" max="8979" width="18.5703125" style="215" bestFit="1" customWidth="1"/>
    <col min="8980" max="8980" width="19.42578125" style="215" bestFit="1" customWidth="1"/>
    <col min="8981" max="8981" width="20.42578125" style="215" bestFit="1" customWidth="1"/>
    <col min="8982" max="8982" width="20.85546875" style="215" bestFit="1" customWidth="1"/>
    <col min="8983" max="8983" width="21.42578125" style="215" bestFit="1" customWidth="1"/>
    <col min="8984" max="8985" width="22.42578125" style="215" bestFit="1" customWidth="1"/>
    <col min="8986" max="8987" width="23.85546875" style="215" bestFit="1" customWidth="1"/>
    <col min="8988" max="8989" width="24.85546875" style="215" bestFit="1" customWidth="1"/>
    <col min="8990" max="8994" width="11.42578125" style="215" bestFit="1" customWidth="1"/>
    <col min="8995" max="8999" width="12.42578125" style="215" bestFit="1" customWidth="1"/>
    <col min="9000" max="9000" width="12" style="215" bestFit="1" customWidth="1"/>
    <col min="9001" max="9216" width="8.85546875" style="215"/>
    <col min="9217" max="9217" width="7.42578125" style="215" customWidth="1"/>
    <col min="9218" max="9218" width="41" style="215" customWidth="1"/>
    <col min="9219" max="9219" width="16" style="215" customWidth="1"/>
    <col min="9220" max="9220" width="16.140625" style="215" bestFit="1" customWidth="1"/>
    <col min="9221" max="9221" width="11.85546875" style="215" customWidth="1"/>
    <col min="9222" max="9222" width="12.42578125" style="215" bestFit="1" customWidth="1"/>
    <col min="9223" max="9224" width="13" style="215" bestFit="1" customWidth="1"/>
    <col min="9225" max="9225" width="12.5703125" style="215" bestFit="1" customWidth="1"/>
    <col min="9226" max="9226" width="13.42578125" style="215" bestFit="1" customWidth="1"/>
    <col min="9227" max="9227" width="13.5703125" style="215" bestFit="1" customWidth="1"/>
    <col min="9228" max="9228" width="14.5703125" style="215" bestFit="1" customWidth="1"/>
    <col min="9229" max="9229" width="14.85546875" style="215" bestFit="1" customWidth="1"/>
    <col min="9230" max="9230" width="17.140625" style="215" customWidth="1"/>
    <col min="9231" max="9231" width="16.42578125" style="215" bestFit="1" customWidth="1"/>
    <col min="9232" max="9232" width="17.140625" style="215" bestFit="1" customWidth="1"/>
    <col min="9233" max="9233" width="24.42578125" style="215" customWidth="1"/>
    <col min="9234" max="9234" width="18.42578125" style="215" bestFit="1" customWidth="1"/>
    <col min="9235" max="9235" width="18.5703125" style="215" bestFit="1" customWidth="1"/>
    <col min="9236" max="9236" width="19.42578125" style="215" bestFit="1" customWidth="1"/>
    <col min="9237" max="9237" width="20.42578125" style="215" bestFit="1" customWidth="1"/>
    <col min="9238" max="9238" width="20.85546875" style="215" bestFit="1" customWidth="1"/>
    <col min="9239" max="9239" width="21.42578125" style="215" bestFit="1" customWidth="1"/>
    <col min="9240" max="9241" width="22.42578125" style="215" bestFit="1" customWidth="1"/>
    <col min="9242" max="9243" width="23.85546875" style="215" bestFit="1" customWidth="1"/>
    <col min="9244" max="9245" width="24.85546875" style="215" bestFit="1" customWidth="1"/>
    <col min="9246" max="9250" width="11.42578125" style="215" bestFit="1" customWidth="1"/>
    <col min="9251" max="9255" width="12.42578125" style="215" bestFit="1" customWidth="1"/>
    <col min="9256" max="9256" width="12" style="215" bestFit="1" customWidth="1"/>
    <col min="9257" max="9472" width="8.85546875" style="215"/>
    <col min="9473" max="9473" width="7.42578125" style="215" customWidth="1"/>
    <col min="9474" max="9474" width="41" style="215" customWidth="1"/>
    <col min="9475" max="9475" width="16" style="215" customWidth="1"/>
    <col min="9476" max="9476" width="16.140625" style="215" bestFit="1" customWidth="1"/>
    <col min="9477" max="9477" width="11.85546875" style="215" customWidth="1"/>
    <col min="9478" max="9478" width="12.42578125" style="215" bestFit="1" customWidth="1"/>
    <col min="9479" max="9480" width="13" style="215" bestFit="1" customWidth="1"/>
    <col min="9481" max="9481" width="12.5703125" style="215" bestFit="1" customWidth="1"/>
    <col min="9482" max="9482" width="13.42578125" style="215" bestFit="1" customWidth="1"/>
    <col min="9483" max="9483" width="13.5703125" style="215" bestFit="1" customWidth="1"/>
    <col min="9484" max="9484" width="14.5703125" style="215" bestFit="1" customWidth="1"/>
    <col min="9485" max="9485" width="14.85546875" style="215" bestFit="1" customWidth="1"/>
    <col min="9486" max="9486" width="17.140625" style="215" customWidth="1"/>
    <col min="9487" max="9487" width="16.42578125" style="215" bestFit="1" customWidth="1"/>
    <col min="9488" max="9488" width="17.140625" style="215" bestFit="1" customWidth="1"/>
    <col min="9489" max="9489" width="24.42578125" style="215" customWidth="1"/>
    <col min="9490" max="9490" width="18.42578125" style="215" bestFit="1" customWidth="1"/>
    <col min="9491" max="9491" width="18.5703125" style="215" bestFit="1" customWidth="1"/>
    <col min="9492" max="9492" width="19.42578125" style="215" bestFit="1" customWidth="1"/>
    <col min="9493" max="9493" width="20.42578125" style="215" bestFit="1" customWidth="1"/>
    <col min="9494" max="9494" width="20.85546875" style="215" bestFit="1" customWidth="1"/>
    <col min="9495" max="9495" width="21.42578125" style="215" bestFit="1" customWidth="1"/>
    <col min="9496" max="9497" width="22.42578125" style="215" bestFit="1" customWidth="1"/>
    <col min="9498" max="9499" width="23.85546875" style="215" bestFit="1" customWidth="1"/>
    <col min="9500" max="9501" width="24.85546875" style="215" bestFit="1" customWidth="1"/>
    <col min="9502" max="9506" width="11.42578125" style="215" bestFit="1" customWidth="1"/>
    <col min="9507" max="9511" width="12.42578125" style="215" bestFit="1" customWidth="1"/>
    <col min="9512" max="9512" width="12" style="215" bestFit="1" customWidth="1"/>
    <col min="9513" max="9728" width="8.85546875" style="215"/>
    <col min="9729" max="9729" width="7.42578125" style="215" customWidth="1"/>
    <col min="9730" max="9730" width="41" style="215" customWidth="1"/>
    <col min="9731" max="9731" width="16" style="215" customWidth="1"/>
    <col min="9732" max="9732" width="16.140625" style="215" bestFit="1" customWidth="1"/>
    <col min="9733" max="9733" width="11.85546875" style="215" customWidth="1"/>
    <col min="9734" max="9734" width="12.42578125" style="215" bestFit="1" customWidth="1"/>
    <col min="9735" max="9736" width="13" style="215" bestFit="1" customWidth="1"/>
    <col min="9737" max="9737" width="12.5703125" style="215" bestFit="1" customWidth="1"/>
    <col min="9738" max="9738" width="13.42578125" style="215" bestFit="1" customWidth="1"/>
    <col min="9739" max="9739" width="13.5703125" style="215" bestFit="1" customWidth="1"/>
    <col min="9740" max="9740" width="14.5703125" style="215" bestFit="1" customWidth="1"/>
    <col min="9741" max="9741" width="14.85546875" style="215" bestFit="1" customWidth="1"/>
    <col min="9742" max="9742" width="17.140625" style="215" customWidth="1"/>
    <col min="9743" max="9743" width="16.42578125" style="215" bestFit="1" customWidth="1"/>
    <col min="9744" max="9744" width="17.140625" style="215" bestFit="1" customWidth="1"/>
    <col min="9745" max="9745" width="24.42578125" style="215" customWidth="1"/>
    <col min="9746" max="9746" width="18.42578125" style="215" bestFit="1" customWidth="1"/>
    <col min="9747" max="9747" width="18.5703125" style="215" bestFit="1" customWidth="1"/>
    <col min="9748" max="9748" width="19.42578125" style="215" bestFit="1" customWidth="1"/>
    <col min="9749" max="9749" width="20.42578125" style="215" bestFit="1" customWidth="1"/>
    <col min="9750" max="9750" width="20.85546875" style="215" bestFit="1" customWidth="1"/>
    <col min="9751" max="9751" width="21.42578125" style="215" bestFit="1" customWidth="1"/>
    <col min="9752" max="9753" width="22.42578125" style="215" bestFit="1" customWidth="1"/>
    <col min="9754" max="9755" width="23.85546875" style="215" bestFit="1" customWidth="1"/>
    <col min="9756" max="9757" width="24.85546875" style="215" bestFit="1" customWidth="1"/>
    <col min="9758" max="9762" width="11.42578125" style="215" bestFit="1" customWidth="1"/>
    <col min="9763" max="9767" width="12.42578125" style="215" bestFit="1" customWidth="1"/>
    <col min="9768" max="9768" width="12" style="215" bestFit="1" customWidth="1"/>
    <col min="9769" max="9984" width="8.85546875" style="215"/>
    <col min="9985" max="9985" width="7.42578125" style="215" customWidth="1"/>
    <col min="9986" max="9986" width="41" style="215" customWidth="1"/>
    <col min="9987" max="9987" width="16" style="215" customWidth="1"/>
    <col min="9988" max="9988" width="16.140625" style="215" bestFit="1" customWidth="1"/>
    <col min="9989" max="9989" width="11.85546875" style="215" customWidth="1"/>
    <col min="9990" max="9990" width="12.42578125" style="215" bestFit="1" customWidth="1"/>
    <col min="9991" max="9992" width="13" style="215" bestFit="1" customWidth="1"/>
    <col min="9993" max="9993" width="12.5703125" style="215" bestFit="1" customWidth="1"/>
    <col min="9994" max="9994" width="13.42578125" style="215" bestFit="1" customWidth="1"/>
    <col min="9995" max="9995" width="13.5703125" style="215" bestFit="1" customWidth="1"/>
    <col min="9996" max="9996" width="14.5703125" style="215" bestFit="1" customWidth="1"/>
    <col min="9997" max="9997" width="14.85546875" style="215" bestFit="1" customWidth="1"/>
    <col min="9998" max="9998" width="17.140625" style="215" customWidth="1"/>
    <col min="9999" max="9999" width="16.42578125" style="215" bestFit="1" customWidth="1"/>
    <col min="10000" max="10000" width="17.140625" style="215" bestFit="1" customWidth="1"/>
    <col min="10001" max="10001" width="24.42578125" style="215" customWidth="1"/>
    <col min="10002" max="10002" width="18.42578125" style="215" bestFit="1" customWidth="1"/>
    <col min="10003" max="10003" width="18.5703125" style="215" bestFit="1" customWidth="1"/>
    <col min="10004" max="10004" width="19.42578125" style="215" bestFit="1" customWidth="1"/>
    <col min="10005" max="10005" width="20.42578125" style="215" bestFit="1" customWidth="1"/>
    <col min="10006" max="10006" width="20.85546875" style="215" bestFit="1" customWidth="1"/>
    <col min="10007" max="10007" width="21.42578125" style="215" bestFit="1" customWidth="1"/>
    <col min="10008" max="10009" width="22.42578125" style="215" bestFit="1" customWidth="1"/>
    <col min="10010" max="10011" width="23.85546875" style="215" bestFit="1" customWidth="1"/>
    <col min="10012" max="10013" width="24.85546875" style="215" bestFit="1" customWidth="1"/>
    <col min="10014" max="10018" width="11.42578125" style="215" bestFit="1" customWidth="1"/>
    <col min="10019" max="10023" width="12.42578125" style="215" bestFit="1" customWidth="1"/>
    <col min="10024" max="10024" width="12" style="215" bestFit="1" customWidth="1"/>
    <col min="10025" max="10240" width="8.85546875" style="215"/>
    <col min="10241" max="10241" width="7.42578125" style="215" customWidth="1"/>
    <col min="10242" max="10242" width="41" style="215" customWidth="1"/>
    <col min="10243" max="10243" width="16" style="215" customWidth="1"/>
    <col min="10244" max="10244" width="16.140625" style="215" bestFit="1" customWidth="1"/>
    <col min="10245" max="10245" width="11.85546875" style="215" customWidth="1"/>
    <col min="10246" max="10246" width="12.42578125" style="215" bestFit="1" customWidth="1"/>
    <col min="10247" max="10248" width="13" style="215" bestFit="1" customWidth="1"/>
    <col min="10249" max="10249" width="12.5703125" style="215" bestFit="1" customWidth="1"/>
    <col min="10250" max="10250" width="13.42578125" style="215" bestFit="1" customWidth="1"/>
    <col min="10251" max="10251" width="13.5703125" style="215" bestFit="1" customWidth="1"/>
    <col min="10252" max="10252" width="14.5703125" style="215" bestFit="1" customWidth="1"/>
    <col min="10253" max="10253" width="14.85546875" style="215" bestFit="1" customWidth="1"/>
    <col min="10254" max="10254" width="17.140625" style="215" customWidth="1"/>
    <col min="10255" max="10255" width="16.42578125" style="215" bestFit="1" customWidth="1"/>
    <col min="10256" max="10256" width="17.140625" style="215" bestFit="1" customWidth="1"/>
    <col min="10257" max="10257" width="24.42578125" style="215" customWidth="1"/>
    <col min="10258" max="10258" width="18.42578125" style="215" bestFit="1" customWidth="1"/>
    <col min="10259" max="10259" width="18.5703125" style="215" bestFit="1" customWidth="1"/>
    <col min="10260" max="10260" width="19.42578125" style="215" bestFit="1" customWidth="1"/>
    <col min="10261" max="10261" width="20.42578125" style="215" bestFit="1" customWidth="1"/>
    <col min="10262" max="10262" width="20.85546875" style="215" bestFit="1" customWidth="1"/>
    <col min="10263" max="10263" width="21.42578125" style="215" bestFit="1" customWidth="1"/>
    <col min="10264" max="10265" width="22.42578125" style="215" bestFit="1" customWidth="1"/>
    <col min="10266" max="10267" width="23.85546875" style="215" bestFit="1" customWidth="1"/>
    <col min="10268" max="10269" width="24.85546875" style="215" bestFit="1" customWidth="1"/>
    <col min="10270" max="10274" width="11.42578125" style="215" bestFit="1" customWidth="1"/>
    <col min="10275" max="10279" width="12.42578125" style="215" bestFit="1" customWidth="1"/>
    <col min="10280" max="10280" width="12" style="215" bestFit="1" customWidth="1"/>
    <col min="10281" max="10496" width="8.85546875" style="215"/>
    <col min="10497" max="10497" width="7.42578125" style="215" customWidth="1"/>
    <col min="10498" max="10498" width="41" style="215" customWidth="1"/>
    <col min="10499" max="10499" width="16" style="215" customWidth="1"/>
    <col min="10500" max="10500" width="16.140625" style="215" bestFit="1" customWidth="1"/>
    <col min="10501" max="10501" width="11.85546875" style="215" customWidth="1"/>
    <col min="10502" max="10502" width="12.42578125" style="215" bestFit="1" customWidth="1"/>
    <col min="10503" max="10504" width="13" style="215" bestFit="1" customWidth="1"/>
    <col min="10505" max="10505" width="12.5703125" style="215" bestFit="1" customWidth="1"/>
    <col min="10506" max="10506" width="13.42578125" style="215" bestFit="1" customWidth="1"/>
    <col min="10507" max="10507" width="13.5703125" style="215" bestFit="1" customWidth="1"/>
    <col min="10508" max="10508" width="14.5703125" style="215" bestFit="1" customWidth="1"/>
    <col min="10509" max="10509" width="14.85546875" style="215" bestFit="1" customWidth="1"/>
    <col min="10510" max="10510" width="17.140625" style="215" customWidth="1"/>
    <col min="10511" max="10511" width="16.42578125" style="215" bestFit="1" customWidth="1"/>
    <col min="10512" max="10512" width="17.140625" style="215" bestFit="1" customWidth="1"/>
    <col min="10513" max="10513" width="24.42578125" style="215" customWidth="1"/>
    <col min="10514" max="10514" width="18.42578125" style="215" bestFit="1" customWidth="1"/>
    <col min="10515" max="10515" width="18.5703125" style="215" bestFit="1" customWidth="1"/>
    <col min="10516" max="10516" width="19.42578125" style="215" bestFit="1" customWidth="1"/>
    <col min="10517" max="10517" width="20.42578125" style="215" bestFit="1" customWidth="1"/>
    <col min="10518" max="10518" width="20.85546875" style="215" bestFit="1" customWidth="1"/>
    <col min="10519" max="10519" width="21.42578125" style="215" bestFit="1" customWidth="1"/>
    <col min="10520" max="10521" width="22.42578125" style="215" bestFit="1" customWidth="1"/>
    <col min="10522" max="10523" width="23.85546875" style="215" bestFit="1" customWidth="1"/>
    <col min="10524" max="10525" width="24.85546875" style="215" bestFit="1" customWidth="1"/>
    <col min="10526" max="10530" width="11.42578125" style="215" bestFit="1" customWidth="1"/>
    <col min="10531" max="10535" width="12.42578125" style="215" bestFit="1" customWidth="1"/>
    <col min="10536" max="10536" width="12" style="215" bestFit="1" customWidth="1"/>
    <col min="10537" max="10752" width="8.85546875" style="215"/>
    <col min="10753" max="10753" width="7.42578125" style="215" customWidth="1"/>
    <col min="10754" max="10754" width="41" style="215" customWidth="1"/>
    <col min="10755" max="10755" width="16" style="215" customWidth="1"/>
    <col min="10756" max="10756" width="16.140625" style="215" bestFit="1" customWidth="1"/>
    <col min="10757" max="10757" width="11.85546875" style="215" customWidth="1"/>
    <col min="10758" max="10758" width="12.42578125" style="215" bestFit="1" customWidth="1"/>
    <col min="10759" max="10760" width="13" style="215" bestFit="1" customWidth="1"/>
    <col min="10761" max="10761" width="12.5703125" style="215" bestFit="1" customWidth="1"/>
    <col min="10762" max="10762" width="13.42578125" style="215" bestFit="1" customWidth="1"/>
    <col min="10763" max="10763" width="13.5703125" style="215" bestFit="1" customWidth="1"/>
    <col min="10764" max="10764" width="14.5703125" style="215" bestFit="1" customWidth="1"/>
    <col min="10765" max="10765" width="14.85546875" style="215" bestFit="1" customWidth="1"/>
    <col min="10766" max="10766" width="17.140625" style="215" customWidth="1"/>
    <col min="10767" max="10767" width="16.42578125" style="215" bestFit="1" customWidth="1"/>
    <col min="10768" max="10768" width="17.140625" style="215" bestFit="1" customWidth="1"/>
    <col min="10769" max="10769" width="24.42578125" style="215" customWidth="1"/>
    <col min="10770" max="10770" width="18.42578125" style="215" bestFit="1" customWidth="1"/>
    <col min="10771" max="10771" width="18.5703125" style="215" bestFit="1" customWidth="1"/>
    <col min="10772" max="10772" width="19.42578125" style="215" bestFit="1" customWidth="1"/>
    <col min="10773" max="10773" width="20.42578125" style="215" bestFit="1" customWidth="1"/>
    <col min="10774" max="10774" width="20.85546875" style="215" bestFit="1" customWidth="1"/>
    <col min="10775" max="10775" width="21.42578125" style="215" bestFit="1" customWidth="1"/>
    <col min="10776" max="10777" width="22.42578125" style="215" bestFit="1" customWidth="1"/>
    <col min="10778" max="10779" width="23.85546875" style="215" bestFit="1" customWidth="1"/>
    <col min="10780" max="10781" width="24.85546875" style="215" bestFit="1" customWidth="1"/>
    <col min="10782" max="10786" width="11.42578125" style="215" bestFit="1" customWidth="1"/>
    <col min="10787" max="10791" width="12.42578125" style="215" bestFit="1" customWidth="1"/>
    <col min="10792" max="10792" width="12" style="215" bestFit="1" customWidth="1"/>
    <col min="10793" max="11008" width="8.85546875" style="215"/>
    <col min="11009" max="11009" width="7.42578125" style="215" customWidth="1"/>
    <col min="11010" max="11010" width="41" style="215" customWidth="1"/>
    <col min="11011" max="11011" width="16" style="215" customWidth="1"/>
    <col min="11012" max="11012" width="16.140625" style="215" bestFit="1" customWidth="1"/>
    <col min="11013" max="11013" width="11.85546875" style="215" customWidth="1"/>
    <col min="11014" max="11014" width="12.42578125" style="215" bestFit="1" customWidth="1"/>
    <col min="11015" max="11016" width="13" style="215" bestFit="1" customWidth="1"/>
    <col min="11017" max="11017" width="12.5703125" style="215" bestFit="1" customWidth="1"/>
    <col min="11018" max="11018" width="13.42578125" style="215" bestFit="1" customWidth="1"/>
    <col min="11019" max="11019" width="13.5703125" style="215" bestFit="1" customWidth="1"/>
    <col min="11020" max="11020" width="14.5703125" style="215" bestFit="1" customWidth="1"/>
    <col min="11021" max="11021" width="14.85546875" style="215" bestFit="1" customWidth="1"/>
    <col min="11022" max="11022" width="17.140625" style="215" customWidth="1"/>
    <col min="11023" max="11023" width="16.42578125" style="215" bestFit="1" customWidth="1"/>
    <col min="11024" max="11024" width="17.140625" style="215" bestFit="1" customWidth="1"/>
    <col min="11025" max="11025" width="24.42578125" style="215" customWidth="1"/>
    <col min="11026" max="11026" width="18.42578125" style="215" bestFit="1" customWidth="1"/>
    <col min="11027" max="11027" width="18.5703125" style="215" bestFit="1" customWidth="1"/>
    <col min="11028" max="11028" width="19.42578125" style="215" bestFit="1" customWidth="1"/>
    <col min="11029" max="11029" width="20.42578125" style="215" bestFit="1" customWidth="1"/>
    <col min="11030" max="11030" width="20.85546875" style="215" bestFit="1" customWidth="1"/>
    <col min="11031" max="11031" width="21.42578125" style="215" bestFit="1" customWidth="1"/>
    <col min="11032" max="11033" width="22.42578125" style="215" bestFit="1" customWidth="1"/>
    <col min="11034" max="11035" width="23.85546875" style="215" bestFit="1" customWidth="1"/>
    <col min="11036" max="11037" width="24.85546875" style="215" bestFit="1" customWidth="1"/>
    <col min="11038" max="11042" width="11.42578125" style="215" bestFit="1" customWidth="1"/>
    <col min="11043" max="11047" width="12.42578125" style="215" bestFit="1" customWidth="1"/>
    <col min="11048" max="11048" width="12" style="215" bestFit="1" customWidth="1"/>
    <col min="11049" max="11264" width="8.85546875" style="215"/>
    <col min="11265" max="11265" width="7.42578125" style="215" customWidth="1"/>
    <col min="11266" max="11266" width="41" style="215" customWidth="1"/>
    <col min="11267" max="11267" width="16" style="215" customWidth="1"/>
    <col min="11268" max="11268" width="16.140625" style="215" bestFit="1" customWidth="1"/>
    <col min="11269" max="11269" width="11.85546875" style="215" customWidth="1"/>
    <col min="11270" max="11270" width="12.42578125" style="215" bestFit="1" customWidth="1"/>
    <col min="11271" max="11272" width="13" style="215" bestFit="1" customWidth="1"/>
    <col min="11273" max="11273" width="12.5703125" style="215" bestFit="1" customWidth="1"/>
    <col min="11274" max="11274" width="13.42578125" style="215" bestFit="1" customWidth="1"/>
    <col min="11275" max="11275" width="13.5703125" style="215" bestFit="1" customWidth="1"/>
    <col min="11276" max="11276" width="14.5703125" style="215" bestFit="1" customWidth="1"/>
    <col min="11277" max="11277" width="14.85546875" style="215" bestFit="1" customWidth="1"/>
    <col min="11278" max="11278" width="17.140625" style="215" customWidth="1"/>
    <col min="11279" max="11279" width="16.42578125" style="215" bestFit="1" customWidth="1"/>
    <col min="11280" max="11280" width="17.140625" style="215" bestFit="1" customWidth="1"/>
    <col min="11281" max="11281" width="24.42578125" style="215" customWidth="1"/>
    <col min="11282" max="11282" width="18.42578125" style="215" bestFit="1" customWidth="1"/>
    <col min="11283" max="11283" width="18.5703125" style="215" bestFit="1" customWidth="1"/>
    <col min="11284" max="11284" width="19.42578125" style="215" bestFit="1" customWidth="1"/>
    <col min="11285" max="11285" width="20.42578125" style="215" bestFit="1" customWidth="1"/>
    <col min="11286" max="11286" width="20.85546875" style="215" bestFit="1" customWidth="1"/>
    <col min="11287" max="11287" width="21.42578125" style="215" bestFit="1" customWidth="1"/>
    <col min="11288" max="11289" width="22.42578125" style="215" bestFit="1" customWidth="1"/>
    <col min="11290" max="11291" width="23.85546875" style="215" bestFit="1" customWidth="1"/>
    <col min="11292" max="11293" width="24.85546875" style="215" bestFit="1" customWidth="1"/>
    <col min="11294" max="11298" width="11.42578125" style="215" bestFit="1" customWidth="1"/>
    <col min="11299" max="11303" width="12.42578125" style="215" bestFit="1" customWidth="1"/>
    <col min="11304" max="11304" width="12" style="215" bestFit="1" customWidth="1"/>
    <col min="11305" max="11520" width="8.85546875" style="215"/>
    <col min="11521" max="11521" width="7.42578125" style="215" customWidth="1"/>
    <col min="11522" max="11522" width="41" style="215" customWidth="1"/>
    <col min="11523" max="11523" width="16" style="215" customWidth="1"/>
    <col min="11524" max="11524" width="16.140625" style="215" bestFit="1" customWidth="1"/>
    <col min="11525" max="11525" width="11.85546875" style="215" customWidth="1"/>
    <col min="11526" max="11526" width="12.42578125" style="215" bestFit="1" customWidth="1"/>
    <col min="11527" max="11528" width="13" style="215" bestFit="1" customWidth="1"/>
    <col min="11529" max="11529" width="12.5703125" style="215" bestFit="1" customWidth="1"/>
    <col min="11530" max="11530" width="13.42578125" style="215" bestFit="1" customWidth="1"/>
    <col min="11531" max="11531" width="13.5703125" style="215" bestFit="1" customWidth="1"/>
    <col min="11532" max="11532" width="14.5703125" style="215" bestFit="1" customWidth="1"/>
    <col min="11533" max="11533" width="14.85546875" style="215" bestFit="1" customWidth="1"/>
    <col min="11534" max="11534" width="17.140625" style="215" customWidth="1"/>
    <col min="11535" max="11535" width="16.42578125" style="215" bestFit="1" customWidth="1"/>
    <col min="11536" max="11536" width="17.140625" style="215" bestFit="1" customWidth="1"/>
    <col min="11537" max="11537" width="24.42578125" style="215" customWidth="1"/>
    <col min="11538" max="11538" width="18.42578125" style="215" bestFit="1" customWidth="1"/>
    <col min="11539" max="11539" width="18.5703125" style="215" bestFit="1" customWidth="1"/>
    <col min="11540" max="11540" width="19.42578125" style="215" bestFit="1" customWidth="1"/>
    <col min="11541" max="11541" width="20.42578125" style="215" bestFit="1" customWidth="1"/>
    <col min="11542" max="11542" width="20.85546875" style="215" bestFit="1" customWidth="1"/>
    <col min="11543" max="11543" width="21.42578125" style="215" bestFit="1" customWidth="1"/>
    <col min="11544" max="11545" width="22.42578125" style="215" bestFit="1" customWidth="1"/>
    <col min="11546" max="11547" width="23.85546875" style="215" bestFit="1" customWidth="1"/>
    <col min="11548" max="11549" width="24.85546875" style="215" bestFit="1" customWidth="1"/>
    <col min="11550" max="11554" width="11.42578125" style="215" bestFit="1" customWidth="1"/>
    <col min="11555" max="11559" width="12.42578125" style="215" bestFit="1" customWidth="1"/>
    <col min="11560" max="11560" width="12" style="215" bestFit="1" customWidth="1"/>
    <col min="11561" max="11776" width="8.85546875" style="215"/>
    <col min="11777" max="11777" width="7.42578125" style="215" customWidth="1"/>
    <col min="11778" max="11778" width="41" style="215" customWidth="1"/>
    <col min="11779" max="11779" width="16" style="215" customWidth="1"/>
    <col min="11780" max="11780" width="16.140625" style="215" bestFit="1" customWidth="1"/>
    <col min="11781" max="11781" width="11.85546875" style="215" customWidth="1"/>
    <col min="11782" max="11782" width="12.42578125" style="215" bestFit="1" customWidth="1"/>
    <col min="11783" max="11784" width="13" style="215" bestFit="1" customWidth="1"/>
    <col min="11785" max="11785" width="12.5703125" style="215" bestFit="1" customWidth="1"/>
    <col min="11786" max="11786" width="13.42578125" style="215" bestFit="1" customWidth="1"/>
    <col min="11787" max="11787" width="13.5703125" style="215" bestFit="1" customWidth="1"/>
    <col min="11788" max="11788" width="14.5703125" style="215" bestFit="1" customWidth="1"/>
    <col min="11789" max="11789" width="14.85546875" style="215" bestFit="1" customWidth="1"/>
    <col min="11790" max="11790" width="17.140625" style="215" customWidth="1"/>
    <col min="11791" max="11791" width="16.42578125" style="215" bestFit="1" customWidth="1"/>
    <col min="11792" max="11792" width="17.140625" style="215" bestFit="1" customWidth="1"/>
    <col min="11793" max="11793" width="24.42578125" style="215" customWidth="1"/>
    <col min="11794" max="11794" width="18.42578125" style="215" bestFit="1" customWidth="1"/>
    <col min="11795" max="11795" width="18.5703125" style="215" bestFit="1" customWidth="1"/>
    <col min="11796" max="11796" width="19.42578125" style="215" bestFit="1" customWidth="1"/>
    <col min="11797" max="11797" width="20.42578125" style="215" bestFit="1" customWidth="1"/>
    <col min="11798" max="11798" width="20.85546875" style="215" bestFit="1" customWidth="1"/>
    <col min="11799" max="11799" width="21.42578125" style="215" bestFit="1" customWidth="1"/>
    <col min="11800" max="11801" width="22.42578125" style="215" bestFit="1" customWidth="1"/>
    <col min="11802" max="11803" width="23.85546875" style="215" bestFit="1" customWidth="1"/>
    <col min="11804" max="11805" width="24.85546875" style="215" bestFit="1" customWidth="1"/>
    <col min="11806" max="11810" width="11.42578125" style="215" bestFit="1" customWidth="1"/>
    <col min="11811" max="11815" width="12.42578125" style="215" bestFit="1" customWidth="1"/>
    <col min="11816" max="11816" width="12" style="215" bestFit="1" customWidth="1"/>
    <col min="11817" max="12032" width="8.85546875" style="215"/>
    <col min="12033" max="12033" width="7.42578125" style="215" customWidth="1"/>
    <col min="12034" max="12034" width="41" style="215" customWidth="1"/>
    <col min="12035" max="12035" width="16" style="215" customWidth="1"/>
    <col min="12036" max="12036" width="16.140625" style="215" bestFit="1" customWidth="1"/>
    <col min="12037" max="12037" width="11.85546875" style="215" customWidth="1"/>
    <col min="12038" max="12038" width="12.42578125" style="215" bestFit="1" customWidth="1"/>
    <col min="12039" max="12040" width="13" style="215" bestFit="1" customWidth="1"/>
    <col min="12041" max="12041" width="12.5703125" style="215" bestFit="1" customWidth="1"/>
    <col min="12042" max="12042" width="13.42578125" style="215" bestFit="1" customWidth="1"/>
    <col min="12043" max="12043" width="13.5703125" style="215" bestFit="1" customWidth="1"/>
    <col min="12044" max="12044" width="14.5703125" style="215" bestFit="1" customWidth="1"/>
    <col min="12045" max="12045" width="14.85546875" style="215" bestFit="1" customWidth="1"/>
    <col min="12046" max="12046" width="17.140625" style="215" customWidth="1"/>
    <col min="12047" max="12047" width="16.42578125" style="215" bestFit="1" customWidth="1"/>
    <col min="12048" max="12048" width="17.140625" style="215" bestFit="1" customWidth="1"/>
    <col min="12049" max="12049" width="24.42578125" style="215" customWidth="1"/>
    <col min="12050" max="12050" width="18.42578125" style="215" bestFit="1" customWidth="1"/>
    <col min="12051" max="12051" width="18.5703125" style="215" bestFit="1" customWidth="1"/>
    <col min="12052" max="12052" width="19.42578125" style="215" bestFit="1" customWidth="1"/>
    <col min="12053" max="12053" width="20.42578125" style="215" bestFit="1" customWidth="1"/>
    <col min="12054" max="12054" width="20.85546875" style="215" bestFit="1" customWidth="1"/>
    <col min="12055" max="12055" width="21.42578125" style="215" bestFit="1" customWidth="1"/>
    <col min="12056" max="12057" width="22.42578125" style="215" bestFit="1" customWidth="1"/>
    <col min="12058" max="12059" width="23.85546875" style="215" bestFit="1" customWidth="1"/>
    <col min="12060" max="12061" width="24.85546875" style="215" bestFit="1" customWidth="1"/>
    <col min="12062" max="12066" width="11.42578125" style="215" bestFit="1" customWidth="1"/>
    <col min="12067" max="12071" width="12.42578125" style="215" bestFit="1" customWidth="1"/>
    <col min="12072" max="12072" width="12" style="215" bestFit="1" customWidth="1"/>
    <col min="12073" max="12288" width="8.85546875" style="215"/>
    <col min="12289" max="12289" width="7.42578125" style="215" customWidth="1"/>
    <col min="12290" max="12290" width="41" style="215" customWidth="1"/>
    <col min="12291" max="12291" width="16" style="215" customWidth="1"/>
    <col min="12292" max="12292" width="16.140625" style="215" bestFit="1" customWidth="1"/>
    <col min="12293" max="12293" width="11.85546875" style="215" customWidth="1"/>
    <col min="12294" max="12294" width="12.42578125" style="215" bestFit="1" customWidth="1"/>
    <col min="12295" max="12296" width="13" style="215" bestFit="1" customWidth="1"/>
    <col min="12297" max="12297" width="12.5703125" style="215" bestFit="1" customWidth="1"/>
    <col min="12298" max="12298" width="13.42578125" style="215" bestFit="1" customWidth="1"/>
    <col min="12299" max="12299" width="13.5703125" style="215" bestFit="1" customWidth="1"/>
    <col min="12300" max="12300" width="14.5703125" style="215" bestFit="1" customWidth="1"/>
    <col min="12301" max="12301" width="14.85546875" style="215" bestFit="1" customWidth="1"/>
    <col min="12302" max="12302" width="17.140625" style="215" customWidth="1"/>
    <col min="12303" max="12303" width="16.42578125" style="215" bestFit="1" customWidth="1"/>
    <col min="12304" max="12304" width="17.140625" style="215" bestFit="1" customWidth="1"/>
    <col min="12305" max="12305" width="24.42578125" style="215" customWidth="1"/>
    <col min="12306" max="12306" width="18.42578125" style="215" bestFit="1" customWidth="1"/>
    <col min="12307" max="12307" width="18.5703125" style="215" bestFit="1" customWidth="1"/>
    <col min="12308" max="12308" width="19.42578125" style="215" bestFit="1" customWidth="1"/>
    <col min="12309" max="12309" width="20.42578125" style="215" bestFit="1" customWidth="1"/>
    <col min="12310" max="12310" width="20.85546875" style="215" bestFit="1" customWidth="1"/>
    <col min="12311" max="12311" width="21.42578125" style="215" bestFit="1" customWidth="1"/>
    <col min="12312" max="12313" width="22.42578125" style="215" bestFit="1" customWidth="1"/>
    <col min="12314" max="12315" width="23.85546875" style="215" bestFit="1" customWidth="1"/>
    <col min="12316" max="12317" width="24.85546875" style="215" bestFit="1" customWidth="1"/>
    <col min="12318" max="12322" width="11.42578125" style="215" bestFit="1" customWidth="1"/>
    <col min="12323" max="12327" width="12.42578125" style="215" bestFit="1" customWidth="1"/>
    <col min="12328" max="12328" width="12" style="215" bestFit="1" customWidth="1"/>
    <col min="12329" max="12544" width="8.85546875" style="215"/>
    <col min="12545" max="12545" width="7.42578125" style="215" customWidth="1"/>
    <col min="12546" max="12546" width="41" style="215" customWidth="1"/>
    <col min="12547" max="12547" width="16" style="215" customWidth="1"/>
    <col min="12548" max="12548" width="16.140625" style="215" bestFit="1" customWidth="1"/>
    <col min="12549" max="12549" width="11.85546875" style="215" customWidth="1"/>
    <col min="12550" max="12550" width="12.42578125" style="215" bestFit="1" customWidth="1"/>
    <col min="12551" max="12552" width="13" style="215" bestFit="1" customWidth="1"/>
    <col min="12553" max="12553" width="12.5703125" style="215" bestFit="1" customWidth="1"/>
    <col min="12554" max="12554" width="13.42578125" style="215" bestFit="1" customWidth="1"/>
    <col min="12555" max="12555" width="13.5703125" style="215" bestFit="1" customWidth="1"/>
    <col min="12556" max="12556" width="14.5703125" style="215" bestFit="1" customWidth="1"/>
    <col min="12557" max="12557" width="14.85546875" style="215" bestFit="1" customWidth="1"/>
    <col min="12558" max="12558" width="17.140625" style="215" customWidth="1"/>
    <col min="12559" max="12559" width="16.42578125" style="215" bestFit="1" customWidth="1"/>
    <col min="12560" max="12560" width="17.140625" style="215" bestFit="1" customWidth="1"/>
    <col min="12561" max="12561" width="24.42578125" style="215" customWidth="1"/>
    <col min="12562" max="12562" width="18.42578125" style="215" bestFit="1" customWidth="1"/>
    <col min="12563" max="12563" width="18.5703125" style="215" bestFit="1" customWidth="1"/>
    <col min="12564" max="12564" width="19.42578125" style="215" bestFit="1" customWidth="1"/>
    <col min="12565" max="12565" width="20.42578125" style="215" bestFit="1" customWidth="1"/>
    <col min="12566" max="12566" width="20.85546875" style="215" bestFit="1" customWidth="1"/>
    <col min="12567" max="12567" width="21.42578125" style="215" bestFit="1" customWidth="1"/>
    <col min="12568" max="12569" width="22.42578125" style="215" bestFit="1" customWidth="1"/>
    <col min="12570" max="12571" width="23.85546875" style="215" bestFit="1" customWidth="1"/>
    <col min="12572" max="12573" width="24.85546875" style="215" bestFit="1" customWidth="1"/>
    <col min="12574" max="12578" width="11.42578125" style="215" bestFit="1" customWidth="1"/>
    <col min="12579" max="12583" width="12.42578125" style="215" bestFit="1" customWidth="1"/>
    <col min="12584" max="12584" width="12" style="215" bestFit="1" customWidth="1"/>
    <col min="12585" max="12800" width="8.85546875" style="215"/>
    <col min="12801" max="12801" width="7.42578125" style="215" customWidth="1"/>
    <col min="12802" max="12802" width="41" style="215" customWidth="1"/>
    <col min="12803" max="12803" width="16" style="215" customWidth="1"/>
    <col min="12804" max="12804" width="16.140625" style="215" bestFit="1" customWidth="1"/>
    <col min="12805" max="12805" width="11.85546875" style="215" customWidth="1"/>
    <col min="12806" max="12806" width="12.42578125" style="215" bestFit="1" customWidth="1"/>
    <col min="12807" max="12808" width="13" style="215" bestFit="1" customWidth="1"/>
    <col min="12809" max="12809" width="12.5703125" style="215" bestFit="1" customWidth="1"/>
    <col min="12810" max="12810" width="13.42578125" style="215" bestFit="1" customWidth="1"/>
    <col min="12811" max="12811" width="13.5703125" style="215" bestFit="1" customWidth="1"/>
    <col min="12812" max="12812" width="14.5703125" style="215" bestFit="1" customWidth="1"/>
    <col min="12813" max="12813" width="14.85546875" style="215" bestFit="1" customWidth="1"/>
    <col min="12814" max="12814" width="17.140625" style="215" customWidth="1"/>
    <col min="12815" max="12815" width="16.42578125" style="215" bestFit="1" customWidth="1"/>
    <col min="12816" max="12816" width="17.140625" style="215" bestFit="1" customWidth="1"/>
    <col min="12817" max="12817" width="24.42578125" style="215" customWidth="1"/>
    <col min="12818" max="12818" width="18.42578125" style="215" bestFit="1" customWidth="1"/>
    <col min="12819" max="12819" width="18.5703125" style="215" bestFit="1" customWidth="1"/>
    <col min="12820" max="12820" width="19.42578125" style="215" bestFit="1" customWidth="1"/>
    <col min="12821" max="12821" width="20.42578125" style="215" bestFit="1" customWidth="1"/>
    <col min="12822" max="12822" width="20.85546875" style="215" bestFit="1" customWidth="1"/>
    <col min="12823" max="12823" width="21.42578125" style="215" bestFit="1" customWidth="1"/>
    <col min="12824" max="12825" width="22.42578125" style="215" bestFit="1" customWidth="1"/>
    <col min="12826" max="12827" width="23.85546875" style="215" bestFit="1" customWidth="1"/>
    <col min="12828" max="12829" width="24.85546875" style="215" bestFit="1" customWidth="1"/>
    <col min="12830" max="12834" width="11.42578125" style="215" bestFit="1" customWidth="1"/>
    <col min="12835" max="12839" width="12.42578125" style="215" bestFit="1" customWidth="1"/>
    <col min="12840" max="12840" width="12" style="215" bestFit="1" customWidth="1"/>
    <col min="12841" max="13056" width="8.85546875" style="215"/>
    <col min="13057" max="13057" width="7.42578125" style="215" customWidth="1"/>
    <col min="13058" max="13058" width="41" style="215" customWidth="1"/>
    <col min="13059" max="13059" width="16" style="215" customWidth="1"/>
    <col min="13060" max="13060" width="16.140625" style="215" bestFit="1" customWidth="1"/>
    <col min="13061" max="13061" width="11.85546875" style="215" customWidth="1"/>
    <col min="13062" max="13062" width="12.42578125" style="215" bestFit="1" customWidth="1"/>
    <col min="13063" max="13064" width="13" style="215" bestFit="1" customWidth="1"/>
    <col min="13065" max="13065" width="12.5703125" style="215" bestFit="1" customWidth="1"/>
    <col min="13066" max="13066" width="13.42578125" style="215" bestFit="1" customWidth="1"/>
    <col min="13067" max="13067" width="13.5703125" style="215" bestFit="1" customWidth="1"/>
    <col min="13068" max="13068" width="14.5703125" style="215" bestFit="1" customWidth="1"/>
    <col min="13069" max="13069" width="14.85546875" style="215" bestFit="1" customWidth="1"/>
    <col min="13070" max="13070" width="17.140625" style="215" customWidth="1"/>
    <col min="13071" max="13071" width="16.42578125" style="215" bestFit="1" customWidth="1"/>
    <col min="13072" max="13072" width="17.140625" style="215" bestFit="1" customWidth="1"/>
    <col min="13073" max="13073" width="24.42578125" style="215" customWidth="1"/>
    <col min="13074" max="13074" width="18.42578125" style="215" bestFit="1" customWidth="1"/>
    <col min="13075" max="13075" width="18.5703125" style="215" bestFit="1" customWidth="1"/>
    <col min="13076" max="13076" width="19.42578125" style="215" bestFit="1" customWidth="1"/>
    <col min="13077" max="13077" width="20.42578125" style="215" bestFit="1" customWidth="1"/>
    <col min="13078" max="13078" width="20.85546875" style="215" bestFit="1" customWidth="1"/>
    <col min="13079" max="13079" width="21.42578125" style="215" bestFit="1" customWidth="1"/>
    <col min="13080" max="13081" width="22.42578125" style="215" bestFit="1" customWidth="1"/>
    <col min="13082" max="13083" width="23.85546875" style="215" bestFit="1" customWidth="1"/>
    <col min="13084" max="13085" width="24.85546875" style="215" bestFit="1" customWidth="1"/>
    <col min="13086" max="13090" width="11.42578125" style="215" bestFit="1" customWidth="1"/>
    <col min="13091" max="13095" width="12.42578125" style="215" bestFit="1" customWidth="1"/>
    <col min="13096" max="13096" width="12" style="215" bestFit="1" customWidth="1"/>
    <col min="13097" max="13312" width="8.85546875" style="215"/>
    <col min="13313" max="13313" width="7.42578125" style="215" customWidth="1"/>
    <col min="13314" max="13314" width="41" style="215" customWidth="1"/>
    <col min="13315" max="13315" width="16" style="215" customWidth="1"/>
    <col min="13316" max="13316" width="16.140625" style="215" bestFit="1" customWidth="1"/>
    <col min="13317" max="13317" width="11.85546875" style="215" customWidth="1"/>
    <col min="13318" max="13318" width="12.42578125" style="215" bestFit="1" customWidth="1"/>
    <col min="13319" max="13320" width="13" style="215" bestFit="1" customWidth="1"/>
    <col min="13321" max="13321" width="12.5703125" style="215" bestFit="1" customWidth="1"/>
    <col min="13322" max="13322" width="13.42578125" style="215" bestFit="1" customWidth="1"/>
    <col min="13323" max="13323" width="13.5703125" style="215" bestFit="1" customWidth="1"/>
    <col min="13324" max="13324" width="14.5703125" style="215" bestFit="1" customWidth="1"/>
    <col min="13325" max="13325" width="14.85546875" style="215" bestFit="1" customWidth="1"/>
    <col min="13326" max="13326" width="17.140625" style="215" customWidth="1"/>
    <col min="13327" max="13327" width="16.42578125" style="215" bestFit="1" customWidth="1"/>
    <col min="13328" max="13328" width="17.140625" style="215" bestFit="1" customWidth="1"/>
    <col min="13329" max="13329" width="24.42578125" style="215" customWidth="1"/>
    <col min="13330" max="13330" width="18.42578125" style="215" bestFit="1" customWidth="1"/>
    <col min="13331" max="13331" width="18.5703125" style="215" bestFit="1" customWidth="1"/>
    <col min="13332" max="13332" width="19.42578125" style="215" bestFit="1" customWidth="1"/>
    <col min="13333" max="13333" width="20.42578125" style="215" bestFit="1" customWidth="1"/>
    <col min="13334" max="13334" width="20.85546875" style="215" bestFit="1" customWidth="1"/>
    <col min="13335" max="13335" width="21.42578125" style="215" bestFit="1" customWidth="1"/>
    <col min="13336" max="13337" width="22.42578125" style="215" bestFit="1" customWidth="1"/>
    <col min="13338" max="13339" width="23.85546875" style="215" bestFit="1" customWidth="1"/>
    <col min="13340" max="13341" width="24.85546875" style="215" bestFit="1" customWidth="1"/>
    <col min="13342" max="13346" width="11.42578125" style="215" bestFit="1" customWidth="1"/>
    <col min="13347" max="13351" width="12.42578125" style="215" bestFit="1" customWidth="1"/>
    <col min="13352" max="13352" width="12" style="215" bestFit="1" customWidth="1"/>
    <col min="13353" max="13568" width="8.85546875" style="215"/>
    <col min="13569" max="13569" width="7.42578125" style="215" customWidth="1"/>
    <col min="13570" max="13570" width="41" style="215" customWidth="1"/>
    <col min="13571" max="13571" width="16" style="215" customWidth="1"/>
    <col min="13572" max="13572" width="16.140625" style="215" bestFit="1" customWidth="1"/>
    <col min="13573" max="13573" width="11.85546875" style="215" customWidth="1"/>
    <col min="13574" max="13574" width="12.42578125" style="215" bestFit="1" customWidth="1"/>
    <col min="13575" max="13576" width="13" style="215" bestFit="1" customWidth="1"/>
    <col min="13577" max="13577" width="12.5703125" style="215" bestFit="1" customWidth="1"/>
    <col min="13578" max="13578" width="13.42578125" style="215" bestFit="1" customWidth="1"/>
    <col min="13579" max="13579" width="13.5703125" style="215" bestFit="1" customWidth="1"/>
    <col min="13580" max="13580" width="14.5703125" style="215" bestFit="1" customWidth="1"/>
    <col min="13581" max="13581" width="14.85546875" style="215" bestFit="1" customWidth="1"/>
    <col min="13582" max="13582" width="17.140625" style="215" customWidth="1"/>
    <col min="13583" max="13583" width="16.42578125" style="215" bestFit="1" customWidth="1"/>
    <col min="13584" max="13584" width="17.140625" style="215" bestFit="1" customWidth="1"/>
    <col min="13585" max="13585" width="24.42578125" style="215" customWidth="1"/>
    <col min="13586" max="13586" width="18.42578125" style="215" bestFit="1" customWidth="1"/>
    <col min="13587" max="13587" width="18.5703125" style="215" bestFit="1" customWidth="1"/>
    <col min="13588" max="13588" width="19.42578125" style="215" bestFit="1" customWidth="1"/>
    <col min="13589" max="13589" width="20.42578125" style="215" bestFit="1" customWidth="1"/>
    <col min="13590" max="13590" width="20.85546875" style="215" bestFit="1" customWidth="1"/>
    <col min="13591" max="13591" width="21.42578125" style="215" bestFit="1" customWidth="1"/>
    <col min="13592" max="13593" width="22.42578125" style="215" bestFit="1" customWidth="1"/>
    <col min="13594" max="13595" width="23.85546875" style="215" bestFit="1" customWidth="1"/>
    <col min="13596" max="13597" width="24.85546875" style="215" bestFit="1" customWidth="1"/>
    <col min="13598" max="13602" width="11.42578125" style="215" bestFit="1" customWidth="1"/>
    <col min="13603" max="13607" width="12.42578125" style="215" bestFit="1" customWidth="1"/>
    <col min="13608" max="13608" width="12" style="215" bestFit="1" customWidth="1"/>
    <col min="13609" max="13824" width="8.85546875" style="215"/>
    <col min="13825" max="13825" width="7.42578125" style="215" customWidth="1"/>
    <col min="13826" max="13826" width="41" style="215" customWidth="1"/>
    <col min="13827" max="13827" width="16" style="215" customWidth="1"/>
    <col min="13828" max="13828" width="16.140625" style="215" bestFit="1" customWidth="1"/>
    <col min="13829" max="13829" width="11.85546875" style="215" customWidth="1"/>
    <col min="13830" max="13830" width="12.42578125" style="215" bestFit="1" customWidth="1"/>
    <col min="13831" max="13832" width="13" style="215" bestFit="1" customWidth="1"/>
    <col min="13833" max="13833" width="12.5703125" style="215" bestFit="1" customWidth="1"/>
    <col min="13834" max="13834" width="13.42578125" style="215" bestFit="1" customWidth="1"/>
    <col min="13835" max="13835" width="13.5703125" style="215" bestFit="1" customWidth="1"/>
    <col min="13836" max="13836" width="14.5703125" style="215" bestFit="1" customWidth="1"/>
    <col min="13837" max="13837" width="14.85546875" style="215" bestFit="1" customWidth="1"/>
    <col min="13838" max="13838" width="17.140625" style="215" customWidth="1"/>
    <col min="13839" max="13839" width="16.42578125" style="215" bestFit="1" customWidth="1"/>
    <col min="13840" max="13840" width="17.140625" style="215" bestFit="1" customWidth="1"/>
    <col min="13841" max="13841" width="24.42578125" style="215" customWidth="1"/>
    <col min="13842" max="13842" width="18.42578125" style="215" bestFit="1" customWidth="1"/>
    <col min="13843" max="13843" width="18.5703125" style="215" bestFit="1" customWidth="1"/>
    <col min="13844" max="13844" width="19.42578125" style="215" bestFit="1" customWidth="1"/>
    <col min="13845" max="13845" width="20.42578125" style="215" bestFit="1" customWidth="1"/>
    <col min="13846" max="13846" width="20.85546875" style="215" bestFit="1" customWidth="1"/>
    <col min="13847" max="13847" width="21.42578125" style="215" bestFit="1" customWidth="1"/>
    <col min="13848" max="13849" width="22.42578125" style="215" bestFit="1" customWidth="1"/>
    <col min="13850" max="13851" width="23.85546875" style="215" bestFit="1" customWidth="1"/>
    <col min="13852" max="13853" width="24.85546875" style="215" bestFit="1" customWidth="1"/>
    <col min="13854" max="13858" width="11.42578125" style="215" bestFit="1" customWidth="1"/>
    <col min="13859" max="13863" width="12.42578125" style="215" bestFit="1" customWidth="1"/>
    <col min="13864" max="13864" width="12" style="215" bestFit="1" customWidth="1"/>
    <col min="13865" max="14080" width="8.85546875" style="215"/>
    <col min="14081" max="14081" width="7.42578125" style="215" customWidth="1"/>
    <col min="14082" max="14082" width="41" style="215" customWidth="1"/>
    <col min="14083" max="14083" width="16" style="215" customWidth="1"/>
    <col min="14084" max="14084" width="16.140625" style="215" bestFit="1" customWidth="1"/>
    <col min="14085" max="14085" width="11.85546875" style="215" customWidth="1"/>
    <col min="14086" max="14086" width="12.42578125" style="215" bestFit="1" customWidth="1"/>
    <col min="14087" max="14088" width="13" style="215" bestFit="1" customWidth="1"/>
    <col min="14089" max="14089" width="12.5703125" style="215" bestFit="1" customWidth="1"/>
    <col min="14090" max="14090" width="13.42578125" style="215" bestFit="1" customWidth="1"/>
    <col min="14091" max="14091" width="13.5703125" style="215" bestFit="1" customWidth="1"/>
    <col min="14092" max="14092" width="14.5703125" style="215" bestFit="1" customWidth="1"/>
    <col min="14093" max="14093" width="14.85546875" style="215" bestFit="1" customWidth="1"/>
    <col min="14094" max="14094" width="17.140625" style="215" customWidth="1"/>
    <col min="14095" max="14095" width="16.42578125" style="215" bestFit="1" customWidth="1"/>
    <col min="14096" max="14096" width="17.140625" style="215" bestFit="1" customWidth="1"/>
    <col min="14097" max="14097" width="24.42578125" style="215" customWidth="1"/>
    <col min="14098" max="14098" width="18.42578125" style="215" bestFit="1" customWidth="1"/>
    <col min="14099" max="14099" width="18.5703125" style="215" bestFit="1" customWidth="1"/>
    <col min="14100" max="14100" width="19.42578125" style="215" bestFit="1" customWidth="1"/>
    <col min="14101" max="14101" width="20.42578125" style="215" bestFit="1" customWidth="1"/>
    <col min="14102" max="14102" width="20.85546875" style="215" bestFit="1" customWidth="1"/>
    <col min="14103" max="14103" width="21.42578125" style="215" bestFit="1" customWidth="1"/>
    <col min="14104" max="14105" width="22.42578125" style="215" bestFit="1" customWidth="1"/>
    <col min="14106" max="14107" width="23.85546875" style="215" bestFit="1" customWidth="1"/>
    <col min="14108" max="14109" width="24.85546875" style="215" bestFit="1" customWidth="1"/>
    <col min="14110" max="14114" width="11.42578125" style="215" bestFit="1" customWidth="1"/>
    <col min="14115" max="14119" width="12.42578125" style="215" bestFit="1" customWidth="1"/>
    <col min="14120" max="14120" width="12" style="215" bestFit="1" customWidth="1"/>
    <col min="14121" max="14336" width="8.85546875" style="215"/>
    <col min="14337" max="14337" width="7.42578125" style="215" customWidth="1"/>
    <col min="14338" max="14338" width="41" style="215" customWidth="1"/>
    <col min="14339" max="14339" width="16" style="215" customWidth="1"/>
    <col min="14340" max="14340" width="16.140625" style="215" bestFit="1" customWidth="1"/>
    <col min="14341" max="14341" width="11.85546875" style="215" customWidth="1"/>
    <col min="14342" max="14342" width="12.42578125" style="215" bestFit="1" customWidth="1"/>
    <col min="14343" max="14344" width="13" style="215" bestFit="1" customWidth="1"/>
    <col min="14345" max="14345" width="12.5703125" style="215" bestFit="1" customWidth="1"/>
    <col min="14346" max="14346" width="13.42578125" style="215" bestFit="1" customWidth="1"/>
    <col min="14347" max="14347" width="13.5703125" style="215" bestFit="1" customWidth="1"/>
    <col min="14348" max="14348" width="14.5703125" style="215" bestFit="1" customWidth="1"/>
    <col min="14349" max="14349" width="14.85546875" style="215" bestFit="1" customWidth="1"/>
    <col min="14350" max="14350" width="17.140625" style="215" customWidth="1"/>
    <col min="14351" max="14351" width="16.42578125" style="215" bestFit="1" customWidth="1"/>
    <col min="14352" max="14352" width="17.140625" style="215" bestFit="1" customWidth="1"/>
    <col min="14353" max="14353" width="24.42578125" style="215" customWidth="1"/>
    <col min="14354" max="14354" width="18.42578125" style="215" bestFit="1" customWidth="1"/>
    <col min="14355" max="14355" width="18.5703125" style="215" bestFit="1" customWidth="1"/>
    <col min="14356" max="14356" width="19.42578125" style="215" bestFit="1" customWidth="1"/>
    <col min="14357" max="14357" width="20.42578125" style="215" bestFit="1" customWidth="1"/>
    <col min="14358" max="14358" width="20.85546875" style="215" bestFit="1" customWidth="1"/>
    <col min="14359" max="14359" width="21.42578125" style="215" bestFit="1" customWidth="1"/>
    <col min="14360" max="14361" width="22.42578125" style="215" bestFit="1" customWidth="1"/>
    <col min="14362" max="14363" width="23.85546875" style="215" bestFit="1" customWidth="1"/>
    <col min="14364" max="14365" width="24.85546875" style="215" bestFit="1" customWidth="1"/>
    <col min="14366" max="14370" width="11.42578125" style="215" bestFit="1" customWidth="1"/>
    <col min="14371" max="14375" width="12.42578125" style="215" bestFit="1" customWidth="1"/>
    <col min="14376" max="14376" width="12" style="215" bestFit="1" customWidth="1"/>
    <col min="14377" max="14592" width="8.85546875" style="215"/>
    <col min="14593" max="14593" width="7.42578125" style="215" customWidth="1"/>
    <col min="14594" max="14594" width="41" style="215" customWidth="1"/>
    <col min="14595" max="14595" width="16" style="215" customWidth="1"/>
    <col min="14596" max="14596" width="16.140625" style="215" bestFit="1" customWidth="1"/>
    <col min="14597" max="14597" width="11.85546875" style="215" customWidth="1"/>
    <col min="14598" max="14598" width="12.42578125" style="215" bestFit="1" customWidth="1"/>
    <col min="14599" max="14600" width="13" style="215" bestFit="1" customWidth="1"/>
    <col min="14601" max="14601" width="12.5703125" style="215" bestFit="1" customWidth="1"/>
    <col min="14602" max="14602" width="13.42578125" style="215" bestFit="1" customWidth="1"/>
    <col min="14603" max="14603" width="13.5703125" style="215" bestFit="1" customWidth="1"/>
    <col min="14604" max="14604" width="14.5703125" style="215" bestFit="1" customWidth="1"/>
    <col min="14605" max="14605" width="14.85546875" style="215" bestFit="1" customWidth="1"/>
    <col min="14606" max="14606" width="17.140625" style="215" customWidth="1"/>
    <col min="14607" max="14607" width="16.42578125" style="215" bestFit="1" customWidth="1"/>
    <col min="14608" max="14608" width="17.140625" style="215" bestFit="1" customWidth="1"/>
    <col min="14609" max="14609" width="24.42578125" style="215" customWidth="1"/>
    <col min="14610" max="14610" width="18.42578125" style="215" bestFit="1" customWidth="1"/>
    <col min="14611" max="14611" width="18.5703125" style="215" bestFit="1" customWidth="1"/>
    <col min="14612" max="14612" width="19.42578125" style="215" bestFit="1" customWidth="1"/>
    <col min="14613" max="14613" width="20.42578125" style="215" bestFit="1" customWidth="1"/>
    <col min="14614" max="14614" width="20.85546875" style="215" bestFit="1" customWidth="1"/>
    <col min="14615" max="14615" width="21.42578125" style="215" bestFit="1" customWidth="1"/>
    <col min="14616" max="14617" width="22.42578125" style="215" bestFit="1" customWidth="1"/>
    <col min="14618" max="14619" width="23.85546875" style="215" bestFit="1" customWidth="1"/>
    <col min="14620" max="14621" width="24.85546875" style="215" bestFit="1" customWidth="1"/>
    <col min="14622" max="14626" width="11.42578125" style="215" bestFit="1" customWidth="1"/>
    <col min="14627" max="14631" width="12.42578125" style="215" bestFit="1" customWidth="1"/>
    <col min="14632" max="14632" width="12" style="215" bestFit="1" customWidth="1"/>
    <col min="14633" max="14848" width="8.85546875" style="215"/>
    <col min="14849" max="14849" width="7.42578125" style="215" customWidth="1"/>
    <col min="14850" max="14850" width="41" style="215" customWidth="1"/>
    <col min="14851" max="14851" width="16" style="215" customWidth="1"/>
    <col min="14852" max="14852" width="16.140625" style="215" bestFit="1" customWidth="1"/>
    <col min="14853" max="14853" width="11.85546875" style="215" customWidth="1"/>
    <col min="14854" max="14854" width="12.42578125" style="215" bestFit="1" customWidth="1"/>
    <col min="14855" max="14856" width="13" style="215" bestFit="1" customWidth="1"/>
    <col min="14857" max="14857" width="12.5703125" style="215" bestFit="1" customWidth="1"/>
    <col min="14858" max="14858" width="13.42578125" style="215" bestFit="1" customWidth="1"/>
    <col min="14859" max="14859" width="13.5703125" style="215" bestFit="1" customWidth="1"/>
    <col min="14860" max="14860" width="14.5703125" style="215" bestFit="1" customWidth="1"/>
    <col min="14861" max="14861" width="14.85546875" style="215" bestFit="1" customWidth="1"/>
    <col min="14862" max="14862" width="17.140625" style="215" customWidth="1"/>
    <col min="14863" max="14863" width="16.42578125" style="215" bestFit="1" customWidth="1"/>
    <col min="14864" max="14864" width="17.140625" style="215" bestFit="1" customWidth="1"/>
    <col min="14865" max="14865" width="24.42578125" style="215" customWidth="1"/>
    <col min="14866" max="14866" width="18.42578125" style="215" bestFit="1" customWidth="1"/>
    <col min="14867" max="14867" width="18.5703125" style="215" bestFit="1" customWidth="1"/>
    <col min="14868" max="14868" width="19.42578125" style="215" bestFit="1" customWidth="1"/>
    <col min="14869" max="14869" width="20.42578125" style="215" bestFit="1" customWidth="1"/>
    <col min="14870" max="14870" width="20.85546875" style="215" bestFit="1" customWidth="1"/>
    <col min="14871" max="14871" width="21.42578125" style="215" bestFit="1" customWidth="1"/>
    <col min="14872" max="14873" width="22.42578125" style="215" bestFit="1" customWidth="1"/>
    <col min="14874" max="14875" width="23.85546875" style="215" bestFit="1" customWidth="1"/>
    <col min="14876" max="14877" width="24.85546875" style="215" bestFit="1" customWidth="1"/>
    <col min="14878" max="14882" width="11.42578125" style="215" bestFit="1" customWidth="1"/>
    <col min="14883" max="14887" width="12.42578125" style="215" bestFit="1" customWidth="1"/>
    <col min="14888" max="14888" width="12" style="215" bestFit="1" customWidth="1"/>
    <col min="14889" max="15104" width="8.85546875" style="215"/>
    <col min="15105" max="15105" width="7.42578125" style="215" customWidth="1"/>
    <col min="15106" max="15106" width="41" style="215" customWidth="1"/>
    <col min="15107" max="15107" width="16" style="215" customWidth="1"/>
    <col min="15108" max="15108" width="16.140625" style="215" bestFit="1" customWidth="1"/>
    <col min="15109" max="15109" width="11.85546875" style="215" customWidth="1"/>
    <col min="15110" max="15110" width="12.42578125" style="215" bestFit="1" customWidth="1"/>
    <col min="15111" max="15112" width="13" style="215" bestFit="1" customWidth="1"/>
    <col min="15113" max="15113" width="12.5703125" style="215" bestFit="1" customWidth="1"/>
    <col min="15114" max="15114" width="13.42578125" style="215" bestFit="1" customWidth="1"/>
    <col min="15115" max="15115" width="13.5703125" style="215" bestFit="1" customWidth="1"/>
    <col min="15116" max="15116" width="14.5703125" style="215" bestFit="1" customWidth="1"/>
    <col min="15117" max="15117" width="14.85546875" style="215" bestFit="1" customWidth="1"/>
    <col min="15118" max="15118" width="17.140625" style="215" customWidth="1"/>
    <col min="15119" max="15119" width="16.42578125" style="215" bestFit="1" customWidth="1"/>
    <col min="15120" max="15120" width="17.140625" style="215" bestFit="1" customWidth="1"/>
    <col min="15121" max="15121" width="24.42578125" style="215" customWidth="1"/>
    <col min="15122" max="15122" width="18.42578125" style="215" bestFit="1" customWidth="1"/>
    <col min="15123" max="15123" width="18.5703125" style="215" bestFit="1" customWidth="1"/>
    <col min="15124" max="15124" width="19.42578125" style="215" bestFit="1" customWidth="1"/>
    <col min="15125" max="15125" width="20.42578125" style="215" bestFit="1" customWidth="1"/>
    <col min="15126" max="15126" width="20.85546875" style="215" bestFit="1" customWidth="1"/>
    <col min="15127" max="15127" width="21.42578125" style="215" bestFit="1" customWidth="1"/>
    <col min="15128" max="15129" width="22.42578125" style="215" bestFit="1" customWidth="1"/>
    <col min="15130" max="15131" width="23.85546875" style="215" bestFit="1" customWidth="1"/>
    <col min="15132" max="15133" width="24.85546875" style="215" bestFit="1" customWidth="1"/>
    <col min="15134" max="15138" width="11.42578125" style="215" bestFit="1" customWidth="1"/>
    <col min="15139" max="15143" width="12.42578125" style="215" bestFit="1" customWidth="1"/>
    <col min="15144" max="15144" width="12" style="215" bestFit="1" customWidth="1"/>
    <col min="15145" max="15360" width="8.85546875" style="215"/>
    <col min="15361" max="15361" width="7.42578125" style="215" customWidth="1"/>
    <col min="15362" max="15362" width="41" style="215" customWidth="1"/>
    <col min="15363" max="15363" width="16" style="215" customWidth="1"/>
    <col min="15364" max="15364" width="16.140625" style="215" bestFit="1" customWidth="1"/>
    <col min="15365" max="15365" width="11.85546875" style="215" customWidth="1"/>
    <col min="15366" max="15366" width="12.42578125" style="215" bestFit="1" customWidth="1"/>
    <col min="15367" max="15368" width="13" style="215" bestFit="1" customWidth="1"/>
    <col min="15369" max="15369" width="12.5703125" style="215" bestFit="1" customWidth="1"/>
    <col min="15370" max="15370" width="13.42578125" style="215" bestFit="1" customWidth="1"/>
    <col min="15371" max="15371" width="13.5703125" style="215" bestFit="1" customWidth="1"/>
    <col min="15372" max="15372" width="14.5703125" style="215" bestFit="1" customWidth="1"/>
    <col min="15373" max="15373" width="14.85546875" style="215" bestFit="1" customWidth="1"/>
    <col min="15374" max="15374" width="17.140625" style="215" customWidth="1"/>
    <col min="15375" max="15375" width="16.42578125" style="215" bestFit="1" customWidth="1"/>
    <col min="15376" max="15376" width="17.140625" style="215" bestFit="1" customWidth="1"/>
    <col min="15377" max="15377" width="24.42578125" style="215" customWidth="1"/>
    <col min="15378" max="15378" width="18.42578125" style="215" bestFit="1" customWidth="1"/>
    <col min="15379" max="15379" width="18.5703125" style="215" bestFit="1" customWidth="1"/>
    <col min="15380" max="15380" width="19.42578125" style="215" bestFit="1" customWidth="1"/>
    <col min="15381" max="15381" width="20.42578125" style="215" bestFit="1" customWidth="1"/>
    <col min="15382" max="15382" width="20.85546875" style="215" bestFit="1" customWidth="1"/>
    <col min="15383" max="15383" width="21.42578125" style="215" bestFit="1" customWidth="1"/>
    <col min="15384" max="15385" width="22.42578125" style="215" bestFit="1" customWidth="1"/>
    <col min="15386" max="15387" width="23.85546875" style="215" bestFit="1" customWidth="1"/>
    <col min="15388" max="15389" width="24.85546875" style="215" bestFit="1" customWidth="1"/>
    <col min="15390" max="15394" width="11.42578125" style="215" bestFit="1" customWidth="1"/>
    <col min="15395" max="15399" width="12.42578125" style="215" bestFit="1" customWidth="1"/>
    <col min="15400" max="15400" width="12" style="215" bestFit="1" customWidth="1"/>
    <col min="15401" max="15616" width="8.85546875" style="215"/>
    <col min="15617" max="15617" width="7.42578125" style="215" customWidth="1"/>
    <col min="15618" max="15618" width="41" style="215" customWidth="1"/>
    <col min="15619" max="15619" width="16" style="215" customWidth="1"/>
    <col min="15620" max="15620" width="16.140625" style="215" bestFit="1" customWidth="1"/>
    <col min="15621" max="15621" width="11.85546875" style="215" customWidth="1"/>
    <col min="15622" max="15622" width="12.42578125" style="215" bestFit="1" customWidth="1"/>
    <col min="15623" max="15624" width="13" style="215" bestFit="1" customWidth="1"/>
    <col min="15625" max="15625" width="12.5703125" style="215" bestFit="1" customWidth="1"/>
    <col min="15626" max="15626" width="13.42578125" style="215" bestFit="1" customWidth="1"/>
    <col min="15627" max="15627" width="13.5703125" style="215" bestFit="1" customWidth="1"/>
    <col min="15628" max="15628" width="14.5703125" style="215" bestFit="1" customWidth="1"/>
    <col min="15629" max="15629" width="14.85546875" style="215" bestFit="1" customWidth="1"/>
    <col min="15630" max="15630" width="17.140625" style="215" customWidth="1"/>
    <col min="15631" max="15631" width="16.42578125" style="215" bestFit="1" customWidth="1"/>
    <col min="15632" max="15632" width="17.140625" style="215" bestFit="1" customWidth="1"/>
    <col min="15633" max="15633" width="24.42578125" style="215" customWidth="1"/>
    <col min="15634" max="15634" width="18.42578125" style="215" bestFit="1" customWidth="1"/>
    <col min="15635" max="15635" width="18.5703125" style="215" bestFit="1" customWidth="1"/>
    <col min="15636" max="15636" width="19.42578125" style="215" bestFit="1" customWidth="1"/>
    <col min="15637" max="15637" width="20.42578125" style="215" bestFit="1" customWidth="1"/>
    <col min="15638" max="15638" width="20.85546875" style="215" bestFit="1" customWidth="1"/>
    <col min="15639" max="15639" width="21.42578125" style="215" bestFit="1" customWidth="1"/>
    <col min="15640" max="15641" width="22.42578125" style="215" bestFit="1" customWidth="1"/>
    <col min="15642" max="15643" width="23.85546875" style="215" bestFit="1" customWidth="1"/>
    <col min="15644" max="15645" width="24.85546875" style="215" bestFit="1" customWidth="1"/>
    <col min="15646" max="15650" width="11.42578125" style="215" bestFit="1" customWidth="1"/>
    <col min="15651" max="15655" width="12.42578125" style="215" bestFit="1" customWidth="1"/>
    <col min="15656" max="15656" width="12" style="215" bestFit="1" customWidth="1"/>
    <col min="15657" max="15872" width="8.85546875" style="215"/>
    <col min="15873" max="15873" width="7.42578125" style="215" customWidth="1"/>
    <col min="15874" max="15874" width="41" style="215" customWidth="1"/>
    <col min="15875" max="15875" width="16" style="215" customWidth="1"/>
    <col min="15876" max="15876" width="16.140625" style="215" bestFit="1" customWidth="1"/>
    <col min="15877" max="15877" width="11.85546875" style="215" customWidth="1"/>
    <col min="15878" max="15878" width="12.42578125" style="215" bestFit="1" customWidth="1"/>
    <col min="15879" max="15880" width="13" style="215" bestFit="1" customWidth="1"/>
    <col min="15881" max="15881" width="12.5703125" style="215" bestFit="1" customWidth="1"/>
    <col min="15882" max="15882" width="13.42578125" style="215" bestFit="1" customWidth="1"/>
    <col min="15883" max="15883" width="13.5703125" style="215" bestFit="1" customWidth="1"/>
    <col min="15884" max="15884" width="14.5703125" style="215" bestFit="1" customWidth="1"/>
    <col min="15885" max="15885" width="14.85546875" style="215" bestFit="1" customWidth="1"/>
    <col min="15886" max="15886" width="17.140625" style="215" customWidth="1"/>
    <col min="15887" max="15887" width="16.42578125" style="215" bestFit="1" customWidth="1"/>
    <col min="15888" max="15888" width="17.140625" style="215" bestFit="1" customWidth="1"/>
    <col min="15889" max="15889" width="24.42578125" style="215" customWidth="1"/>
    <col min="15890" max="15890" width="18.42578125" style="215" bestFit="1" customWidth="1"/>
    <col min="15891" max="15891" width="18.5703125" style="215" bestFit="1" customWidth="1"/>
    <col min="15892" max="15892" width="19.42578125" style="215" bestFit="1" customWidth="1"/>
    <col min="15893" max="15893" width="20.42578125" style="215" bestFit="1" customWidth="1"/>
    <col min="15894" max="15894" width="20.85546875" style="215" bestFit="1" customWidth="1"/>
    <col min="15895" max="15895" width="21.42578125" style="215" bestFit="1" customWidth="1"/>
    <col min="15896" max="15897" width="22.42578125" style="215" bestFit="1" customWidth="1"/>
    <col min="15898" max="15899" width="23.85546875" style="215" bestFit="1" customWidth="1"/>
    <col min="15900" max="15901" width="24.85546875" style="215" bestFit="1" customWidth="1"/>
    <col min="15902" max="15906" width="11.42578125" style="215" bestFit="1" customWidth="1"/>
    <col min="15907" max="15911" width="12.42578125" style="215" bestFit="1" customWidth="1"/>
    <col min="15912" max="15912" width="12" style="215" bestFit="1" customWidth="1"/>
    <col min="15913" max="16128" width="8.85546875" style="215"/>
    <col min="16129" max="16129" width="7.42578125" style="215" customWidth="1"/>
    <col min="16130" max="16130" width="41" style="215" customWidth="1"/>
    <col min="16131" max="16131" width="16" style="215" customWidth="1"/>
    <col min="16132" max="16132" width="16.140625" style="215" bestFit="1" customWidth="1"/>
    <col min="16133" max="16133" width="11.85546875" style="215" customWidth="1"/>
    <col min="16134" max="16134" width="12.42578125" style="215" bestFit="1" customWidth="1"/>
    <col min="16135" max="16136" width="13" style="215" bestFit="1" customWidth="1"/>
    <col min="16137" max="16137" width="12.5703125" style="215" bestFit="1" customWidth="1"/>
    <col min="16138" max="16138" width="13.42578125" style="215" bestFit="1" customWidth="1"/>
    <col min="16139" max="16139" width="13.5703125" style="215" bestFit="1" customWidth="1"/>
    <col min="16140" max="16140" width="14.5703125" style="215" bestFit="1" customWidth="1"/>
    <col min="16141" max="16141" width="14.85546875" style="215" bestFit="1" customWidth="1"/>
    <col min="16142" max="16142" width="17.140625" style="215" customWidth="1"/>
    <col min="16143" max="16143" width="16.42578125" style="215" bestFit="1" customWidth="1"/>
    <col min="16144" max="16144" width="17.140625" style="215" bestFit="1" customWidth="1"/>
    <col min="16145" max="16145" width="24.42578125" style="215" customWidth="1"/>
    <col min="16146" max="16146" width="18.42578125" style="215" bestFit="1" customWidth="1"/>
    <col min="16147" max="16147" width="18.5703125" style="215" bestFit="1" customWidth="1"/>
    <col min="16148" max="16148" width="19.42578125" style="215" bestFit="1" customWidth="1"/>
    <col min="16149" max="16149" width="20.42578125" style="215" bestFit="1" customWidth="1"/>
    <col min="16150" max="16150" width="20.85546875" style="215" bestFit="1" customWidth="1"/>
    <col min="16151" max="16151" width="21.42578125" style="215" bestFit="1" customWidth="1"/>
    <col min="16152" max="16153" width="22.42578125" style="215" bestFit="1" customWidth="1"/>
    <col min="16154" max="16155" width="23.85546875" style="215" bestFit="1" customWidth="1"/>
    <col min="16156" max="16157" width="24.85546875" style="215" bestFit="1" customWidth="1"/>
    <col min="16158" max="16162" width="11.42578125" style="215" bestFit="1" customWidth="1"/>
    <col min="16163" max="16167" width="12.42578125" style="215" bestFit="1" customWidth="1"/>
    <col min="16168" max="16168" width="12" style="215" bestFit="1" customWidth="1"/>
    <col min="16169" max="16384" width="8.85546875" style="215"/>
  </cols>
  <sheetData>
    <row r="1" spans="2:14" ht="12.95">
      <c r="B1" s="212" t="s">
        <v>293</v>
      </c>
      <c r="C1" s="213"/>
      <c r="D1" s="214"/>
    </row>
    <row r="2" spans="2:14" ht="12.95">
      <c r="B2" s="379" t="s">
        <v>476</v>
      </c>
      <c r="C2" s="378"/>
      <c r="D2" s="381">
        <f>EnergyDemand!F85</f>
        <v>779.46</v>
      </c>
    </row>
    <row r="3" spans="2:14">
      <c r="B3" s="379" t="s">
        <v>108</v>
      </c>
      <c r="C3" s="217"/>
      <c r="D3" s="380">
        <f>EnergyDemand!D33</f>
        <v>4250.6550399999996</v>
      </c>
    </row>
    <row r="4" spans="2:14" ht="12.95">
      <c r="B4" s="379" t="s">
        <v>477</v>
      </c>
      <c r="C4" s="217"/>
      <c r="D4" s="382">
        <f>SUM(D2:D3)</f>
        <v>5030.1150399999997</v>
      </c>
    </row>
    <row r="5" spans="2:14">
      <c r="B5" s="216"/>
      <c r="C5" s="217"/>
      <c r="D5" s="218"/>
    </row>
    <row r="6" spans="2:14">
      <c r="B6" s="216" t="s">
        <v>478</v>
      </c>
      <c r="C6" s="217"/>
      <c r="D6" s="219">
        <f>1000*D4</f>
        <v>5030115.04</v>
      </c>
      <c r="F6" s="220"/>
    </row>
    <row r="7" spans="2:14">
      <c r="B7" s="216" t="s">
        <v>479</v>
      </c>
      <c r="C7" s="217"/>
      <c r="D7" s="386">
        <f>D2*500</f>
        <v>389730</v>
      </c>
      <c r="F7" s="220"/>
    </row>
    <row r="8" spans="2:14">
      <c r="B8" s="216"/>
      <c r="C8" s="217"/>
      <c r="D8" s="218"/>
    </row>
    <row r="9" spans="2:14">
      <c r="B9" s="216" t="s">
        <v>480</v>
      </c>
      <c r="C9" s="217" t="s">
        <v>301</v>
      </c>
      <c r="D9" s="221">
        <f>D6*0.1</f>
        <v>503011.50400000002</v>
      </c>
      <c r="F9" s="220"/>
    </row>
    <row r="10" spans="2:14">
      <c r="B10" s="216" t="s">
        <v>481</v>
      </c>
      <c r="C10" s="217" t="s">
        <v>304</v>
      </c>
      <c r="D10" s="223">
        <v>0</v>
      </c>
      <c r="F10" s="222"/>
    </row>
    <row r="11" spans="2:14">
      <c r="B11" s="216"/>
      <c r="C11" s="217"/>
      <c r="D11" s="218"/>
      <c r="F11" s="224"/>
    </row>
    <row r="12" spans="2:14">
      <c r="B12" s="216" t="s">
        <v>482</v>
      </c>
      <c r="C12" s="225" t="s">
        <v>307</v>
      </c>
      <c r="D12" s="226">
        <v>0.2</v>
      </c>
      <c r="E12" s="215" t="s">
        <v>483</v>
      </c>
    </row>
    <row r="13" spans="2:14">
      <c r="B13" s="216" t="s">
        <v>310</v>
      </c>
      <c r="C13" s="225" t="s">
        <v>307</v>
      </c>
      <c r="D13" s="227">
        <v>0.44</v>
      </c>
      <c r="E13" s="215" t="s">
        <v>308</v>
      </c>
    </row>
    <row r="14" spans="2:14">
      <c r="B14" s="216" t="s">
        <v>484</v>
      </c>
      <c r="C14" s="225"/>
      <c r="D14" s="383">
        <f>5*365</f>
        <v>1825</v>
      </c>
    </row>
    <row r="15" spans="2:14" ht="17.25" customHeight="1">
      <c r="B15" s="216" t="s">
        <v>485</v>
      </c>
      <c r="C15" s="225" t="s">
        <v>313</v>
      </c>
      <c r="D15" s="228">
        <f>12*365</f>
        <v>4380</v>
      </c>
      <c r="N15" s="229"/>
    </row>
    <row r="16" spans="2:14">
      <c r="B16" s="216"/>
      <c r="C16" s="217"/>
      <c r="D16" s="218"/>
      <c r="N16" s="229"/>
    </row>
    <row r="17" spans="2:27">
      <c r="B17" s="216" t="s">
        <v>486</v>
      </c>
      <c r="C17" s="217" t="s">
        <v>304</v>
      </c>
      <c r="D17" s="230">
        <v>0.08</v>
      </c>
      <c r="E17" s="215" t="str">
        <f>'ProgrBiogas Electricity Fin Anl'!E16</f>
        <v>Assumption based on Trimble et. al/ World Bank 2016</v>
      </c>
    </row>
    <row r="18" spans="2:27" s="232" customFormat="1" ht="12.95">
      <c r="B18" s="216" t="s">
        <v>487</v>
      </c>
      <c r="C18" s="217" t="s">
        <v>304</v>
      </c>
      <c r="D18" s="231">
        <v>0.23</v>
      </c>
      <c r="E18" s="232" t="str">
        <f>'ProgrBiogas Electricity Fin Anl'!E17</f>
        <v>Assumption based on IEA 2020 for Countries with Diesel based power systems</v>
      </c>
      <c r="O18" s="233"/>
    </row>
    <row r="19" spans="2:27">
      <c r="B19" s="216" t="s">
        <v>488</v>
      </c>
      <c r="C19" s="217"/>
      <c r="D19" s="385">
        <f>D2*(1-D12)*D14</f>
        <v>1138011.6000000001</v>
      </c>
      <c r="U19" s="234"/>
      <c r="V19" s="234"/>
      <c r="Z19" s="235"/>
    </row>
    <row r="20" spans="2:27">
      <c r="B20" s="216" t="s">
        <v>489</v>
      </c>
      <c r="C20" s="217"/>
      <c r="D20" s="384">
        <f>D3*(1-D12)*D15</f>
        <v>14894295.260159999</v>
      </c>
      <c r="Q20" s="236"/>
      <c r="U20" s="234"/>
      <c r="V20" s="234"/>
      <c r="Z20" s="235"/>
    </row>
    <row r="21" spans="2:27">
      <c r="B21" s="216"/>
      <c r="C21" s="217"/>
      <c r="D21" s="218"/>
      <c r="F21" s="222"/>
      <c r="U21" s="234"/>
      <c r="V21" s="234"/>
      <c r="Z21" s="235"/>
    </row>
    <row r="22" spans="2:27">
      <c r="B22" s="216" t="s">
        <v>320</v>
      </c>
      <c r="C22" s="225" t="s">
        <v>490</v>
      </c>
      <c r="D22" s="237">
        <f>'GuiBiogas Electricity Fin '!G7/1000</f>
        <v>0.67700000000000005</v>
      </c>
      <c r="E22" s="215" t="str">
        <f>'ProgrBiogas Electricity Fin Anl'!E21</f>
        <v>Average based on IFI Dataset</v>
      </c>
      <c r="U22" s="234"/>
      <c r="V22" s="234"/>
      <c r="Z22" s="235"/>
    </row>
    <row r="23" spans="2:27">
      <c r="B23" s="216" t="s">
        <v>324</v>
      </c>
      <c r="C23" s="225" t="s">
        <v>325</v>
      </c>
      <c r="D23" s="867">
        <v>7.4099999999999999E-2</v>
      </c>
      <c r="E23" s="868" t="s">
        <v>326</v>
      </c>
      <c r="U23" s="234"/>
      <c r="V23" s="234"/>
      <c r="Z23" s="235"/>
    </row>
    <row r="24" spans="2:27">
      <c r="B24" s="216" t="s">
        <v>329</v>
      </c>
      <c r="C24" s="225" t="s">
        <v>307</v>
      </c>
      <c r="D24" s="238">
        <v>0</v>
      </c>
      <c r="U24" s="234"/>
      <c r="V24" s="234"/>
      <c r="Z24" s="235"/>
    </row>
    <row r="25" spans="2:27">
      <c r="B25" s="216"/>
      <c r="C25" s="217"/>
      <c r="D25" s="218"/>
      <c r="U25" s="234"/>
      <c r="V25" s="234"/>
      <c r="Z25" s="235"/>
    </row>
    <row r="26" spans="2:27">
      <c r="B26" s="216"/>
      <c r="C26" s="217"/>
      <c r="D26" s="218"/>
      <c r="F26" s="728"/>
      <c r="U26" s="234"/>
      <c r="V26" s="234"/>
      <c r="Z26" s="235"/>
    </row>
    <row r="27" spans="2:27">
      <c r="B27" s="239" t="s">
        <v>492</v>
      </c>
      <c r="C27" s="240" t="s">
        <v>331</v>
      </c>
      <c r="D27" s="241">
        <f>D6+D7</f>
        <v>5419845.04</v>
      </c>
      <c r="F27" s="728"/>
      <c r="U27" s="234"/>
      <c r="V27" s="234"/>
      <c r="Z27" s="235"/>
    </row>
    <row r="28" spans="2:27">
      <c r="U28" s="234"/>
      <c r="V28" s="234"/>
      <c r="Z28" s="235"/>
    </row>
    <row r="29" spans="2:27">
      <c r="B29" s="242" t="s">
        <v>332</v>
      </c>
      <c r="C29" s="243">
        <v>1</v>
      </c>
      <c r="D29" s="244" t="s">
        <v>333</v>
      </c>
      <c r="M29" s="234"/>
      <c r="U29" s="234"/>
      <c r="V29" s="234"/>
      <c r="Z29" s="235"/>
    </row>
    <row r="30" spans="2:27">
      <c r="B30" s="245" t="s">
        <v>334</v>
      </c>
      <c r="C30" s="246">
        <v>1000</v>
      </c>
      <c r="D30" s="247" t="s">
        <v>335</v>
      </c>
      <c r="O30" s="234"/>
      <c r="P30" s="234"/>
      <c r="V30" s="234"/>
      <c r="W30" s="234"/>
      <c r="AA30" s="235"/>
    </row>
    <row r="31" spans="2:27">
      <c r="B31" s="245" t="s">
        <v>336</v>
      </c>
      <c r="C31" s="248">
        <v>3.5999999999999999E-3</v>
      </c>
      <c r="D31" s="247" t="s">
        <v>337</v>
      </c>
      <c r="O31" s="234"/>
      <c r="P31" s="234"/>
      <c r="V31" s="234"/>
      <c r="W31" s="234"/>
      <c r="AA31" s="235"/>
    </row>
    <row r="33" spans="2:4" ht="12.95">
      <c r="B33" s="887" t="s">
        <v>338</v>
      </c>
      <c r="C33" s="888"/>
      <c r="D33" s="889"/>
    </row>
    <row r="34" spans="2:4">
      <c r="B34" s="249" t="s">
        <v>339</v>
      </c>
      <c r="C34" s="250" t="s">
        <v>307</v>
      </c>
      <c r="D34" s="226">
        <v>1</v>
      </c>
    </row>
    <row r="35" spans="2:4">
      <c r="B35" s="245" t="s">
        <v>340</v>
      </c>
      <c r="C35" s="247" t="s">
        <v>307</v>
      </c>
      <c r="D35" s="238">
        <v>0</v>
      </c>
    </row>
    <row r="36" spans="2:4">
      <c r="B36" s="251" t="s">
        <v>341</v>
      </c>
      <c r="C36" s="252" t="s">
        <v>342</v>
      </c>
      <c r="D36" s="253">
        <v>25</v>
      </c>
    </row>
    <row r="37" spans="2:4">
      <c r="B37" s="245" t="s">
        <v>343</v>
      </c>
      <c r="C37" s="247" t="s">
        <v>342</v>
      </c>
      <c r="D37" s="254">
        <v>25</v>
      </c>
    </row>
    <row r="38" spans="2:4">
      <c r="B38" s="251" t="s">
        <v>344</v>
      </c>
      <c r="C38" s="252" t="s">
        <v>307</v>
      </c>
      <c r="D38" s="227">
        <v>0.14699999999999999</v>
      </c>
    </row>
    <row r="39" spans="2:4">
      <c r="B39" s="251" t="s">
        <v>493</v>
      </c>
      <c r="C39" s="252" t="s">
        <v>307</v>
      </c>
      <c r="D39" s="227">
        <f>0.0075</f>
        <v>7.4999999999999997E-3</v>
      </c>
    </row>
    <row r="40" spans="2:4">
      <c r="B40" s="251" t="s">
        <v>346</v>
      </c>
      <c r="C40" s="252" t="s">
        <v>307</v>
      </c>
      <c r="D40" s="227">
        <v>0.12</v>
      </c>
    </row>
    <row r="41" spans="2:4">
      <c r="B41" s="245" t="s">
        <v>104</v>
      </c>
      <c r="C41" s="247" t="s">
        <v>307</v>
      </c>
      <c r="D41" s="377">
        <v>0.2</v>
      </c>
    </row>
    <row r="43" spans="2:4" ht="13.5" thickBot="1">
      <c r="B43" s="890" t="s">
        <v>350</v>
      </c>
      <c r="C43" s="890"/>
      <c r="D43" s="890"/>
    </row>
    <row r="44" spans="2:4" ht="12.95" thickTop="1">
      <c r="B44" s="217" t="s">
        <v>351</v>
      </c>
      <c r="C44" s="255">
        <f>D99</f>
        <v>216793.80160000001</v>
      </c>
      <c r="D44" s="225" t="s">
        <v>331</v>
      </c>
    </row>
    <row r="45" spans="2:4">
      <c r="B45" s="217" t="s">
        <v>352</v>
      </c>
      <c r="C45" s="255">
        <f>SUM(D82:AB82)</f>
        <v>11016367.600000001</v>
      </c>
      <c r="D45" s="225" t="s">
        <v>331</v>
      </c>
    </row>
    <row r="46" spans="2:4" ht="13.5" thickBot="1">
      <c r="B46" s="256" t="s">
        <v>97</v>
      </c>
      <c r="C46" s="257">
        <f>C45+C44</f>
        <v>11233161.401600001</v>
      </c>
      <c r="D46" s="258" t="s">
        <v>331</v>
      </c>
    </row>
    <row r="47" spans="2:4">
      <c r="B47" s="217" t="s">
        <v>353</v>
      </c>
      <c r="C47" s="255">
        <f>D123</f>
        <v>13518934.256212456</v>
      </c>
      <c r="D47" s="225" t="s">
        <v>331</v>
      </c>
    </row>
    <row r="48" spans="2:4">
      <c r="B48" s="217" t="s">
        <v>354</v>
      </c>
      <c r="C48" s="255">
        <f>D129</f>
        <v>-3126285.9838246973</v>
      </c>
      <c r="D48" s="225" t="s">
        <v>331</v>
      </c>
    </row>
    <row r="49" spans="2:4" ht="13.5" thickBot="1">
      <c r="B49" s="256" t="s">
        <v>355</v>
      </c>
      <c r="C49" s="257">
        <f>C46-C47-C48</f>
        <v>840513.12921224255</v>
      </c>
      <c r="D49" s="258" t="s">
        <v>331</v>
      </c>
    </row>
    <row r="51" spans="2:4" ht="13.5" thickBot="1">
      <c r="B51" s="890" t="s">
        <v>356</v>
      </c>
      <c r="C51" s="890"/>
      <c r="D51" s="890"/>
    </row>
    <row r="52" spans="2:4" ht="12.95" thickTop="1">
      <c r="B52" s="217" t="s">
        <v>351</v>
      </c>
      <c r="C52" s="504">
        <f>C44/D79</f>
        <v>5.7345660609270247E-4</v>
      </c>
      <c r="D52" s="225" t="s">
        <v>331</v>
      </c>
    </row>
    <row r="53" spans="2:4">
      <c r="B53" s="217" t="s">
        <v>352</v>
      </c>
      <c r="C53" s="255">
        <f>C45/D79</f>
        <v>2.9140172499127443E-2</v>
      </c>
      <c r="D53" s="225" t="s">
        <v>331</v>
      </c>
    </row>
    <row r="54" spans="2:4" ht="13.5" thickBot="1">
      <c r="B54" s="256" t="s">
        <v>97</v>
      </c>
      <c r="C54" s="257">
        <f>C53+C52</f>
        <v>2.9713629105220147E-2</v>
      </c>
      <c r="D54" s="258" t="s">
        <v>331</v>
      </c>
    </row>
    <row r="55" spans="2:4">
      <c r="B55" s="217" t="s">
        <v>353</v>
      </c>
      <c r="C55" s="255">
        <f>C47/D79</f>
        <v>3.5759888425509152E-2</v>
      </c>
      <c r="D55" s="225" t="s">
        <v>331</v>
      </c>
    </row>
    <row r="56" spans="2:4">
      <c r="B56" s="217" t="s">
        <v>354</v>
      </c>
      <c r="C56" s="255">
        <f>C48/D79</f>
        <v>-8.2695600000000005E-3</v>
      </c>
      <c r="D56" s="225" t="s">
        <v>331</v>
      </c>
    </row>
    <row r="57" spans="2:4" ht="13.5" thickBot="1">
      <c r="B57" s="256" t="s">
        <v>355</v>
      </c>
      <c r="C57" s="257">
        <f>C54-C55-C56</f>
        <v>2.2233006797109951E-3</v>
      </c>
      <c r="D57" s="258" t="s">
        <v>331</v>
      </c>
    </row>
    <row r="59" spans="2:4" ht="12.95">
      <c r="B59" s="887" t="s">
        <v>357</v>
      </c>
      <c r="C59" s="888"/>
      <c r="D59" s="889"/>
    </row>
    <row r="60" spans="2:4" ht="12.95">
      <c r="B60" s="242" t="s">
        <v>358</v>
      </c>
      <c r="C60" s="259" t="s">
        <v>359</v>
      </c>
      <c r="D60" s="231">
        <f>SUM(D109:AM109)/SUM(D108:AM108)</f>
        <v>4.4240111574490856E-2</v>
      </c>
    </row>
    <row r="61" spans="2:4" ht="12.95">
      <c r="B61" s="242" t="s">
        <v>360</v>
      </c>
      <c r="C61" s="259" t="s">
        <v>359</v>
      </c>
      <c r="D61" s="231">
        <f>SUM(D110:AD110)/SUM(D108:AD108)</f>
        <v>5.2509671574490845E-2</v>
      </c>
    </row>
    <row r="62" spans="2:4" ht="12.95">
      <c r="B62" s="242" t="s">
        <v>358</v>
      </c>
      <c r="C62" s="259" t="s">
        <v>361</v>
      </c>
      <c r="D62" s="260">
        <f>D60/$C$31</f>
        <v>12.288919881803016</v>
      </c>
    </row>
    <row r="63" spans="2:4" ht="12.95">
      <c r="B63" s="242" t="s">
        <v>362</v>
      </c>
      <c r="C63" s="259" t="s">
        <v>361</v>
      </c>
      <c r="D63" s="260">
        <f>D61/C31</f>
        <v>14.586019881803013</v>
      </c>
    </row>
    <row r="65" spans="1:39" ht="13.5" thickBot="1">
      <c r="B65" s="261" t="s">
        <v>363</v>
      </c>
      <c r="C65" s="262" t="s">
        <v>364</v>
      </c>
      <c r="D65" s="261"/>
    </row>
    <row r="66" spans="1:39" ht="12.95" thickTop="1">
      <c r="B66" s="263" t="s">
        <v>365</v>
      </c>
      <c r="C66" s="225" t="s">
        <v>331</v>
      </c>
      <c r="D66" s="264">
        <f>(D17-D60)*SUM(D78:AB78)</f>
        <v>13518934.256212452</v>
      </c>
    </row>
    <row r="67" spans="1:39">
      <c r="B67" s="263" t="s">
        <v>366</v>
      </c>
      <c r="C67" s="225" t="s">
        <v>331</v>
      </c>
      <c r="D67" s="264">
        <f>(D18-D60)*SUM(D78:AB78)</f>
        <v>70226050.181812435</v>
      </c>
    </row>
    <row r="68" spans="1:39">
      <c r="B68" s="263" t="s">
        <v>367</v>
      </c>
      <c r="C68" s="225" t="s">
        <v>368</v>
      </c>
      <c r="D68" s="265">
        <f>D22*SUM(D78:AB78)</f>
        <v>255938116.5442079</v>
      </c>
    </row>
    <row r="69" spans="1:39">
      <c r="B69" s="263" t="s">
        <v>369</v>
      </c>
      <c r="C69" s="225" t="s">
        <v>368</v>
      </c>
      <c r="D69" s="265">
        <f>-D118</f>
        <v>100847.93496208698</v>
      </c>
    </row>
    <row r="71" spans="1:39">
      <c r="B71" s="217" t="s">
        <v>370</v>
      </c>
      <c r="C71" s="225" t="s">
        <v>371</v>
      </c>
      <c r="D71" s="265">
        <f>SUM(D78:AB78)</f>
        <v>378047439.50399983</v>
      </c>
    </row>
    <row r="72" spans="1:39">
      <c r="B72" s="217" t="s">
        <v>372</v>
      </c>
      <c r="C72" s="266" t="s">
        <v>373</v>
      </c>
      <c r="D72" s="267">
        <f>D118</f>
        <v>-100847.93496208698</v>
      </c>
    </row>
    <row r="75" spans="1:39" ht="12.95">
      <c r="B75" s="268" t="s">
        <v>67</v>
      </c>
      <c r="C75" s="269"/>
      <c r="D75" s="270" t="s">
        <v>374</v>
      </c>
      <c r="E75" s="270" t="s">
        <v>375</v>
      </c>
      <c r="F75" s="270" t="s">
        <v>376</v>
      </c>
      <c r="G75" s="270" t="s">
        <v>377</v>
      </c>
      <c r="H75" s="270" t="s">
        <v>378</v>
      </c>
      <c r="I75" s="270" t="s">
        <v>379</v>
      </c>
      <c r="J75" s="270" t="s">
        <v>380</v>
      </c>
      <c r="K75" s="270" t="s">
        <v>381</v>
      </c>
      <c r="L75" s="270" t="s">
        <v>382</v>
      </c>
      <c r="M75" s="270" t="s">
        <v>383</v>
      </c>
      <c r="N75" s="270" t="s">
        <v>384</v>
      </c>
      <c r="O75" s="270" t="s">
        <v>385</v>
      </c>
      <c r="P75" s="270" t="s">
        <v>386</v>
      </c>
      <c r="Q75" s="270" t="s">
        <v>387</v>
      </c>
      <c r="R75" s="270" t="s">
        <v>388</v>
      </c>
      <c r="S75" s="270" t="s">
        <v>389</v>
      </c>
      <c r="T75" s="270" t="s">
        <v>390</v>
      </c>
      <c r="U75" s="270" t="s">
        <v>391</v>
      </c>
      <c r="V75" s="270" t="s">
        <v>392</v>
      </c>
      <c r="W75" s="270" t="s">
        <v>393</v>
      </c>
      <c r="X75" s="270" t="s">
        <v>394</v>
      </c>
      <c r="Y75" s="270" t="s">
        <v>395</v>
      </c>
      <c r="Z75" s="270" t="s">
        <v>396</v>
      </c>
      <c r="AA75" s="270" t="s">
        <v>397</v>
      </c>
      <c r="AB75" s="270" t="s">
        <v>398</v>
      </c>
      <c r="AC75" s="270" t="s">
        <v>399</v>
      </c>
      <c r="AD75" s="270" t="s">
        <v>400</v>
      </c>
      <c r="AE75" s="270" t="s">
        <v>401</v>
      </c>
      <c r="AF75" s="270" t="s">
        <v>402</v>
      </c>
      <c r="AG75" s="270" t="s">
        <v>403</v>
      </c>
      <c r="AH75" s="270" t="s">
        <v>404</v>
      </c>
      <c r="AI75" s="270" t="s">
        <v>405</v>
      </c>
      <c r="AJ75" s="270" t="s">
        <v>406</v>
      </c>
      <c r="AK75" s="270" t="s">
        <v>407</v>
      </c>
      <c r="AL75" s="270" t="s">
        <v>408</v>
      </c>
      <c r="AM75" s="270" t="s">
        <v>409</v>
      </c>
    </row>
    <row r="76" spans="1:39">
      <c r="B76" s="271" t="s">
        <v>410</v>
      </c>
      <c r="C76" s="272"/>
      <c r="D76" s="273">
        <v>0</v>
      </c>
      <c r="E76" s="273">
        <v>1</v>
      </c>
      <c r="F76" s="273">
        <v>2</v>
      </c>
      <c r="G76" s="273">
        <v>3</v>
      </c>
      <c r="H76" s="273">
        <v>4</v>
      </c>
      <c r="I76" s="273">
        <v>5</v>
      </c>
      <c r="J76" s="273">
        <v>6</v>
      </c>
      <c r="K76" s="273">
        <v>7</v>
      </c>
      <c r="L76" s="273">
        <v>8</v>
      </c>
      <c r="M76" s="273">
        <v>9</v>
      </c>
      <c r="N76" s="273">
        <v>10</v>
      </c>
      <c r="O76" s="273">
        <v>11</v>
      </c>
      <c r="P76" s="273">
        <v>12</v>
      </c>
      <c r="Q76" s="273">
        <v>13</v>
      </c>
      <c r="R76" s="273">
        <v>14</v>
      </c>
      <c r="S76" s="273">
        <v>15</v>
      </c>
      <c r="T76" s="273">
        <v>16</v>
      </c>
      <c r="U76" s="273">
        <v>17</v>
      </c>
      <c r="V76" s="273">
        <v>18</v>
      </c>
      <c r="W76" s="273">
        <v>19</v>
      </c>
      <c r="X76" s="273">
        <v>20</v>
      </c>
      <c r="Y76" s="273">
        <v>21</v>
      </c>
      <c r="Z76" s="273">
        <v>22</v>
      </c>
      <c r="AA76" s="273">
        <v>23</v>
      </c>
      <c r="AB76" s="273">
        <v>24</v>
      </c>
      <c r="AC76" s="273">
        <v>25</v>
      </c>
      <c r="AD76" s="273">
        <v>26</v>
      </c>
      <c r="AE76" s="273">
        <v>27</v>
      </c>
      <c r="AF76" s="273">
        <v>28</v>
      </c>
      <c r="AG76" s="273">
        <v>29</v>
      </c>
      <c r="AH76" s="273">
        <v>30</v>
      </c>
      <c r="AI76" s="273">
        <v>31</v>
      </c>
      <c r="AJ76" s="273">
        <v>32</v>
      </c>
      <c r="AK76" s="273">
        <v>33</v>
      </c>
      <c r="AL76" s="273">
        <v>34</v>
      </c>
      <c r="AM76" s="274">
        <v>35</v>
      </c>
    </row>
    <row r="77" spans="1:39" ht="18" customHeight="1">
      <c r="B77" s="232"/>
      <c r="C77" s="275"/>
      <c r="D77" s="275"/>
    </row>
    <row r="78" spans="1:39">
      <c r="B78" s="276" t="s">
        <v>411</v>
      </c>
      <c r="C78" s="259" t="s">
        <v>412</v>
      </c>
      <c r="D78" s="277">
        <f>+D19+D20</f>
        <v>16032306.860159999</v>
      </c>
      <c r="E78" s="246">
        <f>$D$78</f>
        <v>16032306.860159999</v>
      </c>
      <c r="F78" s="246">
        <f>$D$78</f>
        <v>16032306.860159999</v>
      </c>
      <c r="G78" s="246">
        <f>$D$78</f>
        <v>16032306.860159999</v>
      </c>
      <c r="H78" s="246">
        <f>$D$78</f>
        <v>16032306.860159999</v>
      </c>
      <c r="I78" s="246">
        <f>$D$20</f>
        <v>14894295.260159999</v>
      </c>
      <c r="J78" s="246">
        <f t="shared" ref="J78:AB78" si="0">$D$20</f>
        <v>14894295.260159999</v>
      </c>
      <c r="K78" s="246">
        <f t="shared" si="0"/>
        <v>14894295.260159999</v>
      </c>
      <c r="L78" s="246">
        <f t="shared" si="0"/>
        <v>14894295.260159999</v>
      </c>
      <c r="M78" s="246">
        <f t="shared" si="0"/>
        <v>14894295.260159999</v>
      </c>
      <c r="N78" s="246">
        <f t="shared" si="0"/>
        <v>14894295.260159999</v>
      </c>
      <c r="O78" s="246">
        <f t="shared" si="0"/>
        <v>14894295.260159999</v>
      </c>
      <c r="P78" s="246">
        <f t="shared" si="0"/>
        <v>14894295.260159999</v>
      </c>
      <c r="Q78" s="246">
        <f t="shared" si="0"/>
        <v>14894295.260159999</v>
      </c>
      <c r="R78" s="246">
        <f t="shared" si="0"/>
        <v>14894295.260159999</v>
      </c>
      <c r="S78" s="246">
        <f t="shared" si="0"/>
        <v>14894295.260159999</v>
      </c>
      <c r="T78" s="246">
        <f t="shared" si="0"/>
        <v>14894295.260159999</v>
      </c>
      <c r="U78" s="246">
        <f t="shared" si="0"/>
        <v>14894295.260159999</v>
      </c>
      <c r="V78" s="246">
        <f t="shared" si="0"/>
        <v>14894295.260159999</v>
      </c>
      <c r="W78" s="246">
        <f t="shared" si="0"/>
        <v>14894295.260159999</v>
      </c>
      <c r="X78" s="246">
        <f t="shared" si="0"/>
        <v>14894295.260159999</v>
      </c>
      <c r="Y78" s="246">
        <f t="shared" si="0"/>
        <v>14894295.260159999</v>
      </c>
      <c r="Z78" s="246">
        <f t="shared" si="0"/>
        <v>14894295.260159999</v>
      </c>
      <c r="AA78" s="246">
        <f t="shared" si="0"/>
        <v>14894295.260159999</v>
      </c>
      <c r="AB78" s="246">
        <f t="shared" si="0"/>
        <v>14894295.260159999</v>
      </c>
      <c r="AC78" s="246"/>
      <c r="AD78" s="246"/>
      <c r="AE78" s="246">
        <f>IF(AE76&lt;=$D$37,AD78*(1-'GuiSolarPV Financial Analys'!$D$24),0)</f>
        <v>0</v>
      </c>
      <c r="AF78" s="246">
        <f>IF(AF76&lt;=$D$37,AE78*(1-'GuiSolarPV Financial Analys'!$D$24),0)</f>
        <v>0</v>
      </c>
      <c r="AG78" s="246">
        <f>IF(AG76&lt;=$D$37,AF78*(1-'GuiSolarPV Financial Analys'!$D$24),0)</f>
        <v>0</v>
      </c>
      <c r="AH78" s="246">
        <f>IF(AH76&lt;=$D$37,AG78*(1-'GuiSolarPV Financial Analys'!$D$24),0)</f>
        <v>0</v>
      </c>
      <c r="AI78" s="246">
        <f>IF(AI76&lt;=$D$37,AH78*(1-'GuiSolarPV Financial Analys'!$D$24),0)</f>
        <v>0</v>
      </c>
      <c r="AJ78" s="246">
        <f>IF(AJ76&lt;=$D$37,AI78*(1-'GuiSolarPV Financial Analys'!$D$24),0)</f>
        <v>0</v>
      </c>
      <c r="AK78" s="246">
        <f>IF(AK76&lt;=$D$37,AJ78*(1-'GuiSolarPV Financial Analys'!$D$24),0)</f>
        <v>0</v>
      </c>
      <c r="AL78" s="246">
        <f>IF(AL76&lt;=$D$37,AK78*(1-'GuiSolarPV Financial Analys'!$D$24),0)</f>
        <v>0</v>
      </c>
      <c r="AM78" s="278">
        <f>IF(AM76&lt;=$D$37,AL78*(1-'GuiSolarPV Financial Analys'!$D$24),0)</f>
        <v>0</v>
      </c>
    </row>
    <row r="79" spans="1:39" s="281" customFormat="1">
      <c r="A79" s="215"/>
      <c r="B79" s="279" t="s">
        <v>413</v>
      </c>
      <c r="C79" s="259" t="s">
        <v>371</v>
      </c>
      <c r="D79" s="278">
        <f>SUM(D78:AB78)</f>
        <v>378047439.50399983</v>
      </c>
      <c r="E79" s="280"/>
      <c r="F79" s="280"/>
      <c r="G79" s="280"/>
      <c r="H79" s="280"/>
      <c r="I79" s="280"/>
      <c r="J79" s="280"/>
      <c r="K79" s="280"/>
      <c r="L79" s="280"/>
      <c r="M79" s="280"/>
      <c r="N79" s="280"/>
      <c r="O79" s="280"/>
      <c r="P79" s="280"/>
      <c r="Q79" s="280"/>
      <c r="R79" s="280"/>
      <c r="S79" s="280"/>
      <c r="T79" s="280"/>
      <c r="U79" s="280"/>
      <c r="V79" s="280"/>
      <c r="W79" s="280"/>
      <c r="X79" s="280"/>
      <c r="Y79" s="280"/>
      <c r="Z79" s="280"/>
      <c r="AA79" s="280"/>
      <c r="AB79" s="280"/>
      <c r="AC79" s="280"/>
      <c r="AD79" s="280"/>
      <c r="AE79" s="280"/>
      <c r="AF79" s="280"/>
      <c r="AG79" s="280"/>
      <c r="AH79" s="280"/>
      <c r="AI79" s="280"/>
      <c r="AJ79" s="280"/>
      <c r="AK79" s="280"/>
      <c r="AL79" s="280"/>
      <c r="AM79" s="280"/>
    </row>
    <row r="80" spans="1:39">
      <c r="B80" s="232"/>
      <c r="C80" s="275"/>
      <c r="D80" s="282"/>
      <c r="E80" s="282"/>
      <c r="F80" s="282"/>
      <c r="G80" s="282"/>
      <c r="H80" s="282"/>
      <c r="I80" s="282"/>
      <c r="J80" s="282"/>
      <c r="K80" s="282"/>
      <c r="L80" s="282"/>
      <c r="M80" s="282"/>
      <c r="N80" s="282"/>
      <c r="O80" s="282"/>
      <c r="P80" s="282"/>
      <c r="Q80" s="282"/>
      <c r="R80" s="282"/>
      <c r="S80" s="282"/>
      <c r="T80" s="282"/>
      <c r="U80" s="282"/>
      <c r="V80" s="282"/>
      <c r="W80" s="282"/>
      <c r="X80" s="282"/>
      <c r="Y80" s="282"/>
      <c r="Z80" s="282"/>
      <c r="AA80" s="282"/>
      <c r="AB80" s="282"/>
      <c r="AC80" s="282"/>
      <c r="AD80" s="282"/>
      <c r="AE80" s="282"/>
      <c r="AF80" s="282"/>
      <c r="AG80" s="282"/>
      <c r="AH80" s="282"/>
      <c r="AI80" s="282"/>
      <c r="AJ80" s="282"/>
      <c r="AK80" s="282"/>
      <c r="AL80" s="282"/>
      <c r="AM80" s="282"/>
    </row>
    <row r="81" spans="2:39" ht="12.95">
      <c r="B81" s="283" t="s">
        <v>414</v>
      </c>
      <c r="C81" s="284" t="s">
        <v>364</v>
      </c>
      <c r="D81" s="275"/>
      <c r="E81" s="285"/>
      <c r="F81" s="285"/>
      <c r="G81" s="285"/>
      <c r="H81" s="285"/>
      <c r="I81" s="285"/>
      <c r="J81" s="285"/>
      <c r="K81" s="285"/>
      <c r="L81" s="285"/>
      <c r="M81" s="285"/>
      <c r="N81" s="285"/>
      <c r="O81" s="285"/>
      <c r="P81" s="285"/>
      <c r="Q81" s="285"/>
      <c r="R81" s="285"/>
      <c r="S81" s="285"/>
      <c r="T81" s="285"/>
      <c r="U81" s="285"/>
      <c r="V81" s="285"/>
      <c r="W81" s="285"/>
      <c r="X81" s="285"/>
      <c r="Y81" s="285"/>
      <c r="Z81" s="285"/>
      <c r="AA81" s="285"/>
      <c r="AB81" s="285"/>
      <c r="AC81" s="285"/>
      <c r="AD81" s="285"/>
      <c r="AE81" s="285"/>
      <c r="AF81" s="285"/>
      <c r="AG81" s="285"/>
      <c r="AH81" s="285"/>
      <c r="AI81" s="285"/>
      <c r="AJ81" s="285"/>
      <c r="AK81" s="285"/>
      <c r="AL81" s="285"/>
      <c r="AM81" s="285"/>
    </row>
    <row r="82" spans="2:39">
      <c r="B82" s="286" t="s">
        <v>494</v>
      </c>
      <c r="C82" s="287" t="s">
        <v>417</v>
      </c>
      <c r="D82" s="288">
        <f>D9</f>
        <v>503011.50400000002</v>
      </c>
      <c r="E82" s="289">
        <f t="shared" ref="E82:AB82" si="1">$D$82</f>
        <v>503011.50400000002</v>
      </c>
      <c r="F82" s="289">
        <f t="shared" si="1"/>
        <v>503011.50400000002</v>
      </c>
      <c r="G82" s="289">
        <f t="shared" si="1"/>
        <v>503011.50400000002</v>
      </c>
      <c r="H82" s="289">
        <f t="shared" si="1"/>
        <v>503011.50400000002</v>
      </c>
      <c r="I82" s="289">
        <f>$D$3*1000*0.1</f>
        <v>425065.50400000002</v>
      </c>
      <c r="J82" s="289">
        <f t="shared" ref="J82:AB82" si="2">$D$3*1000*0.1</f>
        <v>425065.50400000002</v>
      </c>
      <c r="K82" s="289">
        <f t="shared" si="2"/>
        <v>425065.50400000002</v>
      </c>
      <c r="L82" s="289">
        <f t="shared" si="2"/>
        <v>425065.50400000002</v>
      </c>
      <c r="M82" s="289">
        <f t="shared" si="2"/>
        <v>425065.50400000002</v>
      </c>
      <c r="N82" s="289">
        <f t="shared" si="2"/>
        <v>425065.50400000002</v>
      </c>
      <c r="O82" s="289">
        <f t="shared" si="2"/>
        <v>425065.50400000002</v>
      </c>
      <c r="P82" s="289">
        <f t="shared" si="2"/>
        <v>425065.50400000002</v>
      </c>
      <c r="Q82" s="289">
        <f t="shared" si="2"/>
        <v>425065.50400000002</v>
      </c>
      <c r="R82" s="289">
        <f t="shared" si="2"/>
        <v>425065.50400000002</v>
      </c>
      <c r="S82" s="289">
        <f t="shared" si="2"/>
        <v>425065.50400000002</v>
      </c>
      <c r="T82" s="289">
        <f t="shared" si="2"/>
        <v>425065.50400000002</v>
      </c>
      <c r="U82" s="289">
        <f t="shared" si="2"/>
        <v>425065.50400000002</v>
      </c>
      <c r="V82" s="289">
        <f t="shared" si="2"/>
        <v>425065.50400000002</v>
      </c>
      <c r="W82" s="289">
        <f t="shared" si="2"/>
        <v>425065.50400000002</v>
      </c>
      <c r="X82" s="289">
        <f t="shared" si="2"/>
        <v>425065.50400000002</v>
      </c>
      <c r="Y82" s="289">
        <f t="shared" si="2"/>
        <v>425065.50400000002</v>
      </c>
      <c r="Z82" s="289">
        <f t="shared" si="2"/>
        <v>425065.50400000002</v>
      </c>
      <c r="AA82" s="289">
        <f t="shared" si="2"/>
        <v>425065.50400000002</v>
      </c>
      <c r="AB82" s="289">
        <f t="shared" si="2"/>
        <v>425065.50400000002</v>
      </c>
      <c r="AC82" s="289"/>
      <c r="AD82" s="289"/>
      <c r="AE82" s="289">
        <f>IF(AE76&lt;=$D$37,$D$9*$D$4*(1+#REF!)^(AE76-1),0)</f>
        <v>0</v>
      </c>
      <c r="AF82" s="289">
        <f>IF(AF76&lt;=$D$37,$D$9*$D$4*(1+#REF!)^(AF76-1),0)</f>
        <v>0</v>
      </c>
      <c r="AG82" s="289">
        <f>IF(AG76&lt;=$D$37,$D$9*$D$4*(1+#REF!)^(AG76-1),0)</f>
        <v>0</v>
      </c>
      <c r="AH82" s="289">
        <f>IF(AH76&lt;=$D$37,$D$9*$D$4*(1+#REF!)^(AH76-1),0)</f>
        <v>0</v>
      </c>
      <c r="AI82" s="289">
        <f>IF(AI76&lt;=$D$37,$D$9*$D$4*(1+#REF!)^(AI76-1),0)</f>
        <v>0</v>
      </c>
      <c r="AJ82" s="289">
        <f>IF(AJ76&lt;=$D$37,$D$9*$D$4*(1+#REF!)^(AJ76-1),0)</f>
        <v>0</v>
      </c>
      <c r="AK82" s="289">
        <f>IF(AK76&lt;=$D$37,$D$9*$D$4*(1+#REF!)^(AK76-1),0)</f>
        <v>0</v>
      </c>
      <c r="AL82" s="289">
        <f>IF(AL76&lt;=$D$37,$D$9*$D$4*(1+#REF!)^(AL76-1),0)</f>
        <v>0</v>
      </c>
      <c r="AM82" s="290">
        <f>IF(AM76&lt;=$D$37,$D$9*$D$4*(1+#REF!)^(AM76-1),0)</f>
        <v>0</v>
      </c>
    </row>
    <row r="83" spans="2:39">
      <c r="B83" s="294" t="s">
        <v>419</v>
      </c>
      <c r="C83" s="295" t="s">
        <v>417</v>
      </c>
      <c r="D83" s="296">
        <f>0</f>
        <v>0</v>
      </c>
      <c r="E83" s="297">
        <f>0</f>
        <v>0</v>
      </c>
      <c r="F83" s="297">
        <f>0</f>
        <v>0</v>
      </c>
      <c r="G83" s="297">
        <f>0</f>
        <v>0</v>
      </c>
      <c r="H83" s="297">
        <f>0</f>
        <v>0</v>
      </c>
      <c r="I83" s="297">
        <f>0</f>
        <v>0</v>
      </c>
      <c r="J83" s="297">
        <f>0</f>
        <v>0</v>
      </c>
      <c r="K83" s="297">
        <f>0</f>
        <v>0</v>
      </c>
      <c r="L83" s="297">
        <f>0</f>
        <v>0</v>
      </c>
      <c r="M83" s="297">
        <f>0</f>
        <v>0</v>
      </c>
      <c r="N83" s="297">
        <f>0</f>
        <v>0</v>
      </c>
      <c r="O83" s="297">
        <f>0</f>
        <v>0</v>
      </c>
      <c r="P83" s="297">
        <f>0</f>
        <v>0</v>
      </c>
      <c r="Q83" s="297">
        <f>0</f>
        <v>0</v>
      </c>
      <c r="R83" s="297">
        <f>0</f>
        <v>0</v>
      </c>
      <c r="S83" s="297">
        <f>0</f>
        <v>0</v>
      </c>
      <c r="T83" s="297">
        <f>0</f>
        <v>0</v>
      </c>
      <c r="U83" s="297">
        <f>0</f>
        <v>0</v>
      </c>
      <c r="V83" s="297">
        <f>0</f>
        <v>0</v>
      </c>
      <c r="W83" s="297">
        <f>0</f>
        <v>0</v>
      </c>
      <c r="X83" s="297">
        <f>0</f>
        <v>0</v>
      </c>
      <c r="Y83" s="297">
        <f>0</f>
        <v>0</v>
      </c>
      <c r="Z83" s="297">
        <f>0</f>
        <v>0</v>
      </c>
      <c r="AA83" s="297">
        <f>0</f>
        <v>0</v>
      </c>
      <c r="AB83" s="297">
        <f>0</f>
        <v>0</v>
      </c>
      <c r="AC83" s="297">
        <f>0</f>
        <v>0</v>
      </c>
      <c r="AD83" s="297">
        <f>0</f>
        <v>0</v>
      </c>
      <c r="AE83" s="297">
        <f>0</f>
        <v>0</v>
      </c>
      <c r="AF83" s="297">
        <f>0</f>
        <v>0</v>
      </c>
      <c r="AG83" s="297">
        <f>0</f>
        <v>0</v>
      </c>
      <c r="AH83" s="297">
        <f>0</f>
        <v>0</v>
      </c>
      <c r="AI83" s="297">
        <f>0</f>
        <v>0</v>
      </c>
      <c r="AJ83" s="297">
        <f>0</f>
        <v>0</v>
      </c>
      <c r="AK83" s="297">
        <f>0</f>
        <v>0</v>
      </c>
      <c r="AL83" s="297">
        <f>0</f>
        <v>0</v>
      </c>
      <c r="AM83" s="298">
        <f>0</f>
        <v>0</v>
      </c>
    </row>
    <row r="84" spans="2:39" ht="12.95">
      <c r="B84" s="299" t="s">
        <v>420</v>
      </c>
      <c r="C84" s="300" t="s">
        <v>417</v>
      </c>
      <c r="D84" s="301">
        <f t="shared" ref="D84:AM84" si="3">IF(D76&lt;=$D$37,SUM(D82:D82),0)</f>
        <v>503011.50400000002</v>
      </c>
      <c r="E84" s="302">
        <f t="shared" si="3"/>
        <v>503011.50400000002</v>
      </c>
      <c r="F84" s="302">
        <f t="shared" si="3"/>
        <v>503011.50400000002</v>
      </c>
      <c r="G84" s="302">
        <f t="shared" si="3"/>
        <v>503011.50400000002</v>
      </c>
      <c r="H84" s="302">
        <f t="shared" si="3"/>
        <v>503011.50400000002</v>
      </c>
      <c r="I84" s="302">
        <f t="shared" si="3"/>
        <v>425065.50400000002</v>
      </c>
      <c r="J84" s="302">
        <f t="shared" si="3"/>
        <v>425065.50400000002</v>
      </c>
      <c r="K84" s="302">
        <f t="shared" si="3"/>
        <v>425065.50400000002</v>
      </c>
      <c r="L84" s="302">
        <f t="shared" si="3"/>
        <v>425065.50400000002</v>
      </c>
      <c r="M84" s="302">
        <f t="shared" si="3"/>
        <v>425065.50400000002</v>
      </c>
      <c r="N84" s="302">
        <f t="shared" si="3"/>
        <v>425065.50400000002</v>
      </c>
      <c r="O84" s="302">
        <f t="shared" si="3"/>
        <v>425065.50400000002</v>
      </c>
      <c r="P84" s="302">
        <f t="shared" si="3"/>
        <v>425065.50400000002</v>
      </c>
      <c r="Q84" s="302">
        <f t="shared" si="3"/>
        <v>425065.50400000002</v>
      </c>
      <c r="R84" s="302">
        <f t="shared" si="3"/>
        <v>425065.50400000002</v>
      </c>
      <c r="S84" s="302">
        <f t="shared" si="3"/>
        <v>425065.50400000002</v>
      </c>
      <c r="T84" s="302">
        <f t="shared" si="3"/>
        <v>425065.50400000002</v>
      </c>
      <c r="U84" s="302">
        <f t="shared" si="3"/>
        <v>425065.50400000002</v>
      </c>
      <c r="V84" s="302">
        <f t="shared" si="3"/>
        <v>425065.50400000002</v>
      </c>
      <c r="W84" s="302">
        <f t="shared" si="3"/>
        <v>425065.50400000002</v>
      </c>
      <c r="X84" s="302">
        <f t="shared" si="3"/>
        <v>425065.50400000002</v>
      </c>
      <c r="Y84" s="302">
        <f t="shared" si="3"/>
        <v>425065.50400000002</v>
      </c>
      <c r="Z84" s="302">
        <f t="shared" si="3"/>
        <v>425065.50400000002</v>
      </c>
      <c r="AA84" s="302">
        <f t="shared" si="3"/>
        <v>425065.50400000002</v>
      </c>
      <c r="AB84" s="302">
        <f t="shared" si="3"/>
        <v>425065.50400000002</v>
      </c>
      <c r="AC84" s="302">
        <f t="shared" si="3"/>
        <v>0</v>
      </c>
      <c r="AD84" s="302">
        <f t="shared" si="3"/>
        <v>0</v>
      </c>
      <c r="AE84" s="302">
        <f t="shared" si="3"/>
        <v>0</v>
      </c>
      <c r="AF84" s="302">
        <f t="shared" si="3"/>
        <v>0</v>
      </c>
      <c r="AG84" s="302">
        <f t="shared" si="3"/>
        <v>0</v>
      </c>
      <c r="AH84" s="302">
        <f t="shared" si="3"/>
        <v>0</v>
      </c>
      <c r="AI84" s="302">
        <f t="shared" si="3"/>
        <v>0</v>
      </c>
      <c r="AJ84" s="302">
        <f t="shared" si="3"/>
        <v>0</v>
      </c>
      <c r="AK84" s="302">
        <f t="shared" si="3"/>
        <v>0</v>
      </c>
      <c r="AL84" s="302">
        <f t="shared" si="3"/>
        <v>0</v>
      </c>
      <c r="AM84" s="303">
        <f t="shared" si="3"/>
        <v>0</v>
      </c>
    </row>
    <row r="85" spans="2:39" ht="12.95">
      <c r="B85" s="233"/>
      <c r="C85" s="304"/>
      <c r="D85" s="304"/>
      <c r="E85" s="305"/>
      <c r="F85" s="305"/>
      <c r="G85" s="305"/>
      <c r="H85" s="305"/>
      <c r="I85" s="305"/>
      <c r="J85" s="305"/>
      <c r="K85" s="305"/>
      <c r="L85" s="305"/>
      <c r="M85" s="305"/>
      <c r="N85" s="305"/>
      <c r="O85" s="305"/>
      <c r="P85" s="305"/>
      <c r="Q85" s="305"/>
      <c r="R85" s="305"/>
      <c r="S85" s="305"/>
      <c r="T85" s="305"/>
      <c r="U85" s="305"/>
      <c r="V85" s="305"/>
      <c r="W85" s="305"/>
      <c r="X85" s="305"/>
      <c r="Y85" s="305"/>
      <c r="Z85" s="305"/>
      <c r="AA85" s="305"/>
      <c r="AB85" s="305"/>
      <c r="AC85" s="305"/>
      <c r="AD85" s="305"/>
      <c r="AE85" s="305"/>
      <c r="AF85" s="305"/>
      <c r="AG85" s="305"/>
      <c r="AH85" s="305"/>
      <c r="AI85" s="305"/>
      <c r="AJ85" s="305"/>
      <c r="AK85" s="305"/>
      <c r="AL85" s="305"/>
      <c r="AM85" s="305"/>
    </row>
    <row r="86" spans="2:39" ht="12.95">
      <c r="B86" s="233"/>
      <c r="C86" s="304"/>
      <c r="D86" s="304"/>
      <c r="E86" s="305"/>
      <c r="F86" s="305"/>
      <c r="G86" s="305"/>
      <c r="H86" s="305"/>
      <c r="I86" s="305"/>
      <c r="J86" s="305"/>
      <c r="K86" s="305"/>
      <c r="L86" s="305"/>
      <c r="M86" s="305"/>
      <c r="N86" s="305"/>
      <c r="O86" s="305"/>
      <c r="P86" s="305"/>
      <c r="Q86" s="305"/>
      <c r="R86" s="305"/>
      <c r="S86" s="305"/>
      <c r="T86" s="305"/>
      <c r="U86" s="305"/>
      <c r="V86" s="305"/>
      <c r="W86" s="305"/>
      <c r="X86" s="305"/>
      <c r="Y86" s="305"/>
      <c r="Z86" s="305"/>
      <c r="AA86" s="305"/>
      <c r="AB86" s="305"/>
      <c r="AC86" s="305"/>
      <c r="AD86" s="305"/>
      <c r="AE86" s="305"/>
      <c r="AF86" s="305"/>
      <c r="AG86" s="305"/>
      <c r="AH86" s="305"/>
      <c r="AI86" s="305"/>
      <c r="AJ86" s="305"/>
      <c r="AK86" s="305"/>
      <c r="AL86" s="305"/>
      <c r="AM86" s="305"/>
    </row>
    <row r="87" spans="2:39" ht="12.95">
      <c r="B87" s="283" t="s">
        <v>421</v>
      </c>
      <c r="C87" s="284" t="s">
        <v>364</v>
      </c>
      <c r="D87" s="304"/>
      <c r="E87" s="305"/>
      <c r="F87" s="305"/>
      <c r="G87" s="305"/>
      <c r="H87" s="305"/>
      <c r="I87" s="305"/>
      <c r="J87" s="305"/>
      <c r="K87" s="305"/>
      <c r="L87" s="305"/>
      <c r="M87" s="305"/>
      <c r="N87" s="305"/>
      <c r="O87" s="305"/>
      <c r="P87" s="305"/>
      <c r="Q87" s="305"/>
      <c r="R87" s="305"/>
      <c r="S87" s="305"/>
      <c r="T87" s="305"/>
      <c r="U87" s="305"/>
      <c r="V87" s="305"/>
      <c r="W87" s="305"/>
      <c r="X87" s="305"/>
      <c r="Y87" s="305"/>
      <c r="Z87" s="305"/>
      <c r="AA87" s="305"/>
      <c r="AB87" s="305"/>
      <c r="AC87" s="305"/>
      <c r="AD87" s="305"/>
      <c r="AE87" s="305"/>
      <c r="AF87" s="305"/>
      <c r="AG87" s="305"/>
      <c r="AH87" s="305"/>
      <c r="AI87" s="305"/>
      <c r="AJ87" s="305"/>
      <c r="AK87" s="305"/>
      <c r="AL87" s="305"/>
      <c r="AM87" s="305"/>
    </row>
    <row r="88" spans="2:39" ht="12.95">
      <c r="B88" s="286" t="s">
        <v>494</v>
      </c>
      <c r="C88" s="287" t="s">
        <v>331</v>
      </c>
      <c r="D88" s="306">
        <f>SUM(D82:AB82)</f>
        <v>11016367.600000001</v>
      </c>
      <c r="E88" s="305"/>
      <c r="F88" s="305"/>
      <c r="G88" s="305"/>
      <c r="H88" s="305"/>
      <c r="I88" s="305"/>
      <c r="J88" s="305"/>
      <c r="K88" s="305"/>
      <c r="L88" s="305"/>
      <c r="M88" s="305"/>
      <c r="N88" s="305"/>
      <c r="O88" s="305"/>
      <c r="P88" s="305"/>
      <c r="Q88" s="305"/>
      <c r="R88" s="305"/>
      <c r="S88" s="305"/>
      <c r="T88" s="305"/>
      <c r="U88" s="305"/>
      <c r="V88" s="305"/>
      <c r="W88" s="305"/>
      <c r="X88" s="305"/>
      <c r="Y88" s="305"/>
      <c r="Z88" s="305"/>
      <c r="AA88" s="305"/>
      <c r="AB88" s="305"/>
      <c r="AC88" s="305"/>
      <c r="AD88" s="305"/>
      <c r="AE88" s="305"/>
      <c r="AF88" s="305"/>
      <c r="AG88" s="305"/>
      <c r="AH88" s="305"/>
      <c r="AI88" s="305"/>
      <c r="AJ88" s="305"/>
      <c r="AK88" s="305"/>
      <c r="AL88" s="305"/>
      <c r="AM88" s="305"/>
    </row>
    <row r="89" spans="2:39" ht="12.95">
      <c r="B89" s="294" t="s">
        <v>481</v>
      </c>
      <c r="C89" s="295" t="s">
        <v>331</v>
      </c>
      <c r="D89" s="307">
        <v>0</v>
      </c>
      <c r="E89" s="305"/>
      <c r="F89" s="305"/>
      <c r="G89" s="305"/>
      <c r="H89" s="305"/>
      <c r="I89" s="305"/>
      <c r="J89" s="305"/>
      <c r="K89" s="305"/>
      <c r="L89" s="305"/>
      <c r="M89" s="305"/>
      <c r="N89" s="305"/>
      <c r="O89" s="305"/>
      <c r="P89" s="305"/>
      <c r="Q89" s="305"/>
      <c r="R89" s="305"/>
      <c r="S89" s="305"/>
      <c r="T89" s="305"/>
      <c r="U89" s="305"/>
      <c r="V89" s="305"/>
      <c r="W89" s="305"/>
      <c r="X89" s="305"/>
      <c r="Y89" s="305"/>
      <c r="Z89" s="305"/>
      <c r="AA89" s="305"/>
      <c r="AB89" s="305"/>
      <c r="AC89" s="305"/>
      <c r="AD89" s="305"/>
      <c r="AE89" s="305"/>
      <c r="AF89" s="305"/>
      <c r="AG89" s="305"/>
      <c r="AH89" s="305"/>
      <c r="AI89" s="305"/>
      <c r="AJ89" s="305"/>
      <c r="AK89" s="305"/>
      <c r="AL89" s="305"/>
      <c r="AM89" s="305"/>
    </row>
    <row r="90" spans="2:39" ht="12.95">
      <c r="B90" s="308" t="s">
        <v>423</v>
      </c>
      <c r="C90" s="300" t="s">
        <v>331</v>
      </c>
      <c r="D90" s="309">
        <f>SUM(D88:D89)</f>
        <v>11016367.600000001</v>
      </c>
      <c r="E90" s="305"/>
      <c r="F90" s="305"/>
      <c r="G90" s="305"/>
      <c r="H90" s="305"/>
      <c r="I90" s="305"/>
      <c r="J90" s="305"/>
      <c r="K90" s="305"/>
      <c r="L90" s="305"/>
      <c r="M90" s="305"/>
      <c r="N90" s="305"/>
      <c r="O90" s="305"/>
      <c r="P90" s="305"/>
      <c r="Q90" s="305"/>
      <c r="R90" s="305"/>
      <c r="S90" s="305"/>
      <c r="T90" s="305"/>
      <c r="U90" s="305"/>
      <c r="V90" s="305"/>
      <c r="W90" s="305"/>
      <c r="X90" s="305"/>
      <c r="Y90" s="305"/>
      <c r="Z90" s="305"/>
      <c r="AA90" s="305"/>
      <c r="AB90" s="305"/>
      <c r="AC90" s="305"/>
      <c r="AD90" s="305"/>
      <c r="AE90" s="305"/>
      <c r="AF90" s="305"/>
      <c r="AG90" s="305"/>
      <c r="AH90" s="305"/>
      <c r="AI90" s="305"/>
      <c r="AJ90" s="305"/>
      <c r="AK90" s="305"/>
      <c r="AL90" s="305"/>
      <c r="AM90" s="305"/>
    </row>
    <row r="91" spans="2:39">
      <c r="B91" s="232"/>
      <c r="C91" s="275"/>
      <c r="D91" s="275"/>
      <c r="E91" s="285"/>
      <c r="F91" s="285"/>
      <c r="G91" s="285"/>
      <c r="H91" s="285"/>
      <c r="I91" s="285"/>
      <c r="J91" s="285"/>
      <c r="K91" s="285"/>
      <c r="L91" s="285"/>
      <c r="M91" s="285"/>
      <c r="N91" s="285"/>
      <c r="O91" s="285"/>
      <c r="P91" s="285"/>
      <c r="Q91" s="285"/>
      <c r="R91" s="285"/>
      <c r="S91" s="285"/>
      <c r="T91" s="285"/>
      <c r="U91" s="285"/>
      <c r="V91" s="285"/>
      <c r="W91" s="285"/>
      <c r="X91" s="285"/>
      <c r="Y91" s="285"/>
      <c r="Z91" s="285"/>
      <c r="AA91" s="285"/>
      <c r="AB91" s="285"/>
      <c r="AC91" s="285"/>
      <c r="AD91" s="285"/>
      <c r="AE91" s="285"/>
      <c r="AF91" s="285"/>
      <c r="AG91" s="285"/>
      <c r="AH91" s="285"/>
      <c r="AI91" s="285"/>
      <c r="AJ91" s="285"/>
      <c r="AK91" s="285"/>
      <c r="AL91" s="285"/>
      <c r="AM91" s="285"/>
    </row>
    <row r="92" spans="2:39" ht="12.95">
      <c r="B92" s="283" t="s">
        <v>424</v>
      </c>
      <c r="C92" s="284" t="s">
        <v>364</v>
      </c>
      <c r="D92" s="310">
        <v>1</v>
      </c>
      <c r="E92" s="273">
        <v>2</v>
      </c>
      <c r="F92" s="273">
        <v>3</v>
      </c>
      <c r="G92" s="273">
        <v>4</v>
      </c>
      <c r="H92" s="273">
        <v>5</v>
      </c>
      <c r="I92" s="273">
        <v>6</v>
      </c>
      <c r="J92" s="273">
        <v>7</v>
      </c>
      <c r="K92" s="273">
        <v>8</v>
      </c>
      <c r="L92" s="273">
        <v>9</v>
      </c>
      <c r="M92" s="311">
        <v>10</v>
      </c>
      <c r="N92" s="311"/>
      <c r="O92" s="311"/>
      <c r="P92" s="311"/>
      <c r="Q92" s="311"/>
      <c r="R92" s="311"/>
      <c r="S92" s="285"/>
      <c r="T92" s="285"/>
      <c r="U92" s="285"/>
      <c r="V92" s="285"/>
      <c r="W92" s="285"/>
      <c r="X92" s="285"/>
      <c r="Y92" s="285"/>
      <c r="Z92" s="285"/>
      <c r="AA92" s="285"/>
      <c r="AB92" s="285"/>
      <c r="AC92" s="285"/>
      <c r="AD92" s="285"/>
      <c r="AE92" s="285"/>
      <c r="AF92" s="285"/>
      <c r="AG92" s="285"/>
      <c r="AH92" s="285"/>
      <c r="AI92" s="285"/>
      <c r="AJ92" s="285"/>
      <c r="AK92" s="285"/>
      <c r="AL92" s="285"/>
      <c r="AM92" s="285"/>
    </row>
    <row r="93" spans="2:39" ht="12.95">
      <c r="B93" s="283" t="s">
        <v>425</v>
      </c>
      <c r="C93" s="312" t="s">
        <v>67</v>
      </c>
      <c r="D93" s="313">
        <v>1</v>
      </c>
      <c r="E93" s="285"/>
      <c r="F93" s="285"/>
      <c r="G93" s="285"/>
      <c r="H93" s="285"/>
      <c r="I93" s="285"/>
      <c r="J93" s="285"/>
      <c r="K93" s="285"/>
      <c r="L93" s="285"/>
      <c r="M93" s="314"/>
      <c r="N93" s="314"/>
      <c r="O93" s="314"/>
      <c r="P93" s="314"/>
      <c r="Q93" s="314"/>
      <c r="R93" s="314"/>
      <c r="S93" s="285"/>
      <c r="T93" s="285"/>
      <c r="U93" s="285"/>
      <c r="V93" s="285"/>
      <c r="W93" s="285"/>
      <c r="X93" s="285"/>
      <c r="Y93" s="285"/>
      <c r="Z93" s="285"/>
      <c r="AA93" s="285"/>
      <c r="AB93" s="285"/>
      <c r="AC93" s="285"/>
      <c r="AD93" s="285"/>
      <c r="AE93" s="285"/>
      <c r="AF93" s="285"/>
      <c r="AG93" s="285"/>
      <c r="AH93" s="285"/>
      <c r="AI93" s="285"/>
      <c r="AJ93" s="285"/>
      <c r="AK93" s="285"/>
      <c r="AL93" s="285"/>
      <c r="AM93" s="285"/>
    </row>
    <row r="94" spans="2:39">
      <c r="B94" s="276" t="s">
        <v>495</v>
      </c>
      <c r="C94" s="315" t="s">
        <v>417</v>
      </c>
      <c r="D94" s="316">
        <f>IF($D$93&gt;=D92,$D$27/$D$93,0)</f>
        <v>5419845.04</v>
      </c>
      <c r="E94" s="317">
        <f t="shared" ref="E94:M94" si="4">IF($D$93&gt;=E92,$D$27/$D$93,0)</f>
        <v>0</v>
      </c>
      <c r="F94" s="317">
        <f t="shared" si="4"/>
        <v>0</v>
      </c>
      <c r="G94" s="317">
        <f t="shared" si="4"/>
        <v>0</v>
      </c>
      <c r="H94" s="317">
        <f t="shared" si="4"/>
        <v>0</v>
      </c>
      <c r="I94" s="317">
        <f t="shared" si="4"/>
        <v>0</v>
      </c>
      <c r="J94" s="317">
        <f t="shared" si="4"/>
        <v>0</v>
      </c>
      <c r="K94" s="317">
        <f t="shared" si="4"/>
        <v>0</v>
      </c>
      <c r="L94" s="317">
        <f t="shared" si="4"/>
        <v>0</v>
      </c>
      <c r="M94" s="318">
        <f t="shared" si="4"/>
        <v>0</v>
      </c>
      <c r="N94" s="318"/>
      <c r="O94" s="318"/>
      <c r="P94" s="318"/>
      <c r="Q94" s="318"/>
      <c r="R94" s="318"/>
      <c r="S94" s="285"/>
      <c r="T94" s="285"/>
      <c r="U94" s="285"/>
      <c r="V94" s="285"/>
      <c r="W94" s="285"/>
      <c r="X94" s="285"/>
      <c r="Y94" s="285"/>
      <c r="Z94" s="285"/>
      <c r="AA94" s="285"/>
      <c r="AB94" s="285"/>
      <c r="AC94" s="285"/>
      <c r="AD94" s="285"/>
      <c r="AE94" s="285"/>
      <c r="AF94" s="285"/>
      <c r="AG94" s="285"/>
      <c r="AH94" s="285"/>
      <c r="AI94" s="285"/>
      <c r="AJ94" s="285"/>
      <c r="AK94" s="285"/>
      <c r="AL94" s="285"/>
      <c r="AM94" s="285"/>
    </row>
    <row r="95" spans="2:39">
      <c r="B95" s="232"/>
      <c r="C95" s="275"/>
      <c r="D95" s="275"/>
      <c r="E95" s="285"/>
      <c r="F95" s="285"/>
      <c r="G95" s="285"/>
      <c r="H95" s="285"/>
      <c r="I95" s="285"/>
      <c r="J95" s="285"/>
      <c r="K95" s="285"/>
      <c r="L95" s="285"/>
      <c r="M95" s="285"/>
      <c r="N95" s="285"/>
      <c r="O95" s="285"/>
      <c r="P95" s="285"/>
      <c r="Q95" s="285"/>
      <c r="R95" s="285"/>
      <c r="S95" s="285"/>
      <c r="T95" s="285"/>
      <c r="U95" s="285"/>
      <c r="V95" s="285"/>
      <c r="W95" s="285"/>
      <c r="X95" s="285"/>
      <c r="Y95" s="285"/>
      <c r="Z95" s="285"/>
      <c r="AA95" s="285"/>
      <c r="AB95" s="285"/>
      <c r="AC95" s="285"/>
      <c r="AD95" s="285"/>
      <c r="AE95" s="285"/>
      <c r="AF95" s="285"/>
      <c r="AG95" s="285"/>
      <c r="AH95" s="285"/>
      <c r="AI95" s="285"/>
      <c r="AJ95" s="285"/>
      <c r="AK95" s="285"/>
      <c r="AL95" s="285"/>
      <c r="AM95" s="285"/>
    </row>
    <row r="96" spans="2:39" ht="12.95">
      <c r="B96" s="283" t="s">
        <v>427</v>
      </c>
      <c r="C96" s="312" t="s">
        <v>364</v>
      </c>
      <c r="D96" s="275"/>
      <c r="E96" s="285"/>
      <c r="F96" s="285"/>
      <c r="G96" s="285"/>
      <c r="H96" s="285"/>
      <c r="I96" s="285"/>
      <c r="J96" s="285"/>
      <c r="K96" s="285"/>
      <c r="L96" s="285"/>
      <c r="M96" s="285"/>
      <c r="N96" s="285"/>
      <c r="O96" s="285"/>
      <c r="P96" s="285"/>
      <c r="Q96" s="285"/>
      <c r="R96" s="285"/>
      <c r="S96" s="285"/>
      <c r="T96" s="285"/>
      <c r="U96" s="285"/>
      <c r="V96" s="285"/>
      <c r="W96" s="285"/>
      <c r="X96" s="285"/>
      <c r="Y96" s="285"/>
      <c r="Z96" s="285"/>
      <c r="AA96" s="285"/>
      <c r="AB96" s="285"/>
      <c r="AC96" s="285"/>
      <c r="AD96" s="285"/>
      <c r="AE96" s="285"/>
      <c r="AF96" s="285"/>
      <c r="AG96" s="285"/>
      <c r="AH96" s="285"/>
      <c r="AI96" s="285"/>
      <c r="AJ96" s="285"/>
      <c r="AK96" s="285"/>
      <c r="AL96" s="285"/>
      <c r="AM96" s="285"/>
    </row>
    <row r="97" spans="2:39">
      <c r="B97" s="286" t="s">
        <v>428</v>
      </c>
      <c r="C97" s="292" t="s">
        <v>417</v>
      </c>
      <c r="D97" s="288"/>
      <c r="E97" s="289">
        <f>IF(E76&lt;=$D$36,-IPMT($D$35,E76,$D$36,'GuiSolarPV Financial Analys'!$D$27*$D$34),0)</f>
        <v>0</v>
      </c>
      <c r="F97" s="289">
        <f>IF(F76&lt;=$D$36,-IPMT($D$35,F76,$D$36,'GuiSolarPV Financial Analys'!$D$27*$D$34),0)</f>
        <v>0</v>
      </c>
      <c r="G97" s="289">
        <f>IF(G76&lt;=$D$36,-IPMT($D$35,G76,$D$36,'GuiSolarPV Financial Analys'!$D$27*$D$34),0)</f>
        <v>0</v>
      </c>
      <c r="H97" s="289">
        <f>IF(H76&lt;=$D$36,-IPMT($D$35,H76,$D$36,'GuiSolarPV Financial Analys'!$D$27*$D$34),0)</f>
        <v>0</v>
      </c>
      <c r="I97" s="289">
        <f>IF(I76&lt;=$D$36,-IPMT($D$35,I76,$D$36,'GuiSolarPV Financial Analys'!$D$27*$D$34),0)</f>
        <v>0</v>
      </c>
      <c r="J97" s="289">
        <f>IF(J76&lt;=$D$36,-IPMT($D$35,J76,$D$36,'GuiSolarPV Financial Analys'!$D$27*$D$34),0)</f>
        <v>0</v>
      </c>
      <c r="K97" s="289">
        <f>IF(K76&lt;=$D$36,-IPMT($D$35,K76,$D$36,'GuiSolarPV Financial Analys'!$D$27*$D$34),0)</f>
        <v>0</v>
      </c>
      <c r="L97" s="289">
        <f>IF(L76&lt;=$D$36,-IPMT($D$35,L76,$D$36,'GuiSolarPV Financial Analys'!$D$27*$D$34),0)</f>
        <v>0</v>
      </c>
      <c r="M97" s="289">
        <f>IF(M76&lt;=$D$36,-IPMT($D$35,M76,$D$36,'GuiSolarPV Financial Analys'!$D$27*$D$34),0)</f>
        <v>0</v>
      </c>
      <c r="N97" s="289">
        <f>IF(N76&lt;=$D$36,-IPMT($D$35,N76,$D$36,'GuiSolarPV Financial Analys'!$D$27*$D$34),0)</f>
        <v>0</v>
      </c>
      <c r="O97" s="289">
        <f>IF(O76&lt;=$D$36,-IPMT($D$35,O76,$D$36,'GuiSolarPV Financial Analys'!$D$27*$D$34),0)</f>
        <v>0</v>
      </c>
      <c r="P97" s="289">
        <f>IF(P76&lt;=$D$36,-IPMT($D$35,P76,$D$36,'GuiSolarPV Financial Analys'!$D$27*$D$34),0)</f>
        <v>0</v>
      </c>
      <c r="Q97" s="289">
        <f>IF(Q76&lt;=$D$36,-IPMT($D$35,Q76,$D$36,'GuiSolarPV Financial Analys'!$D$27*$D$34),0)</f>
        <v>0</v>
      </c>
      <c r="R97" s="289">
        <f>IF(R76&lt;=$D$36,-IPMT($D$35,R76,$D$36,'GuiSolarPV Financial Analys'!$D$27*$D$34),0)</f>
        <v>0</v>
      </c>
      <c r="S97" s="289">
        <f>IF(S76&lt;=$D$36,-IPMT($D$35,S76,$D$36,'GuiSolarPV Financial Analys'!$D$27*$D$34),0)</f>
        <v>0</v>
      </c>
      <c r="T97" s="289">
        <f>IF(T76&lt;=$D$36,-IPMT($D$35,T76,$D$36,'GuiSolarPV Financial Analys'!$D$27*$D$34),0)</f>
        <v>0</v>
      </c>
      <c r="U97" s="289">
        <f>IF(U76&lt;=$D$36,-IPMT($D$35,U76,$D$36,'GuiSolarPV Financial Analys'!$D$27*$D$34),0)</f>
        <v>0</v>
      </c>
      <c r="V97" s="289">
        <f>IF(V76&lt;=$D$36,-IPMT($D$35,V76,$D$36,'GuiSolarPV Financial Analys'!$D$27*$D$34),0)</f>
        <v>0</v>
      </c>
      <c r="W97" s="289">
        <f>IF(W76&lt;=$D$36,-IPMT($D$35,W76,$D$36,'GuiSolarPV Financial Analys'!$D$27*$D$34),0)</f>
        <v>0</v>
      </c>
      <c r="X97" s="289">
        <f>IF(X76&lt;=$D$36,-IPMT($D$35,X76,$D$36,'GuiSolarPV Financial Analys'!$D$27*$D$34),0)</f>
        <v>0</v>
      </c>
      <c r="Y97" s="289">
        <f>IF(Y76&lt;=$D$36,-IPMT($D$35,Y76,$D$36,'GuiSolarPV Financial Analys'!$D$27*$D$34),0)</f>
        <v>0</v>
      </c>
      <c r="Z97" s="289">
        <f>IF(Z76&lt;=$D$36,-IPMT($D$35,Z76,$D$36,'GuiSolarPV Financial Analys'!$D$27*$D$34),0)</f>
        <v>0</v>
      </c>
      <c r="AA97" s="289">
        <f>IF(AA76&lt;=$D$36,-IPMT($D$35,AA76,$D$36,'GuiSolarPV Financial Analys'!$D$27*$D$34),0)</f>
        <v>0</v>
      </c>
      <c r="AB97" s="289">
        <f>IF(AB76&lt;=$D$36,-IPMT($D$35,AB76,$D$36,'GuiSolarPV Financial Analys'!$D$27*$D$34),0)</f>
        <v>0</v>
      </c>
      <c r="AC97" s="289">
        <f>IF(AC76&lt;=$D$36,-IPMT($D$35,AC76,$D$36,'GuiSolarPV Financial Analys'!$D$27*$D$34),0)</f>
        <v>0</v>
      </c>
      <c r="AD97" s="289">
        <f>IF(AD76&lt;=$D$36,-IPMT($D$35,AD76,$D$36,'GuiSolarPV Financial Analys'!$D$27*$D$34),0)</f>
        <v>0</v>
      </c>
      <c r="AE97" s="289">
        <f>IF(AE76&lt;=$D$36,-IPMT($D$35,AE76,$D$36,'GuiSolarPV Financial Analys'!$D$27*$D$34),0)</f>
        <v>0</v>
      </c>
      <c r="AF97" s="289">
        <f>IF(AF76&lt;=$D$36,-IPMT($D$35,AF76,$D$36,'GuiSolarPV Financial Analys'!$D$27*$D$34),0)</f>
        <v>0</v>
      </c>
      <c r="AG97" s="289">
        <f>IF(AG76&lt;=$D$36,-IPMT($D$35,AG76,$D$36,'GuiSolarPV Financial Analys'!$D$27*$D$34),0)</f>
        <v>0</v>
      </c>
      <c r="AH97" s="289">
        <f>IF(AH76&lt;=$D$36,-IPMT($D$35,AH76,$D$36,'GuiSolarPV Financial Analys'!$D$27*$D$34),0)</f>
        <v>0</v>
      </c>
      <c r="AI97" s="289">
        <f>IF(AI76&lt;=$D$36,-IPMT($D$35,AI76,$D$36,'GuiSolarPV Financial Analys'!$D$27*$D$34),0)</f>
        <v>0</v>
      </c>
      <c r="AJ97" s="289">
        <f>IF(AJ76&lt;=$D$36,-IPMT($D$35,AJ76,$D$36,'GuiSolarPV Financial Analys'!$D$27*$D$34),0)</f>
        <v>0</v>
      </c>
      <c r="AK97" s="289">
        <f>IF(AK76&lt;=$D$36,-IPMT($D$35,AK76,$D$36,'GuiSolarPV Financial Analys'!$D$27*$D$34),0)</f>
        <v>0</v>
      </c>
      <c r="AL97" s="289">
        <f>IF(AL76&lt;=$D$36,-IPMT($D$35,AL76,$D$36,'GuiSolarPV Financial Analys'!$D$27*$D$34),0)</f>
        <v>0</v>
      </c>
      <c r="AM97" s="290">
        <f>IF(AM76&lt;=$D$36,-IPMT($D$35,AM76,$D$36,'GuiSolarPV Financial Analys'!$D$27*$D$34),0)</f>
        <v>0</v>
      </c>
    </row>
    <row r="98" spans="2:39">
      <c r="B98" s="291" t="s">
        <v>429</v>
      </c>
      <c r="C98" s="295" t="s">
        <v>417</v>
      </c>
      <c r="D98" s="296"/>
      <c r="E98" s="297">
        <f>IF(E76&lt;=$D$36,-PPMT($D$35,E76,$D$36,'GuiSolarPV Financial Analys'!$D$27*$D$34),0)</f>
        <v>216793.80160000001</v>
      </c>
      <c r="F98" s="297">
        <f>IF(F76&lt;=$D$36,-PPMT($D$35,F76,$D$36,'GuiSolarPV Financial Analys'!$D$27*$D$34),0)</f>
        <v>216793.80160000001</v>
      </c>
      <c r="G98" s="297">
        <f>IF(G76&lt;=$D$36,-PPMT($D$35,G76,$D$36,'GuiSolarPV Financial Analys'!$D$27*$D$34),0)</f>
        <v>216793.80160000001</v>
      </c>
      <c r="H98" s="297">
        <f>IF(H76&lt;=$D$36,-PPMT($D$35,H76,$D$36,'GuiSolarPV Financial Analys'!$D$27*$D$34),0)</f>
        <v>216793.80160000001</v>
      </c>
      <c r="I98" s="297">
        <f>IF(I76&lt;=$D$36,-PPMT($D$35,I76,$D$36,'GuiSolarPV Financial Analys'!$D$27*$D$34),0)</f>
        <v>216793.80160000001</v>
      </c>
      <c r="J98" s="297">
        <f>IF(J76&lt;=$D$36,-PPMT($D$35,J76,$D$36,'GuiSolarPV Financial Analys'!$D$27*$D$34),0)</f>
        <v>216793.80160000001</v>
      </c>
      <c r="K98" s="297">
        <f>IF(K76&lt;=$D$36,-PPMT($D$35,K76,$D$36,'GuiSolarPV Financial Analys'!$D$27*$D$34),0)</f>
        <v>216793.80160000001</v>
      </c>
      <c r="L98" s="297">
        <f>IF(L76&lt;=$D$36,-PPMT($D$35,L76,$D$36,'GuiSolarPV Financial Analys'!$D$27*$D$34),0)</f>
        <v>216793.80160000001</v>
      </c>
      <c r="M98" s="297">
        <f>IF(M76&lt;=$D$36,-PPMT($D$35,M76,$D$36,'GuiSolarPV Financial Analys'!$D$27*$D$34),0)</f>
        <v>216793.80160000001</v>
      </c>
      <c r="N98" s="297">
        <f>IF(N76&lt;=$D$36,-PPMT($D$35,N76,$D$36,'GuiSolarPV Financial Analys'!$D$27*$D$34),0)</f>
        <v>216793.80160000001</v>
      </c>
      <c r="O98" s="297">
        <f>IF(O76&lt;=$D$36,-PPMT($D$35,O76,$D$36,'GuiSolarPV Financial Analys'!$D$27*$D$34),0)</f>
        <v>216793.80160000001</v>
      </c>
      <c r="P98" s="297">
        <f>IF(P76&lt;=$D$36,-PPMT($D$35,P76,$D$36,'GuiSolarPV Financial Analys'!$D$27*$D$34),0)</f>
        <v>216793.80160000001</v>
      </c>
      <c r="Q98" s="297">
        <f>IF(Q76&lt;=$D$36,-PPMT($D$35,Q76,$D$36,'GuiSolarPV Financial Analys'!$D$27*$D$34),0)</f>
        <v>216793.80160000001</v>
      </c>
      <c r="R98" s="297">
        <f>IF(R76&lt;=$D$36,-PPMT($D$35,R76,$D$36,'GuiSolarPV Financial Analys'!$D$27*$D$34),0)</f>
        <v>216793.80160000001</v>
      </c>
      <c r="S98" s="297">
        <f>IF(S76&lt;=$D$36,-PPMT($D$35,S76,$D$36,'GuiSolarPV Financial Analys'!$D$27*$D$34),0)</f>
        <v>216793.80160000001</v>
      </c>
      <c r="T98" s="297">
        <f>IF(T76&lt;=$D$36,-PPMT($D$35,T76,$D$36,'GuiSolarPV Financial Analys'!$D$27*$D$34),0)</f>
        <v>216793.80160000001</v>
      </c>
      <c r="U98" s="297">
        <f>IF(U76&lt;=$D$36,-PPMT($D$35,U76,$D$36,'GuiSolarPV Financial Analys'!$D$27*$D$34),0)</f>
        <v>216793.80160000001</v>
      </c>
      <c r="V98" s="297">
        <f>IF(V76&lt;=$D$36,-PPMT($D$35,V76,$D$36,'GuiSolarPV Financial Analys'!$D$27*$D$34),0)</f>
        <v>216793.80160000001</v>
      </c>
      <c r="W98" s="297">
        <f>IF(W76&lt;=$D$36,-PPMT($D$35,W76,$D$36,'GuiSolarPV Financial Analys'!$D$27*$D$34),0)</f>
        <v>216793.80160000001</v>
      </c>
      <c r="X98" s="297">
        <f>IF(X76&lt;=$D$36,-PPMT($D$35,X76,$D$36,'GuiSolarPV Financial Analys'!$D$27*$D$34),0)</f>
        <v>216793.80160000001</v>
      </c>
      <c r="Y98" s="297">
        <f>IF(Y76&lt;=$D$36,-PPMT($D$35,Y76,$D$36,'GuiSolarPV Financial Analys'!$D$27*$D$34),0)</f>
        <v>216793.80160000001</v>
      </c>
      <c r="Z98" s="297">
        <f>IF(Z76&lt;=$D$36,-PPMT($D$35,Z76,$D$36,'GuiSolarPV Financial Analys'!$D$27*$D$34),0)</f>
        <v>216793.80160000001</v>
      </c>
      <c r="AA98" s="297">
        <f>IF(AA76&lt;=$D$36,-PPMT($D$35,AA76,$D$36,'GuiSolarPV Financial Analys'!$D$27*$D$34),0)</f>
        <v>216793.80160000001</v>
      </c>
      <c r="AB98" s="297">
        <f>IF(AB76&lt;=$D$36,-PPMT($D$35,AB76,$D$36,'GuiSolarPV Financial Analys'!$D$27*$D$34),0)</f>
        <v>216793.80160000001</v>
      </c>
      <c r="AC98" s="297">
        <f>IF(AC76&lt;=$D$36,-PPMT($D$35,AC76,$D$36,'GuiSolarPV Financial Analys'!$D$27*$D$34),0)</f>
        <v>216793.80160000001</v>
      </c>
      <c r="AD98" s="297">
        <f>IF(AD76&lt;=$D$36,-PPMT($D$35,AD76,$D$36,'GuiSolarPV Financial Analys'!$D$27*$D$34),0)</f>
        <v>0</v>
      </c>
      <c r="AE98" s="297">
        <f>IF(AE76&lt;=$D$36,-PPMT($D$35,AE76,$D$36,'GuiSolarPV Financial Analys'!$D$27*$D$34),0)</f>
        <v>0</v>
      </c>
      <c r="AF98" s="297">
        <f>IF(AF76&lt;=$D$36,-PPMT($D$35,AF76,$D$36,'GuiSolarPV Financial Analys'!$D$27*$D$34),0)</f>
        <v>0</v>
      </c>
      <c r="AG98" s="297">
        <f>IF(AG76&lt;=$D$36,-PPMT($D$35,AG76,$D$36,'GuiSolarPV Financial Analys'!$D$27*$D$34),0)</f>
        <v>0</v>
      </c>
      <c r="AH98" s="297">
        <f>IF(AH76&lt;=$D$36,-PPMT($D$35,AH76,$D$36,'GuiSolarPV Financial Analys'!$D$27*$D$34),0)</f>
        <v>0</v>
      </c>
      <c r="AI98" s="297">
        <f>IF(AI76&lt;=$D$36,-PPMT($D$35,AI76,$D$36,'GuiSolarPV Financial Analys'!$D$27*$D$34),0)</f>
        <v>0</v>
      </c>
      <c r="AJ98" s="297">
        <f>IF(AJ76&lt;=$D$36,-PPMT($D$35,AJ76,$D$36,'GuiSolarPV Financial Analys'!$D$27*$D$34),0)</f>
        <v>0</v>
      </c>
      <c r="AK98" s="297">
        <f>IF(AK76&lt;=$D$36,-PPMT($D$35,AK76,$D$36,'GuiSolarPV Financial Analys'!$D$27*$D$34),0)</f>
        <v>0</v>
      </c>
      <c r="AL98" s="297">
        <f>IF(AL76&lt;=$D$36,-PPMT($D$35,AL76,$D$36,'GuiSolarPV Financial Analys'!$D$27*$D$34),0)</f>
        <v>0</v>
      </c>
      <c r="AM98" s="298">
        <f>IF(AM76&lt;=$D$36,-PPMT($D$35,AM76,$D$36,'GuiSolarPV Financial Analys'!$D$27*$D$34),0)</f>
        <v>0</v>
      </c>
    </row>
    <row r="99" spans="2:39" ht="12.95">
      <c r="B99" s="319" t="s">
        <v>430</v>
      </c>
      <c r="C99" s="300" t="s">
        <v>417</v>
      </c>
      <c r="D99" s="320">
        <f>E99</f>
        <v>216793.80160000001</v>
      </c>
      <c r="E99" s="321">
        <f>SUM(E97:E98)+E94</f>
        <v>216793.80160000001</v>
      </c>
      <c r="F99" s="321">
        <f t="shared" ref="F99:M99" si="5">SUM(F97:F98)+F94</f>
        <v>216793.80160000001</v>
      </c>
      <c r="G99" s="321">
        <f t="shared" si="5"/>
        <v>216793.80160000001</v>
      </c>
      <c r="H99" s="321">
        <f t="shared" si="5"/>
        <v>216793.80160000001</v>
      </c>
      <c r="I99" s="321">
        <f t="shared" si="5"/>
        <v>216793.80160000001</v>
      </c>
      <c r="J99" s="321">
        <f t="shared" si="5"/>
        <v>216793.80160000001</v>
      </c>
      <c r="K99" s="321">
        <f t="shared" si="5"/>
        <v>216793.80160000001</v>
      </c>
      <c r="L99" s="321">
        <f t="shared" si="5"/>
        <v>216793.80160000001</v>
      </c>
      <c r="M99" s="321">
        <f t="shared" si="5"/>
        <v>216793.80160000001</v>
      </c>
      <c r="N99" s="321">
        <f>SUM(N97:N98)</f>
        <v>216793.80160000001</v>
      </c>
      <c r="O99" s="321">
        <f t="shared" ref="O99:AM99" si="6">SUM(O97:O98)</f>
        <v>216793.80160000001</v>
      </c>
      <c r="P99" s="321">
        <f t="shared" si="6"/>
        <v>216793.80160000001</v>
      </c>
      <c r="Q99" s="321">
        <f t="shared" si="6"/>
        <v>216793.80160000001</v>
      </c>
      <c r="R99" s="321">
        <f t="shared" si="6"/>
        <v>216793.80160000001</v>
      </c>
      <c r="S99" s="321">
        <f t="shared" si="6"/>
        <v>216793.80160000001</v>
      </c>
      <c r="T99" s="321">
        <f t="shared" si="6"/>
        <v>216793.80160000001</v>
      </c>
      <c r="U99" s="321">
        <f t="shared" si="6"/>
        <v>216793.80160000001</v>
      </c>
      <c r="V99" s="321">
        <f t="shared" si="6"/>
        <v>216793.80160000001</v>
      </c>
      <c r="W99" s="321">
        <f t="shared" si="6"/>
        <v>216793.80160000001</v>
      </c>
      <c r="X99" s="321">
        <f t="shared" si="6"/>
        <v>216793.80160000001</v>
      </c>
      <c r="Y99" s="321">
        <f t="shared" si="6"/>
        <v>216793.80160000001</v>
      </c>
      <c r="Z99" s="321">
        <f t="shared" si="6"/>
        <v>216793.80160000001</v>
      </c>
      <c r="AA99" s="321">
        <f t="shared" si="6"/>
        <v>216793.80160000001</v>
      </c>
      <c r="AB99" s="321">
        <f t="shared" si="6"/>
        <v>216793.80160000001</v>
      </c>
      <c r="AC99" s="321">
        <f t="shared" si="6"/>
        <v>216793.80160000001</v>
      </c>
      <c r="AD99" s="321">
        <f t="shared" si="6"/>
        <v>0</v>
      </c>
      <c r="AE99" s="321">
        <f t="shared" si="6"/>
        <v>0</v>
      </c>
      <c r="AF99" s="321">
        <f t="shared" si="6"/>
        <v>0</v>
      </c>
      <c r="AG99" s="321">
        <f t="shared" si="6"/>
        <v>0</v>
      </c>
      <c r="AH99" s="321">
        <f t="shared" si="6"/>
        <v>0</v>
      </c>
      <c r="AI99" s="321">
        <f t="shared" si="6"/>
        <v>0</v>
      </c>
      <c r="AJ99" s="321">
        <f t="shared" si="6"/>
        <v>0</v>
      </c>
      <c r="AK99" s="321">
        <f t="shared" si="6"/>
        <v>0</v>
      </c>
      <c r="AL99" s="321">
        <f t="shared" si="6"/>
        <v>0</v>
      </c>
      <c r="AM99" s="322">
        <f t="shared" si="6"/>
        <v>0</v>
      </c>
    </row>
    <row r="100" spans="2:39" ht="12.95">
      <c r="B100" s="233"/>
      <c r="C100" s="233"/>
      <c r="D100" s="323"/>
      <c r="E100" s="323"/>
      <c r="F100" s="323"/>
      <c r="G100" s="323"/>
      <c r="H100" s="323"/>
      <c r="I100" s="323"/>
      <c r="J100" s="323"/>
      <c r="K100" s="323"/>
      <c r="L100" s="323"/>
      <c r="M100" s="323"/>
      <c r="N100" s="323"/>
      <c r="O100" s="323"/>
      <c r="P100" s="323"/>
      <c r="Q100" s="323"/>
      <c r="R100" s="323"/>
      <c r="S100" s="323"/>
      <c r="T100" s="323"/>
      <c r="U100" s="323"/>
      <c r="V100" s="323"/>
      <c r="W100" s="323"/>
      <c r="X100" s="323"/>
      <c r="Y100" s="323"/>
      <c r="Z100" s="323"/>
      <c r="AA100" s="323"/>
      <c r="AB100" s="323"/>
      <c r="AC100" s="323"/>
      <c r="AD100" s="323"/>
      <c r="AE100" s="323"/>
      <c r="AF100" s="323"/>
      <c r="AG100" s="323"/>
      <c r="AH100" s="323"/>
      <c r="AI100" s="323"/>
      <c r="AJ100" s="323"/>
      <c r="AK100" s="323"/>
      <c r="AL100" s="323"/>
      <c r="AM100" s="323"/>
    </row>
    <row r="101" spans="2:39" ht="12.95">
      <c r="B101" s="319" t="s">
        <v>431</v>
      </c>
      <c r="C101" s="324" t="s">
        <v>417</v>
      </c>
      <c r="D101" s="320">
        <f>D99+D84+D106</f>
        <v>719805.30560000008</v>
      </c>
      <c r="E101" s="321">
        <f>E99+E84+E105</f>
        <v>719805.30560000008</v>
      </c>
      <c r="F101" s="321">
        <f t="shared" ref="F101:AM101" si="7">F99+F84+F105</f>
        <v>719805.30560000008</v>
      </c>
      <c r="G101" s="321">
        <f t="shared" si="7"/>
        <v>719805.30560000008</v>
      </c>
      <c r="H101" s="321">
        <f t="shared" si="7"/>
        <v>719805.30560000008</v>
      </c>
      <c r="I101" s="321">
        <f t="shared" si="7"/>
        <v>641859.30560000008</v>
      </c>
      <c r="J101" s="321">
        <f t="shared" si="7"/>
        <v>641859.30560000008</v>
      </c>
      <c r="K101" s="321">
        <f t="shared" si="7"/>
        <v>641859.30560000008</v>
      </c>
      <c r="L101" s="321">
        <f t="shared" si="7"/>
        <v>641859.30560000008</v>
      </c>
      <c r="M101" s="321">
        <f t="shared" si="7"/>
        <v>641859.30560000008</v>
      </c>
      <c r="N101" s="321">
        <f t="shared" si="7"/>
        <v>641859.30560000008</v>
      </c>
      <c r="O101" s="321">
        <f t="shared" si="7"/>
        <v>641859.30560000008</v>
      </c>
      <c r="P101" s="321">
        <f t="shared" si="7"/>
        <v>641859.30560000008</v>
      </c>
      <c r="Q101" s="321">
        <f t="shared" si="7"/>
        <v>641859.30560000008</v>
      </c>
      <c r="R101" s="321">
        <f t="shared" si="7"/>
        <v>641859.30560000008</v>
      </c>
      <c r="S101" s="321">
        <f t="shared" si="7"/>
        <v>641859.30560000008</v>
      </c>
      <c r="T101" s="321">
        <f t="shared" si="7"/>
        <v>641859.30560000008</v>
      </c>
      <c r="U101" s="321">
        <f t="shared" si="7"/>
        <v>641859.30560000008</v>
      </c>
      <c r="V101" s="321">
        <f t="shared" si="7"/>
        <v>641859.30560000008</v>
      </c>
      <c r="W101" s="321">
        <f t="shared" si="7"/>
        <v>641859.30560000008</v>
      </c>
      <c r="X101" s="321">
        <f t="shared" si="7"/>
        <v>641859.30560000008</v>
      </c>
      <c r="Y101" s="321">
        <f t="shared" si="7"/>
        <v>641859.30560000008</v>
      </c>
      <c r="Z101" s="321">
        <f t="shared" si="7"/>
        <v>641859.30560000008</v>
      </c>
      <c r="AA101" s="321">
        <f t="shared" si="7"/>
        <v>641859.30560000008</v>
      </c>
      <c r="AB101" s="321">
        <f t="shared" si="7"/>
        <v>641859.30560000008</v>
      </c>
      <c r="AC101" s="321">
        <f t="shared" si="7"/>
        <v>216793.80160000001</v>
      </c>
      <c r="AD101" s="321">
        <f t="shared" si="7"/>
        <v>0</v>
      </c>
      <c r="AE101" s="321">
        <f t="shared" si="7"/>
        <v>0</v>
      </c>
      <c r="AF101" s="321">
        <f t="shared" si="7"/>
        <v>0</v>
      </c>
      <c r="AG101" s="321">
        <f t="shared" si="7"/>
        <v>0</v>
      </c>
      <c r="AH101" s="321">
        <f t="shared" si="7"/>
        <v>0</v>
      </c>
      <c r="AI101" s="321">
        <f t="shared" si="7"/>
        <v>0</v>
      </c>
      <c r="AJ101" s="321">
        <f t="shared" si="7"/>
        <v>0</v>
      </c>
      <c r="AK101" s="321">
        <f t="shared" si="7"/>
        <v>0</v>
      </c>
      <c r="AL101" s="321">
        <f t="shared" si="7"/>
        <v>0</v>
      </c>
      <c r="AM101" s="322">
        <f t="shared" si="7"/>
        <v>0</v>
      </c>
    </row>
    <row r="102" spans="2:39">
      <c r="B102" s="232"/>
      <c r="C102" s="275"/>
      <c r="D102" s="220"/>
      <c r="E102" s="220"/>
      <c r="F102" s="220"/>
      <c r="G102" s="220"/>
      <c r="H102" s="220"/>
      <c r="I102" s="220"/>
      <c r="J102" s="220"/>
      <c r="K102" s="220"/>
      <c r="L102" s="220"/>
      <c r="M102" s="220"/>
      <c r="N102" s="220"/>
      <c r="O102" s="220"/>
      <c r="P102" s="220"/>
      <c r="Q102" s="220"/>
      <c r="R102" s="220"/>
      <c r="S102" s="220"/>
      <c r="T102" s="220"/>
      <c r="U102" s="220"/>
      <c r="V102" s="220"/>
      <c r="W102" s="220"/>
      <c r="X102" s="220"/>
      <c r="Y102" s="220"/>
      <c r="Z102" s="220"/>
      <c r="AA102" s="220"/>
      <c r="AB102" s="220"/>
      <c r="AC102" s="220"/>
      <c r="AD102" s="220"/>
      <c r="AE102" s="220"/>
      <c r="AF102" s="220"/>
      <c r="AG102" s="220"/>
      <c r="AH102" s="220"/>
      <c r="AI102" s="220"/>
      <c r="AJ102" s="220"/>
      <c r="AK102" s="220"/>
      <c r="AL102" s="220"/>
      <c r="AM102" s="220"/>
    </row>
    <row r="103" spans="2:39" ht="12.95">
      <c r="B103" s="325"/>
      <c r="D103" s="326" t="s">
        <v>432</v>
      </c>
      <c r="E103" s="326" t="s">
        <v>433</v>
      </c>
    </row>
    <row r="105" spans="2:39" s="326" customFormat="1" ht="12.95">
      <c r="B105" s="283" t="s">
        <v>434</v>
      </c>
      <c r="C105" s="312" t="s">
        <v>417</v>
      </c>
      <c r="D105" s="320"/>
      <c r="E105" s="321">
        <f t="shared" ref="E105:AM105" si="8">IF(E76&lt;=$D37,$D106*$D38,0)</f>
        <v>0</v>
      </c>
      <c r="F105" s="321">
        <f t="shared" si="8"/>
        <v>0</v>
      </c>
      <c r="G105" s="321">
        <f t="shared" si="8"/>
        <v>0</v>
      </c>
      <c r="H105" s="321">
        <f t="shared" si="8"/>
        <v>0</v>
      </c>
      <c r="I105" s="321">
        <f t="shared" si="8"/>
        <v>0</v>
      </c>
      <c r="J105" s="321">
        <f t="shared" si="8"/>
        <v>0</v>
      </c>
      <c r="K105" s="321">
        <f t="shared" si="8"/>
        <v>0</v>
      </c>
      <c r="L105" s="321">
        <f t="shared" si="8"/>
        <v>0</v>
      </c>
      <c r="M105" s="321">
        <f t="shared" si="8"/>
        <v>0</v>
      </c>
      <c r="N105" s="321">
        <f t="shared" si="8"/>
        <v>0</v>
      </c>
      <c r="O105" s="321">
        <f t="shared" si="8"/>
        <v>0</v>
      </c>
      <c r="P105" s="321">
        <f t="shared" si="8"/>
        <v>0</v>
      </c>
      <c r="Q105" s="321">
        <f t="shared" si="8"/>
        <v>0</v>
      </c>
      <c r="R105" s="321">
        <f t="shared" si="8"/>
        <v>0</v>
      </c>
      <c r="S105" s="321">
        <f t="shared" si="8"/>
        <v>0</v>
      </c>
      <c r="T105" s="321">
        <f t="shared" si="8"/>
        <v>0</v>
      </c>
      <c r="U105" s="321">
        <f t="shared" si="8"/>
        <v>0</v>
      </c>
      <c r="V105" s="321">
        <f t="shared" si="8"/>
        <v>0</v>
      </c>
      <c r="W105" s="321">
        <f t="shared" si="8"/>
        <v>0</v>
      </c>
      <c r="X105" s="321">
        <f t="shared" si="8"/>
        <v>0</v>
      </c>
      <c r="Y105" s="321">
        <f t="shared" si="8"/>
        <v>0</v>
      </c>
      <c r="Z105" s="321">
        <f t="shared" si="8"/>
        <v>0</v>
      </c>
      <c r="AA105" s="321">
        <f t="shared" si="8"/>
        <v>0</v>
      </c>
      <c r="AB105" s="321">
        <f t="shared" si="8"/>
        <v>0</v>
      </c>
      <c r="AC105" s="321">
        <f t="shared" si="8"/>
        <v>0</v>
      </c>
      <c r="AD105" s="321">
        <f t="shared" si="8"/>
        <v>0</v>
      </c>
      <c r="AE105" s="321">
        <f t="shared" si="8"/>
        <v>0</v>
      </c>
      <c r="AF105" s="321">
        <f t="shared" si="8"/>
        <v>0</v>
      </c>
      <c r="AG105" s="321">
        <f t="shared" si="8"/>
        <v>0</v>
      </c>
      <c r="AH105" s="321">
        <f t="shared" si="8"/>
        <v>0</v>
      </c>
      <c r="AI105" s="321">
        <f t="shared" si="8"/>
        <v>0</v>
      </c>
      <c r="AJ105" s="321">
        <f t="shared" si="8"/>
        <v>0</v>
      </c>
      <c r="AK105" s="321">
        <f t="shared" si="8"/>
        <v>0</v>
      </c>
      <c r="AL105" s="321">
        <f t="shared" si="8"/>
        <v>0</v>
      </c>
      <c r="AM105" s="322">
        <f t="shared" si="8"/>
        <v>0</v>
      </c>
    </row>
    <row r="106" spans="2:39">
      <c r="B106" s="276" t="s">
        <v>435</v>
      </c>
      <c r="C106" s="259" t="s">
        <v>331</v>
      </c>
      <c r="D106" s="327">
        <f>'GuiSolarPV Financial Analys'!D27*(1-D34)</f>
        <v>0</v>
      </c>
    </row>
    <row r="107" spans="2:39">
      <c r="D107" s="281"/>
    </row>
    <row r="108" spans="2:39" s="331" customFormat="1" ht="12.95">
      <c r="B108" s="276" t="s">
        <v>436</v>
      </c>
      <c r="C108" s="259" t="s">
        <v>437</v>
      </c>
      <c r="D108" s="328">
        <f t="shared" ref="D108:AM108" si="9">D78/((1+$D41)^D76)</f>
        <v>16032306.860159999</v>
      </c>
      <c r="E108" s="329">
        <f t="shared" si="9"/>
        <v>13360255.716799999</v>
      </c>
      <c r="F108" s="329">
        <f t="shared" si="9"/>
        <v>11133546.430666666</v>
      </c>
      <c r="G108" s="329">
        <f t="shared" si="9"/>
        <v>9277955.3588888887</v>
      </c>
      <c r="H108" s="329">
        <f t="shared" si="9"/>
        <v>7731629.4657407403</v>
      </c>
      <c r="I108" s="329">
        <f>I78/((1+$D41)^I76)</f>
        <v>5985683.2160493825</v>
      </c>
      <c r="J108" s="329">
        <f t="shared" si="9"/>
        <v>4988069.346707819</v>
      </c>
      <c r="K108" s="329">
        <f t="shared" si="9"/>
        <v>4156724.4555898495</v>
      </c>
      <c r="L108" s="329">
        <f t="shared" si="9"/>
        <v>3463937.0463248747</v>
      </c>
      <c r="M108" s="329">
        <f t="shared" si="9"/>
        <v>2886614.2052707286</v>
      </c>
      <c r="N108" s="329">
        <f t="shared" si="9"/>
        <v>2405511.8377256072</v>
      </c>
      <c r="O108" s="329">
        <f t="shared" si="9"/>
        <v>2004593.1981046728</v>
      </c>
      <c r="P108" s="329">
        <f t="shared" si="9"/>
        <v>1670494.3317538942</v>
      </c>
      <c r="Q108" s="329">
        <f t="shared" si="9"/>
        <v>1392078.6097949117</v>
      </c>
      <c r="R108" s="329">
        <f t="shared" si="9"/>
        <v>1160065.5081624265</v>
      </c>
      <c r="S108" s="329">
        <f t="shared" si="9"/>
        <v>966721.25680202211</v>
      </c>
      <c r="T108" s="329">
        <f t="shared" si="9"/>
        <v>805601.04733501852</v>
      </c>
      <c r="U108" s="329">
        <f t="shared" si="9"/>
        <v>671334.20611251541</v>
      </c>
      <c r="V108" s="329">
        <f t="shared" si="9"/>
        <v>559445.17176042951</v>
      </c>
      <c r="W108" s="329">
        <f t="shared" si="9"/>
        <v>466204.30980035791</v>
      </c>
      <c r="X108" s="329">
        <f t="shared" si="9"/>
        <v>388503.59150029829</v>
      </c>
      <c r="Y108" s="329">
        <f t="shared" si="9"/>
        <v>323752.99291691522</v>
      </c>
      <c r="Z108" s="329">
        <f t="shared" si="9"/>
        <v>269794.16076409607</v>
      </c>
      <c r="AA108" s="329">
        <f t="shared" si="9"/>
        <v>224828.46730341337</v>
      </c>
      <c r="AB108" s="329">
        <f t="shared" si="9"/>
        <v>187357.05608617782</v>
      </c>
      <c r="AC108" s="329">
        <f t="shared" si="9"/>
        <v>0</v>
      </c>
      <c r="AD108" s="329">
        <f t="shared" si="9"/>
        <v>0</v>
      </c>
      <c r="AE108" s="329">
        <f t="shared" si="9"/>
        <v>0</v>
      </c>
      <c r="AF108" s="329">
        <f t="shared" si="9"/>
        <v>0</v>
      </c>
      <c r="AG108" s="329">
        <f t="shared" si="9"/>
        <v>0</v>
      </c>
      <c r="AH108" s="329">
        <f t="shared" si="9"/>
        <v>0</v>
      </c>
      <c r="AI108" s="329">
        <f t="shared" si="9"/>
        <v>0</v>
      </c>
      <c r="AJ108" s="329">
        <f t="shared" si="9"/>
        <v>0</v>
      </c>
      <c r="AK108" s="329">
        <f t="shared" si="9"/>
        <v>0</v>
      </c>
      <c r="AL108" s="329">
        <f t="shared" si="9"/>
        <v>0</v>
      </c>
      <c r="AM108" s="330">
        <f t="shared" si="9"/>
        <v>0</v>
      </c>
    </row>
    <row r="109" spans="2:39" s="331" customFormat="1" ht="12.95">
      <c r="B109" s="294" t="s">
        <v>438</v>
      </c>
      <c r="C109" s="332" t="s">
        <v>439</v>
      </c>
      <c r="D109" s="296">
        <f>D101/(1+$D41)^D76</f>
        <v>719805.30560000008</v>
      </c>
      <c r="E109" s="297">
        <f>E101/(1+$D41)^E76</f>
        <v>599837.75466666673</v>
      </c>
      <c r="F109" s="297">
        <f t="shared" ref="F109:AM109" si="10">F101/(1+$D41)^F76</f>
        <v>499864.79555555561</v>
      </c>
      <c r="G109" s="297">
        <f t="shared" si="10"/>
        <v>416553.99629629636</v>
      </c>
      <c r="H109" s="297">
        <f t="shared" si="10"/>
        <v>347128.33024691365</v>
      </c>
      <c r="I109" s="297">
        <f t="shared" si="10"/>
        <v>257948.85931069963</v>
      </c>
      <c r="J109" s="297">
        <f t="shared" si="10"/>
        <v>214957.38275891636</v>
      </c>
      <c r="K109" s="297">
        <f t="shared" si="10"/>
        <v>179131.15229909698</v>
      </c>
      <c r="L109" s="297">
        <f t="shared" si="10"/>
        <v>149275.9602492475</v>
      </c>
      <c r="M109" s="297">
        <f t="shared" si="10"/>
        <v>124396.63354103957</v>
      </c>
      <c r="N109" s="297">
        <f t="shared" si="10"/>
        <v>103663.86128419965</v>
      </c>
      <c r="O109" s="297">
        <f t="shared" si="10"/>
        <v>86386.551070166373</v>
      </c>
      <c r="P109" s="297">
        <f t="shared" si="10"/>
        <v>71988.792558471978</v>
      </c>
      <c r="Q109" s="297">
        <f t="shared" si="10"/>
        <v>59990.660465393317</v>
      </c>
      <c r="R109" s="297">
        <f t="shared" si="10"/>
        <v>49992.217054494431</v>
      </c>
      <c r="S109" s="297">
        <f t="shared" si="10"/>
        <v>41660.180878745356</v>
      </c>
      <c r="T109" s="297">
        <f t="shared" si="10"/>
        <v>34716.817398954474</v>
      </c>
      <c r="U109" s="297">
        <f t="shared" si="10"/>
        <v>28930.681165795391</v>
      </c>
      <c r="V109" s="297">
        <f t="shared" si="10"/>
        <v>24108.900971496161</v>
      </c>
      <c r="W109" s="297">
        <f t="shared" si="10"/>
        <v>20090.750809580135</v>
      </c>
      <c r="X109" s="297">
        <f t="shared" si="10"/>
        <v>16742.292341316777</v>
      </c>
      <c r="Y109" s="297">
        <f t="shared" si="10"/>
        <v>13951.910284430649</v>
      </c>
      <c r="Z109" s="297">
        <f t="shared" si="10"/>
        <v>11626.59190369221</v>
      </c>
      <c r="AA109" s="297">
        <f t="shared" si="10"/>
        <v>9688.8265864101741</v>
      </c>
      <c r="AB109" s="297">
        <f t="shared" si="10"/>
        <v>8074.0221553418123</v>
      </c>
      <c r="AC109" s="297">
        <f t="shared" si="10"/>
        <v>2272.5618397307649</v>
      </c>
      <c r="AD109" s="297">
        <f t="shared" si="10"/>
        <v>0</v>
      </c>
      <c r="AE109" s="297">
        <f t="shared" si="10"/>
        <v>0</v>
      </c>
      <c r="AF109" s="297">
        <f t="shared" si="10"/>
        <v>0</v>
      </c>
      <c r="AG109" s="297">
        <f t="shared" si="10"/>
        <v>0</v>
      </c>
      <c r="AH109" s="297">
        <f t="shared" si="10"/>
        <v>0</v>
      </c>
      <c r="AI109" s="297">
        <f t="shared" si="10"/>
        <v>0</v>
      </c>
      <c r="AJ109" s="297">
        <f t="shared" si="10"/>
        <v>0</v>
      </c>
      <c r="AK109" s="297">
        <f t="shared" si="10"/>
        <v>0</v>
      </c>
      <c r="AL109" s="297">
        <f t="shared" si="10"/>
        <v>0</v>
      </c>
      <c r="AM109" s="298">
        <f t="shared" si="10"/>
        <v>0</v>
      </c>
    </row>
    <row r="110" spans="2:39" s="331" customFormat="1" ht="12.95">
      <c r="B110" s="333" t="s">
        <v>440</v>
      </c>
      <c r="C110" s="334" t="s">
        <v>441</v>
      </c>
      <c r="D110" s="335">
        <f>(D101-D128)/(1+$D41)^D76</f>
        <v>852385.42911850475</v>
      </c>
      <c r="E110" s="336">
        <f t="shared" ref="E110:AM110" si="11">(E101-E128)/(1+$D41)^E76</f>
        <v>710321.19093208737</v>
      </c>
      <c r="F110" s="336">
        <f t="shared" si="11"/>
        <v>591934.3257767394</v>
      </c>
      <c r="G110" s="336">
        <f t="shared" si="11"/>
        <v>493278.6048139495</v>
      </c>
      <c r="H110" s="336">
        <f t="shared" si="11"/>
        <v>411065.50401162461</v>
      </c>
      <c r="I110" s="336">
        <f t="shared" si="11"/>
        <v>307447.82580681297</v>
      </c>
      <c r="J110" s="336">
        <f t="shared" si="11"/>
        <v>256206.52150567746</v>
      </c>
      <c r="K110" s="336">
        <f t="shared" si="11"/>
        <v>213505.43458806456</v>
      </c>
      <c r="L110" s="336">
        <f t="shared" si="11"/>
        <v>177921.19549005383</v>
      </c>
      <c r="M110" s="336">
        <f t="shared" si="11"/>
        <v>148267.66290837817</v>
      </c>
      <c r="N110" s="336">
        <f t="shared" si="11"/>
        <v>123556.38575698181</v>
      </c>
      <c r="O110" s="336">
        <f t="shared" si="11"/>
        <v>102963.65479748485</v>
      </c>
      <c r="P110" s="336">
        <f t="shared" si="11"/>
        <v>85803.045664570716</v>
      </c>
      <c r="Q110" s="336">
        <f t="shared" si="11"/>
        <v>71502.538053808923</v>
      </c>
      <c r="R110" s="336">
        <f t="shared" si="11"/>
        <v>59585.448378174107</v>
      </c>
      <c r="S110" s="336">
        <f t="shared" si="11"/>
        <v>49654.540315145088</v>
      </c>
      <c r="T110" s="336">
        <f t="shared" si="11"/>
        <v>41378.783595954243</v>
      </c>
      <c r="U110" s="336">
        <f t="shared" si="11"/>
        <v>34482.319663295202</v>
      </c>
      <c r="V110" s="336">
        <f t="shared" si="11"/>
        <v>28735.266386079336</v>
      </c>
      <c r="W110" s="336">
        <f t="shared" si="11"/>
        <v>23946.05532173278</v>
      </c>
      <c r="X110" s="336">
        <f t="shared" si="11"/>
        <v>19955.046101443982</v>
      </c>
      <c r="Y110" s="336">
        <f t="shared" si="11"/>
        <v>16629.205084536654</v>
      </c>
      <c r="Z110" s="336">
        <f t="shared" si="11"/>
        <v>13857.670903780547</v>
      </c>
      <c r="AA110" s="336">
        <f t="shared" si="11"/>
        <v>11548.059086483789</v>
      </c>
      <c r="AB110" s="336">
        <f t="shared" si="11"/>
        <v>9623.3825720698242</v>
      </c>
      <c r="AC110" s="336">
        <f t="shared" si="11"/>
        <v>2272.5618397307649</v>
      </c>
      <c r="AD110" s="336">
        <f t="shared" si="11"/>
        <v>0</v>
      </c>
      <c r="AE110" s="336">
        <f t="shared" si="11"/>
        <v>0</v>
      </c>
      <c r="AF110" s="336">
        <f t="shared" si="11"/>
        <v>0</v>
      </c>
      <c r="AG110" s="336">
        <f t="shared" si="11"/>
        <v>0</v>
      </c>
      <c r="AH110" s="336">
        <f t="shared" si="11"/>
        <v>0</v>
      </c>
      <c r="AI110" s="336">
        <f t="shared" si="11"/>
        <v>0</v>
      </c>
      <c r="AJ110" s="336">
        <f t="shared" si="11"/>
        <v>0</v>
      </c>
      <c r="AK110" s="336">
        <f t="shared" si="11"/>
        <v>0</v>
      </c>
      <c r="AL110" s="336">
        <f t="shared" si="11"/>
        <v>0</v>
      </c>
      <c r="AM110" s="337">
        <f t="shared" si="11"/>
        <v>0</v>
      </c>
    </row>
    <row r="111" spans="2:39" s="331" customFormat="1" ht="12.95">
      <c r="B111" s="294" t="s">
        <v>442</v>
      </c>
      <c r="C111" s="332" t="s">
        <v>439</v>
      </c>
      <c r="D111" s="296">
        <f t="shared" ref="D111:AM111" si="12">(D147)/(1+$D41)^D76</f>
        <v>1282584.5488127999</v>
      </c>
      <c r="E111" s="297">
        <f t="shared" si="12"/>
        <v>1068820.457344</v>
      </c>
      <c r="F111" s="297">
        <f t="shared" si="12"/>
        <v>890683.71445333329</v>
      </c>
      <c r="G111" s="297">
        <f t="shared" si="12"/>
        <v>742236.42871111108</v>
      </c>
      <c r="H111" s="297">
        <f t="shared" si="12"/>
        <v>618530.35725925921</v>
      </c>
      <c r="I111" s="297">
        <f t="shared" si="12"/>
        <v>478854.65728395066</v>
      </c>
      <c r="J111" s="297">
        <f t="shared" si="12"/>
        <v>399045.54773662554</v>
      </c>
      <c r="K111" s="297">
        <f t="shared" si="12"/>
        <v>332537.95644718799</v>
      </c>
      <c r="L111" s="297">
        <f t="shared" si="12"/>
        <v>277114.96370599</v>
      </c>
      <c r="M111" s="297">
        <f t="shared" si="12"/>
        <v>230929.1364216583</v>
      </c>
      <c r="N111" s="297">
        <f t="shared" si="12"/>
        <v>192440.94701804861</v>
      </c>
      <c r="O111" s="297">
        <f t="shared" si="12"/>
        <v>160367.45584837385</v>
      </c>
      <c r="P111" s="297">
        <f t="shared" si="12"/>
        <v>133639.54654031154</v>
      </c>
      <c r="Q111" s="297">
        <f t="shared" si="12"/>
        <v>111366.28878359294</v>
      </c>
      <c r="R111" s="297">
        <f t="shared" si="12"/>
        <v>92805.240652994136</v>
      </c>
      <c r="S111" s="297">
        <f t="shared" si="12"/>
        <v>77337.700544161766</v>
      </c>
      <c r="T111" s="297">
        <f t="shared" si="12"/>
        <v>64448.083786801486</v>
      </c>
      <c r="U111" s="297">
        <f t="shared" si="12"/>
        <v>53706.73648900124</v>
      </c>
      <c r="V111" s="297">
        <f t="shared" si="12"/>
        <v>44755.613740834364</v>
      </c>
      <c r="W111" s="297">
        <f t="shared" si="12"/>
        <v>37296.344784028639</v>
      </c>
      <c r="X111" s="297">
        <f t="shared" si="12"/>
        <v>31080.287320023865</v>
      </c>
      <c r="Y111" s="297">
        <f t="shared" si="12"/>
        <v>25900.239433353221</v>
      </c>
      <c r="Z111" s="297">
        <f t="shared" si="12"/>
        <v>21583.532861127685</v>
      </c>
      <c r="AA111" s="297">
        <f t="shared" si="12"/>
        <v>17986.277384273071</v>
      </c>
      <c r="AB111" s="297">
        <f t="shared" si="12"/>
        <v>14988.564486894227</v>
      </c>
      <c r="AC111" s="297">
        <f t="shared" si="12"/>
        <v>0</v>
      </c>
      <c r="AD111" s="297">
        <f t="shared" si="12"/>
        <v>0</v>
      </c>
      <c r="AE111" s="297">
        <f t="shared" si="12"/>
        <v>0</v>
      </c>
      <c r="AF111" s="297">
        <f t="shared" si="12"/>
        <v>0</v>
      </c>
      <c r="AG111" s="297">
        <f t="shared" si="12"/>
        <v>0</v>
      </c>
      <c r="AH111" s="297">
        <f t="shared" si="12"/>
        <v>0</v>
      </c>
      <c r="AI111" s="297">
        <f t="shared" si="12"/>
        <v>0</v>
      </c>
      <c r="AJ111" s="297">
        <f t="shared" si="12"/>
        <v>0</v>
      </c>
      <c r="AK111" s="297">
        <f t="shared" si="12"/>
        <v>0</v>
      </c>
      <c r="AL111" s="297">
        <f t="shared" si="12"/>
        <v>0</v>
      </c>
      <c r="AM111" s="298">
        <f t="shared" si="12"/>
        <v>0</v>
      </c>
    </row>
    <row r="112" spans="2:39" s="331" customFormat="1" ht="12.95">
      <c r="B112" s="294" t="s">
        <v>443</v>
      </c>
      <c r="C112" s="332" t="s">
        <v>439</v>
      </c>
      <c r="D112" s="296">
        <f t="shared" ref="D112:AM112" si="13">(D122)/(1+$D41)^D76</f>
        <v>573313.50452284643</v>
      </c>
      <c r="E112" s="297">
        <f t="shared" si="13"/>
        <v>477761.25376903871</v>
      </c>
      <c r="F112" s="297">
        <f t="shared" si="13"/>
        <v>398134.37814086559</v>
      </c>
      <c r="G112" s="297">
        <f t="shared" si="13"/>
        <v>331778.64845072129</v>
      </c>
      <c r="H112" s="297">
        <f t="shared" si="13"/>
        <v>276482.20704226778</v>
      </c>
      <c r="I112" s="297">
        <f t="shared" si="13"/>
        <v>214047.36395636867</v>
      </c>
      <c r="J112" s="297">
        <f t="shared" si="13"/>
        <v>178372.8032969739</v>
      </c>
      <c r="K112" s="297">
        <f t="shared" si="13"/>
        <v>148644.00274747825</v>
      </c>
      <c r="L112" s="297">
        <f t="shared" si="13"/>
        <v>123870.00228956521</v>
      </c>
      <c r="M112" s="297">
        <f t="shared" si="13"/>
        <v>103225.001907971</v>
      </c>
      <c r="N112" s="297">
        <f t="shared" si="13"/>
        <v>86020.834923309172</v>
      </c>
      <c r="O112" s="297">
        <f t="shared" si="13"/>
        <v>71684.029102757646</v>
      </c>
      <c r="P112" s="297">
        <f t="shared" si="13"/>
        <v>59736.690918964712</v>
      </c>
      <c r="Q112" s="297">
        <f t="shared" si="13"/>
        <v>49780.575765803922</v>
      </c>
      <c r="R112" s="297">
        <f t="shared" si="13"/>
        <v>41483.813138169942</v>
      </c>
      <c r="S112" s="297">
        <f t="shared" si="13"/>
        <v>34569.844281808277</v>
      </c>
      <c r="T112" s="297">
        <f t="shared" si="13"/>
        <v>28808.203568173572</v>
      </c>
      <c r="U112" s="297">
        <f t="shared" si="13"/>
        <v>24006.83630681131</v>
      </c>
      <c r="V112" s="297">
        <f t="shared" si="13"/>
        <v>20005.696922342759</v>
      </c>
      <c r="W112" s="297">
        <f t="shared" si="13"/>
        <v>16671.414101952298</v>
      </c>
      <c r="X112" s="297">
        <f t="shared" si="13"/>
        <v>13892.845084960249</v>
      </c>
      <c r="Y112" s="297">
        <f t="shared" si="13"/>
        <v>11577.370904133541</v>
      </c>
      <c r="Z112" s="297">
        <f t="shared" si="13"/>
        <v>9647.809086777952</v>
      </c>
      <c r="AA112" s="297">
        <f t="shared" si="13"/>
        <v>8039.8409056482933</v>
      </c>
      <c r="AB112" s="297">
        <f t="shared" si="13"/>
        <v>6699.8674213735776</v>
      </c>
      <c r="AC112" s="297">
        <f t="shared" si="13"/>
        <v>0</v>
      </c>
      <c r="AD112" s="297">
        <f t="shared" si="13"/>
        <v>0</v>
      </c>
      <c r="AE112" s="297">
        <f t="shared" si="13"/>
        <v>0</v>
      </c>
      <c r="AF112" s="297">
        <f t="shared" si="13"/>
        <v>0</v>
      </c>
      <c r="AG112" s="297">
        <f t="shared" si="13"/>
        <v>0</v>
      </c>
      <c r="AH112" s="297">
        <f t="shared" si="13"/>
        <v>0</v>
      </c>
      <c r="AI112" s="297">
        <f t="shared" si="13"/>
        <v>0</v>
      </c>
      <c r="AJ112" s="297">
        <f t="shared" si="13"/>
        <v>0</v>
      </c>
      <c r="AK112" s="297">
        <f t="shared" si="13"/>
        <v>0</v>
      </c>
      <c r="AL112" s="297">
        <f t="shared" si="13"/>
        <v>0</v>
      </c>
      <c r="AM112" s="298">
        <f t="shared" si="13"/>
        <v>0</v>
      </c>
    </row>
    <row r="113" spans="1:39" s="331" customFormat="1" ht="12.95">
      <c r="B113" s="294" t="s">
        <v>444</v>
      </c>
      <c r="C113" s="332" t="s">
        <v>439</v>
      </c>
      <c r="D113" s="296">
        <f t="shared" ref="D113:AM113" si="14">(D128)/(1+$D41)^D76</f>
        <v>-132580.12351850473</v>
      </c>
      <c r="E113" s="297">
        <f t="shared" si="14"/>
        <v>-110483.43626542061</v>
      </c>
      <c r="F113" s="297">
        <f t="shared" si="14"/>
        <v>-92069.530221183843</v>
      </c>
      <c r="G113" s="297">
        <f t="shared" si="14"/>
        <v>-76724.608517653192</v>
      </c>
      <c r="H113" s="297">
        <f t="shared" si="14"/>
        <v>-63937.173764710999</v>
      </c>
      <c r="I113" s="297">
        <f t="shared" si="14"/>
        <v>-49498.966496113339</v>
      </c>
      <c r="J113" s="297">
        <f t="shared" si="14"/>
        <v>-41249.138746761113</v>
      </c>
      <c r="K113" s="297">
        <f t="shared" si="14"/>
        <v>-34374.282288967595</v>
      </c>
      <c r="L113" s="297">
        <f t="shared" si="14"/>
        <v>-28645.235240806331</v>
      </c>
      <c r="M113" s="297">
        <f t="shared" si="14"/>
        <v>-23871.029367338608</v>
      </c>
      <c r="N113" s="297">
        <f t="shared" si="14"/>
        <v>-19892.524472782174</v>
      </c>
      <c r="O113" s="297">
        <f t="shared" si="14"/>
        <v>-16577.103727318477</v>
      </c>
      <c r="P113" s="297">
        <f t="shared" si="14"/>
        <v>-13814.253106098733</v>
      </c>
      <c r="Q113" s="297">
        <f t="shared" si="14"/>
        <v>-11511.877588415611</v>
      </c>
      <c r="R113" s="297">
        <f t="shared" si="14"/>
        <v>-9593.2313236796763</v>
      </c>
      <c r="S113" s="297">
        <f t="shared" si="14"/>
        <v>-7994.3594363997299</v>
      </c>
      <c r="T113" s="297">
        <f t="shared" si="14"/>
        <v>-6661.966196999776</v>
      </c>
      <c r="U113" s="297">
        <f t="shared" si="14"/>
        <v>-5551.6384974998136</v>
      </c>
      <c r="V113" s="297">
        <f t="shared" si="14"/>
        <v>-4626.3654145831779</v>
      </c>
      <c r="W113" s="297">
        <f t="shared" si="14"/>
        <v>-3855.3045121526479</v>
      </c>
      <c r="X113" s="297">
        <f t="shared" si="14"/>
        <v>-3212.7537601272065</v>
      </c>
      <c r="Y113" s="297">
        <f t="shared" si="14"/>
        <v>-2677.2948001060058</v>
      </c>
      <c r="Z113" s="297">
        <f t="shared" si="14"/>
        <v>-2231.0790000883385</v>
      </c>
      <c r="AA113" s="297">
        <f t="shared" si="14"/>
        <v>-1859.2325000736153</v>
      </c>
      <c r="AB113" s="297">
        <f t="shared" si="14"/>
        <v>-1549.3604167280128</v>
      </c>
      <c r="AC113" s="297">
        <f t="shared" si="14"/>
        <v>0</v>
      </c>
      <c r="AD113" s="297">
        <f t="shared" si="14"/>
        <v>0</v>
      </c>
      <c r="AE113" s="297">
        <f t="shared" si="14"/>
        <v>0</v>
      </c>
      <c r="AF113" s="297">
        <f t="shared" si="14"/>
        <v>0</v>
      </c>
      <c r="AG113" s="297">
        <f t="shared" si="14"/>
        <v>0</v>
      </c>
      <c r="AH113" s="297">
        <f t="shared" si="14"/>
        <v>0</v>
      </c>
      <c r="AI113" s="297">
        <f t="shared" si="14"/>
        <v>0</v>
      </c>
      <c r="AJ113" s="297">
        <f t="shared" si="14"/>
        <v>0</v>
      </c>
      <c r="AK113" s="297">
        <f t="shared" si="14"/>
        <v>0</v>
      </c>
      <c r="AL113" s="297">
        <f t="shared" si="14"/>
        <v>0</v>
      </c>
      <c r="AM113" s="298">
        <f t="shared" si="14"/>
        <v>0</v>
      </c>
    </row>
    <row r="114" spans="1:39" s="331" customFormat="1" ht="12.95">
      <c r="B114" s="338"/>
      <c r="C114" s="339"/>
      <c r="D114" s="340"/>
      <c r="E114" s="340"/>
      <c r="F114" s="340"/>
      <c r="G114" s="340"/>
      <c r="H114" s="340"/>
      <c r="I114" s="340"/>
      <c r="J114" s="340"/>
      <c r="K114" s="340"/>
      <c r="L114" s="340"/>
      <c r="M114" s="340"/>
      <c r="N114" s="340"/>
      <c r="O114" s="340"/>
      <c r="P114" s="340"/>
      <c r="Q114" s="340"/>
      <c r="R114" s="340"/>
      <c r="S114" s="340"/>
      <c r="T114" s="340"/>
      <c r="U114" s="340"/>
      <c r="V114" s="340"/>
      <c r="W114" s="340"/>
      <c r="X114" s="340"/>
      <c r="Y114" s="340"/>
      <c r="Z114" s="340"/>
      <c r="AA114" s="340"/>
      <c r="AB114" s="340"/>
      <c r="AC114" s="340"/>
      <c r="AD114" s="340"/>
      <c r="AE114" s="340"/>
      <c r="AF114" s="340"/>
      <c r="AG114" s="340"/>
      <c r="AH114" s="340"/>
      <c r="AI114" s="340"/>
      <c r="AJ114" s="340"/>
      <c r="AK114" s="340"/>
      <c r="AL114" s="340"/>
      <c r="AM114" s="340"/>
    </row>
    <row r="116" spans="1:39" ht="12.95">
      <c r="B116" s="283" t="s">
        <v>445</v>
      </c>
      <c r="C116" s="312" t="s">
        <v>364</v>
      </c>
    </row>
    <row r="117" spans="1:39">
      <c r="B117" s="276" t="s">
        <v>496</v>
      </c>
      <c r="C117" s="315" t="s">
        <v>446</v>
      </c>
      <c r="D117" s="341">
        <f>D78*(0-$C$31)*$D$23</f>
        <v>-4276.7781780162813</v>
      </c>
      <c r="E117" s="341">
        <f>E78*(0-$C$31)*$D$23</f>
        <v>-4276.7781780162813</v>
      </c>
      <c r="F117" s="341">
        <f>F78*(0-$C$31)*$D$23</f>
        <v>-4276.7781780162813</v>
      </c>
      <c r="G117" s="341">
        <f>G78*(0-$C$31)*$D$23</f>
        <v>-4276.7781780162813</v>
      </c>
      <c r="H117" s="341">
        <f>H78*(0-$C$31)*$D$23</f>
        <v>-4276.7781780162813</v>
      </c>
      <c r="I117" s="341">
        <f>I78*(0-$C$31)*$D$23</f>
        <v>-3973.2022036002813</v>
      </c>
      <c r="J117" s="341">
        <f>J78*(0-$C$31)*$D$23</f>
        <v>-3973.2022036002813</v>
      </c>
      <c r="K117" s="341">
        <f>K78*(0-$C$31)*$D$23</f>
        <v>-3973.2022036002813</v>
      </c>
      <c r="L117" s="341">
        <f>L78*(0-$C$31)*$D$23</f>
        <v>-3973.2022036002813</v>
      </c>
      <c r="M117" s="341">
        <f>M78*(0-$C$31)*$D$23</f>
        <v>-3973.2022036002813</v>
      </c>
      <c r="N117" s="341">
        <f>N78*(0-$C$31)*$D$23</f>
        <v>-3973.2022036002813</v>
      </c>
      <c r="O117" s="341">
        <f>O78*(0-$C$31)*$D$23</f>
        <v>-3973.2022036002813</v>
      </c>
      <c r="P117" s="341">
        <f>P78*(0-$C$31)*$D$23</f>
        <v>-3973.2022036002813</v>
      </c>
      <c r="Q117" s="341">
        <f>Q78*(0-$C$31)*$D$23</f>
        <v>-3973.2022036002813</v>
      </c>
      <c r="R117" s="341">
        <f>R78*(0-$C$31)*$D$23</f>
        <v>-3973.2022036002813</v>
      </c>
      <c r="S117" s="341">
        <f>S78*(0-$C$31)*$D$23</f>
        <v>-3973.2022036002813</v>
      </c>
      <c r="T117" s="341">
        <f>T78*(0-$C$31)*$D$23</f>
        <v>-3973.2022036002813</v>
      </c>
      <c r="U117" s="341">
        <f>U78*(0-$C$31)*$D$23</f>
        <v>-3973.2022036002813</v>
      </c>
      <c r="V117" s="341">
        <f>V78*(0-$C$31)*$D$23</f>
        <v>-3973.2022036002813</v>
      </c>
      <c r="W117" s="341">
        <f>W78*(0-$C$31)*$D$23</f>
        <v>-3973.2022036002813</v>
      </c>
      <c r="X117" s="341">
        <f>X78*(0-$C$31)*$D$23</f>
        <v>-3973.2022036002813</v>
      </c>
      <c r="Y117" s="341">
        <f>Y78*(0-$C$31)*$D$23</f>
        <v>-3973.2022036002813</v>
      </c>
      <c r="Z117" s="341">
        <f>Z78*(0-$C$31)*$D$23</f>
        <v>-3973.2022036002813</v>
      </c>
      <c r="AA117" s="341">
        <f>AA78*(0-$C$31)*$D$23</f>
        <v>-3973.2022036002813</v>
      </c>
      <c r="AB117" s="341">
        <f>AB78*(0-$C$31)*$D$23</f>
        <v>-3973.2022036002813</v>
      </c>
      <c r="AC117" s="341">
        <f>AC78*(0-$C$31)*$D$23</f>
        <v>0</v>
      </c>
      <c r="AD117" s="341">
        <f>AD78*(0-$C$31)*$D$23</f>
        <v>0</v>
      </c>
      <c r="AE117" s="342">
        <f>AE78*(0-$D$22)/$C$30</f>
        <v>0</v>
      </c>
      <c r="AF117" s="342">
        <f>AF78*(0-$D$22)/$C$30</f>
        <v>0</v>
      </c>
      <c r="AG117" s="342">
        <f>AG78*(0-$D$22)/$C$30</f>
        <v>0</v>
      </c>
      <c r="AH117" s="342">
        <f>AH78*(0-$D$22)/$C$30</f>
        <v>0</v>
      </c>
      <c r="AI117" s="342">
        <f>AI78*(0-$D$22)/$C$30</f>
        <v>0</v>
      </c>
      <c r="AJ117" s="342">
        <f>AJ78*(0-$D$22)/$C$30</f>
        <v>0</v>
      </c>
      <c r="AK117" s="342">
        <f>AK78*(0-$D$22)/$C$30</f>
        <v>0</v>
      </c>
      <c r="AL117" s="342">
        <f>AL78*(0-$D$22)/$C$30</f>
        <v>0</v>
      </c>
      <c r="AM117" s="343">
        <f>AM78*(0-$D$22)/$C$30</f>
        <v>0</v>
      </c>
    </row>
    <row r="118" spans="1:39">
      <c r="B118" s="276" t="s">
        <v>497</v>
      </c>
      <c r="C118" s="259" t="s">
        <v>373</v>
      </c>
      <c r="D118" s="344">
        <f>SUM(D117:AD117)</f>
        <v>-100847.93496208698</v>
      </c>
    </row>
    <row r="119" spans="1:39">
      <c r="D119" s="345"/>
    </row>
    <row r="120" spans="1:39">
      <c r="D120" s="345"/>
    </row>
    <row r="121" spans="1:39" ht="12.95">
      <c r="B121" s="346" t="s">
        <v>447</v>
      </c>
      <c r="C121" s="312" t="s">
        <v>364</v>
      </c>
      <c r="D121" s="345"/>
    </row>
    <row r="122" spans="1:39">
      <c r="B122" s="294" t="s">
        <v>448</v>
      </c>
      <c r="C122" s="295" t="s">
        <v>417</v>
      </c>
      <c r="D122" s="347">
        <f>D78*($D$17-$D$60)</f>
        <v>573313.50452284643</v>
      </c>
      <c r="E122" s="348">
        <f>E78*($D$17-$D$60)</f>
        <v>573313.50452284643</v>
      </c>
      <c r="F122" s="348">
        <f>F78*($D$17-$D$60)</f>
        <v>573313.50452284643</v>
      </c>
      <c r="G122" s="348">
        <f>G78*($D$17-$D$60)</f>
        <v>573313.50452284643</v>
      </c>
      <c r="H122" s="348">
        <f>H78*($D$17-$D$60)</f>
        <v>573313.50452284643</v>
      </c>
      <c r="I122" s="348">
        <f>I78*($D$17-$D$60)</f>
        <v>532618.33667991124</v>
      </c>
      <c r="J122" s="348">
        <f>J78*($D$17-$D$60)</f>
        <v>532618.33667991124</v>
      </c>
      <c r="K122" s="348">
        <f>K78*($D$17-$D$60)</f>
        <v>532618.33667991124</v>
      </c>
      <c r="L122" s="348">
        <f>L78*($D$17-$D$60)</f>
        <v>532618.33667991124</v>
      </c>
      <c r="M122" s="348">
        <f>M78*($D$17-$D$60)</f>
        <v>532618.33667991124</v>
      </c>
      <c r="N122" s="348">
        <f>N78*($D$17-$D$60)</f>
        <v>532618.33667991124</v>
      </c>
      <c r="O122" s="348">
        <f>O78*($D$17-$D$60)</f>
        <v>532618.33667991124</v>
      </c>
      <c r="P122" s="348">
        <f>P78*($D$17-$D$60)</f>
        <v>532618.33667991124</v>
      </c>
      <c r="Q122" s="348">
        <f>Q78*($D$17-$D$60)</f>
        <v>532618.33667991124</v>
      </c>
      <c r="R122" s="348">
        <f>R78*($D$17-$D$60)</f>
        <v>532618.33667991124</v>
      </c>
      <c r="S122" s="348">
        <f>S78*($D$17-$D$60)</f>
        <v>532618.33667991124</v>
      </c>
      <c r="T122" s="348">
        <f>T78*($D$17-$D$60)</f>
        <v>532618.33667991124</v>
      </c>
      <c r="U122" s="348">
        <f>U78*($D$17-$D$60)</f>
        <v>532618.33667991124</v>
      </c>
      <c r="V122" s="348">
        <f>V78*($D$17-$D$60)</f>
        <v>532618.33667991124</v>
      </c>
      <c r="W122" s="348">
        <f>W78*($D$17-$D$60)</f>
        <v>532618.33667991124</v>
      </c>
      <c r="X122" s="348">
        <f>X78*($D$17-$D$60)</f>
        <v>532618.33667991124</v>
      </c>
      <c r="Y122" s="348">
        <f>Y78*($D$17-$D$60)</f>
        <v>532618.33667991124</v>
      </c>
      <c r="Z122" s="348">
        <f>Z78*($D$17-$D$60)</f>
        <v>532618.33667991124</v>
      </c>
      <c r="AA122" s="348">
        <f>AA78*($D$17-$D$60)</f>
        <v>532618.33667991124</v>
      </c>
      <c r="AB122" s="348">
        <f>AB78*($D$17-$D$60)</f>
        <v>532618.33667991124</v>
      </c>
      <c r="AC122" s="348">
        <f>AC78*($D$17-$D$60)</f>
        <v>0</v>
      </c>
      <c r="AD122" s="348">
        <f>AD78*($D$17-$D$60)</f>
        <v>0</v>
      </c>
      <c r="AE122" s="348">
        <f>AE78*($D$17-$D$60)</f>
        <v>0</v>
      </c>
      <c r="AF122" s="348">
        <f>AF78*($D$17-$D$60)</f>
        <v>0</v>
      </c>
      <c r="AG122" s="348">
        <f>AG78*($D$17-$D$60)</f>
        <v>0</v>
      </c>
      <c r="AH122" s="348">
        <f>AH78*($D$17-$D$60)</f>
        <v>0</v>
      </c>
      <c r="AI122" s="348">
        <f>AI78*($D$17-$D$60)</f>
        <v>0</v>
      </c>
      <c r="AJ122" s="348">
        <f>AJ78*($D$17-$D$60)</f>
        <v>0</v>
      </c>
      <c r="AK122" s="348">
        <f>AK78*($D$17-$D$60)</f>
        <v>0</v>
      </c>
      <c r="AL122" s="348">
        <f>AL78*($D$17-$D$60)</f>
        <v>0</v>
      </c>
      <c r="AM122" s="349">
        <f>AM78*($D$17-$D$60)</f>
        <v>0</v>
      </c>
    </row>
    <row r="123" spans="1:39" s="281" customFormat="1" ht="12.95">
      <c r="A123" s="215"/>
      <c r="B123" s="350" t="s">
        <v>449</v>
      </c>
      <c r="C123" s="312" t="s">
        <v>331</v>
      </c>
      <c r="D123" s="351">
        <f>SUM(D122:AM122)</f>
        <v>13518934.256212456</v>
      </c>
      <c r="E123" s="352"/>
      <c r="F123" s="352"/>
      <c r="G123" s="352"/>
      <c r="H123" s="352"/>
      <c r="I123" s="352"/>
      <c r="J123" s="352"/>
      <c r="K123" s="352"/>
      <c r="L123" s="352"/>
      <c r="M123" s="352"/>
      <c r="N123" s="352"/>
      <c r="O123" s="352"/>
      <c r="P123" s="352"/>
      <c r="Q123" s="352"/>
      <c r="R123" s="352"/>
      <c r="S123" s="352"/>
      <c r="T123" s="352"/>
      <c r="U123" s="352"/>
      <c r="V123" s="352"/>
      <c r="W123" s="352"/>
      <c r="X123" s="352"/>
      <c r="Y123" s="352"/>
      <c r="Z123" s="352"/>
      <c r="AA123" s="352"/>
      <c r="AB123" s="352"/>
      <c r="AC123" s="352"/>
      <c r="AD123" s="352"/>
      <c r="AE123" s="352"/>
      <c r="AF123" s="352"/>
      <c r="AG123" s="352"/>
      <c r="AH123" s="352"/>
      <c r="AI123" s="352"/>
      <c r="AJ123" s="352"/>
      <c r="AK123" s="352"/>
      <c r="AL123" s="352"/>
      <c r="AM123" s="352"/>
    </row>
    <row r="124" spans="1:39" s="281" customFormat="1">
      <c r="A124" s="215"/>
      <c r="B124" s="345"/>
      <c r="C124" s="345"/>
      <c r="D124" s="345"/>
      <c r="E124" s="352"/>
      <c r="F124" s="352"/>
      <c r="G124" s="352"/>
      <c r="H124" s="352"/>
      <c r="I124" s="352"/>
      <c r="J124" s="352"/>
      <c r="K124" s="352"/>
      <c r="L124" s="352"/>
      <c r="M124" s="352"/>
      <c r="N124" s="352"/>
      <c r="O124" s="352"/>
      <c r="P124" s="352"/>
      <c r="Q124" s="352"/>
      <c r="R124" s="352"/>
      <c r="S124" s="352"/>
      <c r="T124" s="352"/>
      <c r="U124" s="352"/>
      <c r="V124" s="352"/>
      <c r="W124" s="352"/>
      <c r="X124" s="352"/>
      <c r="Y124" s="352"/>
      <c r="Z124" s="352"/>
      <c r="AA124" s="352"/>
      <c r="AB124" s="352"/>
      <c r="AC124" s="352"/>
      <c r="AD124" s="352"/>
      <c r="AE124" s="352"/>
      <c r="AF124" s="352"/>
      <c r="AG124" s="352"/>
      <c r="AH124" s="352"/>
      <c r="AI124" s="352"/>
      <c r="AJ124" s="352"/>
      <c r="AK124" s="352"/>
      <c r="AL124" s="352"/>
      <c r="AM124" s="352"/>
    </row>
    <row r="125" spans="1:39" ht="12.95">
      <c r="B125" s="346" t="s">
        <v>450</v>
      </c>
      <c r="C125" s="345"/>
      <c r="D125" s="345"/>
    </row>
    <row r="126" spans="1:39" s="281" customFormat="1" ht="12.95">
      <c r="A126" s="215"/>
      <c r="B126" s="353" t="s">
        <v>451</v>
      </c>
      <c r="C126" s="312" t="s">
        <v>364</v>
      </c>
      <c r="D126" s="345"/>
      <c r="E126" s="352"/>
      <c r="F126" s="352"/>
      <c r="G126" s="352"/>
      <c r="H126" s="352"/>
      <c r="I126" s="352"/>
      <c r="J126" s="352"/>
      <c r="K126" s="352"/>
      <c r="L126" s="352"/>
      <c r="M126" s="352"/>
      <c r="N126" s="352"/>
      <c r="O126" s="352"/>
      <c r="P126" s="352"/>
      <c r="Q126" s="352"/>
      <c r="R126" s="352"/>
      <c r="S126" s="352"/>
      <c r="T126" s="352"/>
      <c r="U126" s="352"/>
      <c r="V126" s="352"/>
      <c r="W126" s="352"/>
      <c r="X126" s="352"/>
      <c r="Y126" s="352"/>
      <c r="Z126" s="352"/>
      <c r="AA126" s="352"/>
      <c r="AB126" s="352"/>
      <c r="AC126" s="352"/>
      <c r="AD126" s="352"/>
      <c r="AE126" s="352"/>
      <c r="AF126" s="352"/>
      <c r="AG126" s="352"/>
      <c r="AH126" s="352"/>
      <c r="AI126" s="352"/>
      <c r="AJ126" s="352"/>
      <c r="AK126" s="352"/>
      <c r="AL126" s="352"/>
      <c r="AM126" s="352"/>
    </row>
    <row r="127" spans="1:39">
      <c r="B127" s="354" t="s">
        <v>452</v>
      </c>
      <c r="C127" s="355" t="s">
        <v>453</v>
      </c>
      <c r="D127" s="356">
        <v>31</v>
      </c>
    </row>
    <row r="128" spans="1:39">
      <c r="B128" s="286" t="s">
        <v>79</v>
      </c>
      <c r="C128" s="292" t="s">
        <v>417</v>
      </c>
      <c r="D128" s="347">
        <f>$D$127*D117</f>
        <v>-132580.12351850473</v>
      </c>
      <c r="E128" s="348">
        <f t="shared" ref="E128:AM128" si="15">$D$127*E117</f>
        <v>-132580.12351850473</v>
      </c>
      <c r="F128" s="348">
        <f t="shared" si="15"/>
        <v>-132580.12351850473</v>
      </c>
      <c r="G128" s="348">
        <f t="shared" si="15"/>
        <v>-132580.12351850473</v>
      </c>
      <c r="H128" s="348">
        <f t="shared" si="15"/>
        <v>-132580.12351850473</v>
      </c>
      <c r="I128" s="348">
        <f t="shared" si="15"/>
        <v>-123169.26831160873</v>
      </c>
      <c r="J128" s="348">
        <f t="shared" si="15"/>
        <v>-123169.26831160873</v>
      </c>
      <c r="K128" s="348">
        <f t="shared" si="15"/>
        <v>-123169.26831160873</v>
      </c>
      <c r="L128" s="348">
        <f t="shared" si="15"/>
        <v>-123169.26831160873</v>
      </c>
      <c r="M128" s="348">
        <f t="shared" si="15"/>
        <v>-123169.26831160873</v>
      </c>
      <c r="N128" s="348">
        <f t="shared" si="15"/>
        <v>-123169.26831160873</v>
      </c>
      <c r="O128" s="348">
        <f t="shared" si="15"/>
        <v>-123169.26831160873</v>
      </c>
      <c r="P128" s="348">
        <f t="shared" si="15"/>
        <v>-123169.26831160873</v>
      </c>
      <c r="Q128" s="348">
        <f t="shared" si="15"/>
        <v>-123169.26831160873</v>
      </c>
      <c r="R128" s="348">
        <f t="shared" si="15"/>
        <v>-123169.26831160873</v>
      </c>
      <c r="S128" s="348">
        <f t="shared" si="15"/>
        <v>-123169.26831160873</v>
      </c>
      <c r="T128" s="348">
        <f t="shared" si="15"/>
        <v>-123169.26831160873</v>
      </c>
      <c r="U128" s="348">
        <f t="shared" si="15"/>
        <v>-123169.26831160873</v>
      </c>
      <c r="V128" s="348">
        <f t="shared" si="15"/>
        <v>-123169.26831160873</v>
      </c>
      <c r="W128" s="348">
        <f t="shared" si="15"/>
        <v>-123169.26831160873</v>
      </c>
      <c r="X128" s="348">
        <f t="shared" si="15"/>
        <v>-123169.26831160873</v>
      </c>
      <c r="Y128" s="348">
        <f t="shared" si="15"/>
        <v>-123169.26831160873</v>
      </c>
      <c r="Z128" s="348">
        <f t="shared" si="15"/>
        <v>-123169.26831160873</v>
      </c>
      <c r="AA128" s="348">
        <f t="shared" si="15"/>
        <v>-123169.26831160873</v>
      </c>
      <c r="AB128" s="348">
        <f t="shared" si="15"/>
        <v>-123169.26831160873</v>
      </c>
      <c r="AC128" s="348">
        <f t="shared" si="15"/>
        <v>0</v>
      </c>
      <c r="AD128" s="348">
        <f t="shared" si="15"/>
        <v>0</v>
      </c>
      <c r="AE128" s="348">
        <f t="shared" si="15"/>
        <v>0</v>
      </c>
      <c r="AF128" s="348">
        <f t="shared" si="15"/>
        <v>0</v>
      </c>
      <c r="AG128" s="348">
        <f t="shared" si="15"/>
        <v>0</v>
      </c>
      <c r="AH128" s="348">
        <f t="shared" si="15"/>
        <v>0</v>
      </c>
      <c r="AI128" s="348">
        <f t="shared" si="15"/>
        <v>0</v>
      </c>
      <c r="AJ128" s="348">
        <f t="shared" si="15"/>
        <v>0</v>
      </c>
      <c r="AK128" s="348">
        <f t="shared" si="15"/>
        <v>0</v>
      </c>
      <c r="AL128" s="348">
        <f t="shared" si="15"/>
        <v>0</v>
      </c>
      <c r="AM128" s="349">
        <f t="shared" si="15"/>
        <v>0</v>
      </c>
    </row>
    <row r="129" spans="2:39" ht="12.95">
      <c r="B129" s="350" t="s">
        <v>454</v>
      </c>
      <c r="C129" s="312" t="s">
        <v>331</v>
      </c>
      <c r="D129" s="309">
        <f>SUM(D128:AM128)</f>
        <v>-3126285.9838246973</v>
      </c>
    </row>
    <row r="130" spans="2:39">
      <c r="B130" s="286" t="s">
        <v>455</v>
      </c>
      <c r="C130" s="292" t="s">
        <v>417</v>
      </c>
      <c r="D130" s="347">
        <f>(0-$D$22)*D78*$D$127/$C$30</f>
        <v>-336470.0240741779</v>
      </c>
      <c r="E130" s="348">
        <f>(0-$D$22)*E78*$D$127/$C$30</f>
        <v>-336470.0240741779</v>
      </c>
      <c r="F130" s="348">
        <f>(0-$D$22)*F78*$D$127/$C$30</f>
        <v>-336470.0240741779</v>
      </c>
      <c r="G130" s="348">
        <f>(0-$D$22)*G78*$D$127/$C$30</f>
        <v>-336470.0240741779</v>
      </c>
      <c r="H130" s="348">
        <f>(0-$D$22)*H78*$D$127/$C$30</f>
        <v>-336470.0240741779</v>
      </c>
      <c r="I130" s="348">
        <f>(0-$D$22)*I78*$D$127/$C$30</f>
        <v>-312586.57462497795</v>
      </c>
      <c r="J130" s="348">
        <f>(0-$D$22)*J78*$D$127/$C$30</f>
        <v>-312586.57462497795</v>
      </c>
      <c r="K130" s="348">
        <f>(0-$D$22)*K78*$D$127/$C$30</f>
        <v>-312586.57462497795</v>
      </c>
      <c r="L130" s="348">
        <f>(0-$D$22)*L78*$D$127/$C$30</f>
        <v>-312586.57462497795</v>
      </c>
      <c r="M130" s="348">
        <f>(0-$D$22)*M78*$D$127/$C$30</f>
        <v>-312586.57462497795</v>
      </c>
      <c r="N130" s="348">
        <f>(0-$D$22)*N78*$D$127/$C$30</f>
        <v>-312586.57462497795</v>
      </c>
      <c r="O130" s="348">
        <f>(0-$D$22)*O78*$D$127/$C$30</f>
        <v>-312586.57462497795</v>
      </c>
      <c r="P130" s="348">
        <f>(0-$D$22)*P78*$D$127/$C$30</f>
        <v>-312586.57462497795</v>
      </c>
      <c r="Q130" s="348">
        <f>(0-$D$22)*Q78*$D$127/$C$30</f>
        <v>-312586.57462497795</v>
      </c>
      <c r="R130" s="348">
        <f>(0-$D$22)*R78*$D$127/$C$30</f>
        <v>-312586.57462497795</v>
      </c>
      <c r="S130" s="348">
        <f>(0-$D$22)*S78*$D$127/$C$30</f>
        <v>-312586.57462497795</v>
      </c>
      <c r="T130" s="348">
        <f>(0-$D$22)*T78*$D$127/$C$30</f>
        <v>-312586.57462497795</v>
      </c>
      <c r="U130" s="348">
        <f>(0-$D$22)*U78*$D$127/$C$30</f>
        <v>-312586.57462497795</v>
      </c>
      <c r="V130" s="348">
        <f>(0-$D$22)*V78*$D$127/$C$30</f>
        <v>-312586.57462497795</v>
      </c>
      <c r="W130" s="348">
        <f>(0-$D$22)*W78*$D$127/$C$30</f>
        <v>-312586.57462497795</v>
      </c>
      <c r="X130" s="348">
        <f>(0-$D$22)*X78*$D$127/$C$30</f>
        <v>-312586.57462497795</v>
      </c>
      <c r="Y130" s="348">
        <f>(0-$D$22)*Y78*$D$127/$C$30</f>
        <v>-312586.57462497795</v>
      </c>
      <c r="Z130" s="348">
        <f>(0-$D$22)*Z78*$D$127/$C$30</f>
        <v>-312586.57462497795</v>
      </c>
      <c r="AA130" s="348">
        <f>(0-$D$22)*AA78*$D$127/$C$30</f>
        <v>-312586.57462497795</v>
      </c>
      <c r="AB130" s="348">
        <f>(0-$D$22)*AB78*$D$127/$C$30</f>
        <v>-312586.57462497795</v>
      </c>
      <c r="AC130" s="348">
        <f>(0-$D$22)*AC78*$D$127/$C$30</f>
        <v>0</v>
      </c>
      <c r="AD130" s="348">
        <f>(0-$D$22)*AD78*$D$127/$C$30</f>
        <v>0</v>
      </c>
      <c r="AE130" s="348">
        <f>(0-$D$22)*AE78*$D$127/$C$30</f>
        <v>0</v>
      </c>
      <c r="AF130" s="348">
        <f>(0-$D$22)*AF78*$D$127/$C$30</f>
        <v>0</v>
      </c>
      <c r="AG130" s="348">
        <f>(0-$D$22)*AG78*$D$127/$C$30</f>
        <v>0</v>
      </c>
      <c r="AH130" s="348">
        <f>(0-$D$22)*AH78*$D$127/$C$30</f>
        <v>0</v>
      </c>
      <c r="AI130" s="348">
        <f>(0-$D$22)*AI78*$D$127/$C$30</f>
        <v>0</v>
      </c>
      <c r="AJ130" s="348">
        <f>(0-$D$22)*AJ78*$D$127/$C$30</f>
        <v>0</v>
      </c>
      <c r="AK130" s="348">
        <f>(0-$D$22)*AK78*$D$127/$C$30</f>
        <v>0</v>
      </c>
      <c r="AL130" s="348">
        <f>(0-$D$22)*AL78*$D$127/$C$30</f>
        <v>0</v>
      </c>
      <c r="AM130" s="349">
        <f>(0-$D$22)*AM78*$D$127/$C$30</f>
        <v>0</v>
      </c>
    </row>
    <row r="131" spans="2:39" ht="12.95">
      <c r="B131" s="350" t="s">
        <v>456</v>
      </c>
      <c r="C131" s="312" t="s">
        <v>331</v>
      </c>
      <c r="D131" s="309">
        <f>SUM(D130:AM130)</f>
        <v>-7934081.6128704492</v>
      </c>
    </row>
    <row r="133" spans="2:39" ht="12.95">
      <c r="B133" s="357" t="s">
        <v>457</v>
      </c>
      <c r="C133" s="284" t="s">
        <v>364</v>
      </c>
    </row>
    <row r="134" spans="2:39">
      <c r="B134" s="286" t="str">
        <f>B122</f>
        <v>Avoided electricity cost (grid)</v>
      </c>
      <c r="C134" s="358" t="s">
        <v>417</v>
      </c>
      <c r="D134" s="289">
        <f t="shared" ref="D134:AM134" si="16">D122</f>
        <v>573313.50452284643</v>
      </c>
      <c r="E134" s="289">
        <f t="shared" si="16"/>
        <v>573313.50452284643</v>
      </c>
      <c r="F134" s="289">
        <f t="shared" si="16"/>
        <v>573313.50452284643</v>
      </c>
      <c r="G134" s="289">
        <f t="shared" si="16"/>
        <v>573313.50452284643</v>
      </c>
      <c r="H134" s="289">
        <f t="shared" si="16"/>
        <v>573313.50452284643</v>
      </c>
      <c r="I134" s="289">
        <f t="shared" si="16"/>
        <v>532618.33667991124</v>
      </c>
      <c r="J134" s="289">
        <f t="shared" si="16"/>
        <v>532618.33667991124</v>
      </c>
      <c r="K134" s="289">
        <f t="shared" si="16"/>
        <v>532618.33667991124</v>
      </c>
      <c r="L134" s="289">
        <f t="shared" si="16"/>
        <v>532618.33667991124</v>
      </c>
      <c r="M134" s="289">
        <f t="shared" si="16"/>
        <v>532618.33667991124</v>
      </c>
      <c r="N134" s="289">
        <f t="shared" si="16"/>
        <v>532618.33667991124</v>
      </c>
      <c r="O134" s="289">
        <f t="shared" si="16"/>
        <v>532618.33667991124</v>
      </c>
      <c r="P134" s="289">
        <f t="shared" si="16"/>
        <v>532618.33667991124</v>
      </c>
      <c r="Q134" s="289">
        <f t="shared" si="16"/>
        <v>532618.33667991124</v>
      </c>
      <c r="R134" s="289">
        <f t="shared" si="16"/>
        <v>532618.33667991124</v>
      </c>
      <c r="S134" s="289">
        <f t="shared" si="16"/>
        <v>532618.33667991124</v>
      </c>
      <c r="T134" s="289">
        <f t="shared" si="16"/>
        <v>532618.33667991124</v>
      </c>
      <c r="U134" s="289">
        <f t="shared" si="16"/>
        <v>532618.33667991124</v>
      </c>
      <c r="V134" s="289">
        <f t="shared" si="16"/>
        <v>532618.33667991124</v>
      </c>
      <c r="W134" s="289">
        <f t="shared" si="16"/>
        <v>532618.33667991124</v>
      </c>
      <c r="X134" s="289">
        <f t="shared" si="16"/>
        <v>532618.33667991124</v>
      </c>
      <c r="Y134" s="289">
        <f t="shared" si="16"/>
        <v>532618.33667991124</v>
      </c>
      <c r="Z134" s="289">
        <f t="shared" si="16"/>
        <v>532618.33667991124</v>
      </c>
      <c r="AA134" s="289">
        <f t="shared" si="16"/>
        <v>532618.33667991124</v>
      </c>
      <c r="AB134" s="289">
        <f t="shared" si="16"/>
        <v>532618.33667991124</v>
      </c>
      <c r="AC134" s="289">
        <f t="shared" si="16"/>
        <v>0</v>
      </c>
      <c r="AD134" s="289">
        <f t="shared" si="16"/>
        <v>0</v>
      </c>
      <c r="AE134" s="289">
        <f t="shared" si="16"/>
        <v>0</v>
      </c>
      <c r="AF134" s="289">
        <f t="shared" si="16"/>
        <v>0</v>
      </c>
      <c r="AG134" s="289">
        <f t="shared" si="16"/>
        <v>0</v>
      </c>
      <c r="AH134" s="289">
        <f t="shared" si="16"/>
        <v>0</v>
      </c>
      <c r="AI134" s="289">
        <f t="shared" si="16"/>
        <v>0</v>
      </c>
      <c r="AJ134" s="289">
        <f t="shared" si="16"/>
        <v>0</v>
      </c>
      <c r="AK134" s="289">
        <f t="shared" si="16"/>
        <v>0</v>
      </c>
      <c r="AL134" s="289">
        <f t="shared" si="16"/>
        <v>0</v>
      </c>
      <c r="AM134" s="290">
        <f t="shared" si="16"/>
        <v>0</v>
      </c>
    </row>
    <row r="135" spans="2:39">
      <c r="B135" s="294" t="str">
        <f>B128</f>
        <v>Avoided annual social cost of carbon</v>
      </c>
      <c r="C135" s="332" t="s">
        <v>417</v>
      </c>
      <c r="D135" s="255">
        <f t="shared" ref="D135:AM135" si="17">D128</f>
        <v>-132580.12351850473</v>
      </c>
      <c r="E135" s="255">
        <f t="shared" si="17"/>
        <v>-132580.12351850473</v>
      </c>
      <c r="F135" s="255">
        <f t="shared" si="17"/>
        <v>-132580.12351850473</v>
      </c>
      <c r="G135" s="255">
        <f t="shared" si="17"/>
        <v>-132580.12351850473</v>
      </c>
      <c r="H135" s="255">
        <f t="shared" si="17"/>
        <v>-132580.12351850473</v>
      </c>
      <c r="I135" s="255">
        <f t="shared" si="17"/>
        <v>-123169.26831160873</v>
      </c>
      <c r="J135" s="255">
        <f t="shared" si="17"/>
        <v>-123169.26831160873</v>
      </c>
      <c r="K135" s="255">
        <f t="shared" si="17"/>
        <v>-123169.26831160873</v>
      </c>
      <c r="L135" s="255">
        <f t="shared" si="17"/>
        <v>-123169.26831160873</v>
      </c>
      <c r="M135" s="255">
        <f t="shared" si="17"/>
        <v>-123169.26831160873</v>
      </c>
      <c r="N135" s="255">
        <f t="shared" si="17"/>
        <v>-123169.26831160873</v>
      </c>
      <c r="O135" s="255">
        <f t="shared" si="17"/>
        <v>-123169.26831160873</v>
      </c>
      <c r="P135" s="255">
        <f t="shared" si="17"/>
        <v>-123169.26831160873</v>
      </c>
      <c r="Q135" s="255">
        <f t="shared" si="17"/>
        <v>-123169.26831160873</v>
      </c>
      <c r="R135" s="255">
        <f t="shared" si="17"/>
        <v>-123169.26831160873</v>
      </c>
      <c r="S135" s="255">
        <f t="shared" si="17"/>
        <v>-123169.26831160873</v>
      </c>
      <c r="T135" s="255">
        <f t="shared" si="17"/>
        <v>-123169.26831160873</v>
      </c>
      <c r="U135" s="255">
        <f t="shared" si="17"/>
        <v>-123169.26831160873</v>
      </c>
      <c r="V135" s="255">
        <f t="shared" si="17"/>
        <v>-123169.26831160873</v>
      </c>
      <c r="W135" s="255">
        <f t="shared" si="17"/>
        <v>-123169.26831160873</v>
      </c>
      <c r="X135" s="255">
        <f t="shared" si="17"/>
        <v>-123169.26831160873</v>
      </c>
      <c r="Y135" s="255">
        <f t="shared" si="17"/>
        <v>-123169.26831160873</v>
      </c>
      <c r="Z135" s="255">
        <f t="shared" si="17"/>
        <v>-123169.26831160873</v>
      </c>
      <c r="AA135" s="255">
        <f t="shared" si="17"/>
        <v>-123169.26831160873</v>
      </c>
      <c r="AB135" s="255">
        <f t="shared" si="17"/>
        <v>-123169.26831160873</v>
      </c>
      <c r="AC135" s="255">
        <f t="shared" si="17"/>
        <v>0</v>
      </c>
      <c r="AD135" s="255">
        <f t="shared" si="17"/>
        <v>0</v>
      </c>
      <c r="AE135" s="255">
        <f t="shared" si="17"/>
        <v>0</v>
      </c>
      <c r="AF135" s="255">
        <f t="shared" si="17"/>
        <v>0</v>
      </c>
      <c r="AG135" s="255">
        <f t="shared" si="17"/>
        <v>0</v>
      </c>
      <c r="AH135" s="255">
        <f t="shared" si="17"/>
        <v>0</v>
      </c>
      <c r="AI135" s="255">
        <f t="shared" si="17"/>
        <v>0</v>
      </c>
      <c r="AJ135" s="255">
        <f t="shared" si="17"/>
        <v>0</v>
      </c>
      <c r="AK135" s="255">
        <f t="shared" si="17"/>
        <v>0</v>
      </c>
      <c r="AL135" s="255">
        <f t="shared" si="17"/>
        <v>0</v>
      </c>
      <c r="AM135" s="293">
        <f t="shared" si="17"/>
        <v>0</v>
      </c>
    </row>
    <row r="136" spans="2:39" ht="12.95">
      <c r="B136" s="359" t="s">
        <v>458</v>
      </c>
      <c r="C136" s="324" t="s">
        <v>417</v>
      </c>
      <c r="D136" s="321">
        <f>D134+D135</f>
        <v>440733.3810043417</v>
      </c>
      <c r="E136" s="321">
        <f t="shared" ref="E136:AM136" si="18">E134+E135</f>
        <v>440733.3810043417</v>
      </c>
      <c r="F136" s="321">
        <f t="shared" si="18"/>
        <v>440733.3810043417</v>
      </c>
      <c r="G136" s="321">
        <f t="shared" si="18"/>
        <v>440733.3810043417</v>
      </c>
      <c r="H136" s="321">
        <f t="shared" si="18"/>
        <v>440733.3810043417</v>
      </c>
      <c r="I136" s="321">
        <f t="shared" si="18"/>
        <v>409449.06836830254</v>
      </c>
      <c r="J136" s="321">
        <f t="shared" si="18"/>
        <v>409449.06836830254</v>
      </c>
      <c r="K136" s="321">
        <f t="shared" si="18"/>
        <v>409449.06836830254</v>
      </c>
      <c r="L136" s="321">
        <f t="shared" si="18"/>
        <v>409449.06836830254</v>
      </c>
      <c r="M136" s="321">
        <f t="shared" si="18"/>
        <v>409449.06836830254</v>
      </c>
      <c r="N136" s="321">
        <f t="shared" si="18"/>
        <v>409449.06836830254</v>
      </c>
      <c r="O136" s="321">
        <f t="shared" si="18"/>
        <v>409449.06836830254</v>
      </c>
      <c r="P136" s="321">
        <f t="shared" si="18"/>
        <v>409449.06836830254</v>
      </c>
      <c r="Q136" s="321">
        <f t="shared" si="18"/>
        <v>409449.06836830254</v>
      </c>
      <c r="R136" s="321">
        <f t="shared" si="18"/>
        <v>409449.06836830254</v>
      </c>
      <c r="S136" s="321">
        <f t="shared" si="18"/>
        <v>409449.06836830254</v>
      </c>
      <c r="T136" s="321">
        <f t="shared" si="18"/>
        <v>409449.06836830254</v>
      </c>
      <c r="U136" s="321">
        <f t="shared" si="18"/>
        <v>409449.06836830254</v>
      </c>
      <c r="V136" s="321">
        <f t="shared" si="18"/>
        <v>409449.06836830254</v>
      </c>
      <c r="W136" s="321">
        <f t="shared" si="18"/>
        <v>409449.06836830254</v>
      </c>
      <c r="X136" s="321">
        <f t="shared" si="18"/>
        <v>409449.06836830254</v>
      </c>
      <c r="Y136" s="321">
        <f t="shared" si="18"/>
        <v>409449.06836830254</v>
      </c>
      <c r="Z136" s="321">
        <f t="shared" si="18"/>
        <v>409449.06836830254</v>
      </c>
      <c r="AA136" s="321">
        <f t="shared" si="18"/>
        <v>409449.06836830254</v>
      </c>
      <c r="AB136" s="321">
        <f t="shared" si="18"/>
        <v>409449.06836830254</v>
      </c>
      <c r="AC136" s="321">
        <f t="shared" si="18"/>
        <v>0</v>
      </c>
      <c r="AD136" s="321">
        <f t="shared" si="18"/>
        <v>0</v>
      </c>
      <c r="AE136" s="321">
        <f t="shared" si="18"/>
        <v>0</v>
      </c>
      <c r="AF136" s="321">
        <f t="shared" si="18"/>
        <v>0</v>
      </c>
      <c r="AG136" s="321">
        <f t="shared" si="18"/>
        <v>0</v>
      </c>
      <c r="AH136" s="321">
        <f t="shared" si="18"/>
        <v>0</v>
      </c>
      <c r="AI136" s="321">
        <f t="shared" si="18"/>
        <v>0</v>
      </c>
      <c r="AJ136" s="321">
        <f t="shared" si="18"/>
        <v>0</v>
      </c>
      <c r="AK136" s="321">
        <f t="shared" si="18"/>
        <v>0</v>
      </c>
      <c r="AL136" s="321">
        <f t="shared" si="18"/>
        <v>0</v>
      </c>
      <c r="AM136" s="322">
        <f t="shared" si="18"/>
        <v>0</v>
      </c>
    </row>
    <row r="137" spans="2:39">
      <c r="B137" s="360" t="s">
        <v>424</v>
      </c>
      <c r="C137" s="358" t="s">
        <v>417</v>
      </c>
      <c r="D137" s="289">
        <f t="shared" ref="D137:M137" si="19">D94</f>
        <v>5419845.04</v>
      </c>
      <c r="E137" s="289">
        <f t="shared" si="19"/>
        <v>0</v>
      </c>
      <c r="F137" s="289">
        <f t="shared" si="19"/>
        <v>0</v>
      </c>
      <c r="G137" s="289">
        <f t="shared" si="19"/>
        <v>0</v>
      </c>
      <c r="H137" s="289">
        <f t="shared" si="19"/>
        <v>0</v>
      </c>
      <c r="I137" s="289">
        <f t="shared" si="19"/>
        <v>0</v>
      </c>
      <c r="J137" s="289">
        <f t="shared" si="19"/>
        <v>0</v>
      </c>
      <c r="K137" s="289">
        <f t="shared" si="19"/>
        <v>0</v>
      </c>
      <c r="L137" s="289">
        <f t="shared" si="19"/>
        <v>0</v>
      </c>
      <c r="M137" s="290">
        <f t="shared" si="19"/>
        <v>0</v>
      </c>
      <c r="N137" s="352"/>
    </row>
    <row r="138" spans="2:39">
      <c r="B138" s="361" t="s">
        <v>459</v>
      </c>
      <c r="C138" s="358" t="s">
        <v>417</v>
      </c>
      <c r="D138" s="289">
        <f>D9</f>
        <v>503011.50400000002</v>
      </c>
      <c r="E138" s="289">
        <f t="shared" ref="E138:AB138" si="20">$D$138</f>
        <v>503011.50400000002</v>
      </c>
      <c r="F138" s="289">
        <f t="shared" si="20"/>
        <v>503011.50400000002</v>
      </c>
      <c r="G138" s="289">
        <f t="shared" si="20"/>
        <v>503011.50400000002</v>
      </c>
      <c r="H138" s="289">
        <f t="shared" si="20"/>
        <v>503011.50400000002</v>
      </c>
      <c r="I138" s="289">
        <f t="shared" si="20"/>
        <v>503011.50400000002</v>
      </c>
      <c r="J138" s="289">
        <f t="shared" si="20"/>
        <v>503011.50400000002</v>
      </c>
      <c r="K138" s="289">
        <f t="shared" si="20"/>
        <v>503011.50400000002</v>
      </c>
      <c r="L138" s="289">
        <f t="shared" si="20"/>
        <v>503011.50400000002</v>
      </c>
      <c r="M138" s="289">
        <f t="shared" si="20"/>
        <v>503011.50400000002</v>
      </c>
      <c r="N138" s="289">
        <f t="shared" si="20"/>
        <v>503011.50400000002</v>
      </c>
      <c r="O138" s="289">
        <f t="shared" si="20"/>
        <v>503011.50400000002</v>
      </c>
      <c r="P138" s="289">
        <f t="shared" si="20"/>
        <v>503011.50400000002</v>
      </c>
      <c r="Q138" s="289">
        <f t="shared" si="20"/>
        <v>503011.50400000002</v>
      </c>
      <c r="R138" s="289">
        <f t="shared" si="20"/>
        <v>503011.50400000002</v>
      </c>
      <c r="S138" s="289">
        <f t="shared" si="20"/>
        <v>503011.50400000002</v>
      </c>
      <c r="T138" s="289">
        <f t="shared" si="20"/>
        <v>503011.50400000002</v>
      </c>
      <c r="U138" s="289">
        <f t="shared" si="20"/>
        <v>503011.50400000002</v>
      </c>
      <c r="V138" s="289">
        <f t="shared" si="20"/>
        <v>503011.50400000002</v>
      </c>
      <c r="W138" s="289">
        <f t="shared" si="20"/>
        <v>503011.50400000002</v>
      </c>
      <c r="X138" s="289">
        <f t="shared" si="20"/>
        <v>503011.50400000002</v>
      </c>
      <c r="Y138" s="289">
        <f t="shared" si="20"/>
        <v>503011.50400000002</v>
      </c>
      <c r="Z138" s="289">
        <f t="shared" si="20"/>
        <v>503011.50400000002</v>
      </c>
      <c r="AA138" s="289">
        <f t="shared" si="20"/>
        <v>503011.50400000002</v>
      </c>
      <c r="AB138" s="289">
        <f t="shared" si="20"/>
        <v>503011.50400000002</v>
      </c>
      <c r="AC138" s="289">
        <v>1990816.9347549786</v>
      </c>
      <c r="AD138" s="289">
        <v>1990816.9347549786</v>
      </c>
      <c r="AE138" s="289" t="e">
        <f>AE82+#REF!</f>
        <v>#REF!</v>
      </c>
      <c r="AF138" s="289" t="e">
        <f>AF82+#REF!</f>
        <v>#REF!</v>
      </c>
      <c r="AG138" s="289" t="e">
        <f>AG82+#REF!</f>
        <v>#REF!</v>
      </c>
      <c r="AH138" s="289" t="e">
        <f>AH82+#REF!</f>
        <v>#REF!</v>
      </c>
      <c r="AI138" s="289" t="e">
        <f>AI82+#REF!</f>
        <v>#REF!</v>
      </c>
      <c r="AJ138" s="289" t="e">
        <f>AJ82+#REF!</f>
        <v>#REF!</v>
      </c>
      <c r="AK138" s="289" t="e">
        <f>AK82+#REF!</f>
        <v>#REF!</v>
      </c>
      <c r="AL138" s="289" t="e">
        <f>AL82+#REF!</f>
        <v>#REF!</v>
      </c>
      <c r="AM138" s="290" t="e">
        <f>AM82+#REF!</f>
        <v>#REF!</v>
      </c>
    </row>
    <row r="139" spans="2:39">
      <c r="B139" s="362" t="s">
        <v>460</v>
      </c>
      <c r="C139" s="363" t="s">
        <v>417</v>
      </c>
      <c r="D139" s="255">
        <f t="shared" ref="D139:AM139" si="21">D83</f>
        <v>0</v>
      </c>
      <c r="E139" s="255">
        <f t="shared" si="21"/>
        <v>0</v>
      </c>
      <c r="F139" s="255">
        <f t="shared" si="21"/>
        <v>0</v>
      </c>
      <c r="G139" s="255">
        <f t="shared" si="21"/>
        <v>0</v>
      </c>
      <c r="H139" s="255">
        <f t="shared" si="21"/>
        <v>0</v>
      </c>
      <c r="I139" s="255">
        <f t="shared" si="21"/>
        <v>0</v>
      </c>
      <c r="J139" s="255">
        <f t="shared" si="21"/>
        <v>0</v>
      </c>
      <c r="K139" s="255">
        <f t="shared" si="21"/>
        <v>0</v>
      </c>
      <c r="L139" s="255">
        <f t="shared" si="21"/>
        <v>0</v>
      </c>
      <c r="M139" s="255">
        <f t="shared" si="21"/>
        <v>0</v>
      </c>
      <c r="N139" s="255">
        <f t="shared" si="21"/>
        <v>0</v>
      </c>
      <c r="O139" s="255">
        <f t="shared" si="21"/>
        <v>0</v>
      </c>
      <c r="P139" s="255">
        <f t="shared" si="21"/>
        <v>0</v>
      </c>
      <c r="Q139" s="255">
        <f t="shared" si="21"/>
        <v>0</v>
      </c>
      <c r="R139" s="255">
        <f t="shared" si="21"/>
        <v>0</v>
      </c>
      <c r="S139" s="255">
        <f t="shared" si="21"/>
        <v>0</v>
      </c>
      <c r="T139" s="255">
        <f t="shared" si="21"/>
        <v>0</v>
      </c>
      <c r="U139" s="255">
        <f t="shared" si="21"/>
        <v>0</v>
      </c>
      <c r="V139" s="255">
        <f t="shared" si="21"/>
        <v>0</v>
      </c>
      <c r="W139" s="255">
        <f t="shared" si="21"/>
        <v>0</v>
      </c>
      <c r="X139" s="255">
        <f t="shared" si="21"/>
        <v>0</v>
      </c>
      <c r="Y139" s="255">
        <f t="shared" si="21"/>
        <v>0</v>
      </c>
      <c r="Z139" s="255">
        <f t="shared" si="21"/>
        <v>0</v>
      </c>
      <c r="AA139" s="255">
        <f t="shared" si="21"/>
        <v>0</v>
      </c>
      <c r="AB139" s="255">
        <f t="shared" si="21"/>
        <v>0</v>
      </c>
      <c r="AC139" s="255">
        <f t="shared" si="21"/>
        <v>0</v>
      </c>
      <c r="AD139" s="255">
        <f t="shared" si="21"/>
        <v>0</v>
      </c>
      <c r="AE139" s="255">
        <f t="shared" si="21"/>
        <v>0</v>
      </c>
      <c r="AF139" s="255">
        <f t="shared" si="21"/>
        <v>0</v>
      </c>
      <c r="AG139" s="255">
        <f t="shared" si="21"/>
        <v>0</v>
      </c>
      <c r="AH139" s="255">
        <f t="shared" si="21"/>
        <v>0</v>
      </c>
      <c r="AI139" s="255">
        <f t="shared" si="21"/>
        <v>0</v>
      </c>
      <c r="AJ139" s="255">
        <f t="shared" si="21"/>
        <v>0</v>
      </c>
      <c r="AK139" s="255">
        <f t="shared" si="21"/>
        <v>0</v>
      </c>
      <c r="AL139" s="255">
        <f t="shared" si="21"/>
        <v>0</v>
      </c>
      <c r="AM139" s="293">
        <f t="shared" si="21"/>
        <v>0</v>
      </c>
    </row>
    <row r="140" spans="2:39">
      <c r="B140" s="362" t="s">
        <v>428</v>
      </c>
      <c r="C140" s="363" t="s">
        <v>417</v>
      </c>
      <c r="D140" s="255">
        <f>D97</f>
        <v>0</v>
      </c>
      <c r="E140" s="255">
        <f t="shared" ref="E140:AM141" si="22">E97</f>
        <v>0</v>
      </c>
      <c r="F140" s="255">
        <f t="shared" si="22"/>
        <v>0</v>
      </c>
      <c r="G140" s="255">
        <f t="shared" si="22"/>
        <v>0</v>
      </c>
      <c r="H140" s="255">
        <f t="shared" si="22"/>
        <v>0</v>
      </c>
      <c r="I140" s="255">
        <f t="shared" si="22"/>
        <v>0</v>
      </c>
      <c r="J140" s="255">
        <f t="shared" si="22"/>
        <v>0</v>
      </c>
      <c r="K140" s="255">
        <f t="shared" si="22"/>
        <v>0</v>
      </c>
      <c r="L140" s="255">
        <f t="shared" si="22"/>
        <v>0</v>
      </c>
      <c r="M140" s="255">
        <f t="shared" si="22"/>
        <v>0</v>
      </c>
      <c r="N140" s="255">
        <f t="shared" si="22"/>
        <v>0</v>
      </c>
      <c r="O140" s="255">
        <f t="shared" si="22"/>
        <v>0</v>
      </c>
      <c r="P140" s="255">
        <f t="shared" si="22"/>
        <v>0</v>
      </c>
      <c r="Q140" s="255">
        <f t="shared" si="22"/>
        <v>0</v>
      </c>
      <c r="R140" s="255">
        <f t="shared" si="22"/>
        <v>0</v>
      </c>
      <c r="S140" s="255">
        <f t="shared" si="22"/>
        <v>0</v>
      </c>
      <c r="T140" s="255">
        <f t="shared" si="22"/>
        <v>0</v>
      </c>
      <c r="U140" s="255">
        <f t="shared" si="22"/>
        <v>0</v>
      </c>
      <c r="V140" s="255">
        <f t="shared" si="22"/>
        <v>0</v>
      </c>
      <c r="W140" s="255">
        <f t="shared" si="22"/>
        <v>0</v>
      </c>
      <c r="X140" s="255">
        <f t="shared" si="22"/>
        <v>0</v>
      </c>
      <c r="Y140" s="255">
        <f t="shared" si="22"/>
        <v>0</v>
      </c>
      <c r="Z140" s="255">
        <f t="shared" si="22"/>
        <v>0</v>
      </c>
      <c r="AA140" s="255">
        <f t="shared" si="22"/>
        <v>0</v>
      </c>
      <c r="AB140" s="255">
        <f t="shared" si="22"/>
        <v>0</v>
      </c>
      <c r="AC140" s="255">
        <f t="shared" si="22"/>
        <v>0</v>
      </c>
      <c r="AD140" s="255">
        <f t="shared" si="22"/>
        <v>0</v>
      </c>
      <c r="AE140" s="255">
        <f t="shared" si="22"/>
        <v>0</v>
      </c>
      <c r="AF140" s="255">
        <f t="shared" si="22"/>
        <v>0</v>
      </c>
      <c r="AG140" s="255">
        <f t="shared" si="22"/>
        <v>0</v>
      </c>
      <c r="AH140" s="255">
        <f t="shared" si="22"/>
        <v>0</v>
      </c>
      <c r="AI140" s="255">
        <f t="shared" si="22"/>
        <v>0</v>
      </c>
      <c r="AJ140" s="255">
        <f t="shared" si="22"/>
        <v>0</v>
      </c>
      <c r="AK140" s="255">
        <f t="shared" si="22"/>
        <v>0</v>
      </c>
      <c r="AL140" s="255">
        <f t="shared" si="22"/>
        <v>0</v>
      </c>
      <c r="AM140" s="293">
        <f t="shared" si="22"/>
        <v>0</v>
      </c>
    </row>
    <row r="141" spans="2:39">
      <c r="B141" s="364" t="s">
        <v>429</v>
      </c>
      <c r="C141" s="332" t="s">
        <v>417</v>
      </c>
      <c r="D141" s="297">
        <f>D98</f>
        <v>0</v>
      </c>
      <c r="E141" s="297">
        <f t="shared" si="22"/>
        <v>216793.80160000001</v>
      </c>
      <c r="F141" s="297">
        <f t="shared" si="22"/>
        <v>216793.80160000001</v>
      </c>
      <c r="G141" s="297">
        <f t="shared" si="22"/>
        <v>216793.80160000001</v>
      </c>
      <c r="H141" s="297">
        <f t="shared" si="22"/>
        <v>216793.80160000001</v>
      </c>
      <c r="I141" s="297">
        <f t="shared" si="22"/>
        <v>216793.80160000001</v>
      </c>
      <c r="J141" s="297">
        <f t="shared" si="22"/>
        <v>216793.80160000001</v>
      </c>
      <c r="K141" s="297">
        <f t="shared" si="22"/>
        <v>216793.80160000001</v>
      </c>
      <c r="L141" s="297">
        <f t="shared" si="22"/>
        <v>216793.80160000001</v>
      </c>
      <c r="M141" s="297">
        <f t="shared" si="22"/>
        <v>216793.80160000001</v>
      </c>
      <c r="N141" s="297">
        <f t="shared" si="22"/>
        <v>216793.80160000001</v>
      </c>
      <c r="O141" s="297">
        <f t="shared" si="22"/>
        <v>216793.80160000001</v>
      </c>
      <c r="P141" s="297">
        <f t="shared" si="22"/>
        <v>216793.80160000001</v>
      </c>
      <c r="Q141" s="297">
        <f t="shared" si="22"/>
        <v>216793.80160000001</v>
      </c>
      <c r="R141" s="297">
        <f t="shared" si="22"/>
        <v>216793.80160000001</v>
      </c>
      <c r="S141" s="297">
        <f t="shared" si="22"/>
        <v>216793.80160000001</v>
      </c>
      <c r="T141" s="297">
        <f t="shared" si="22"/>
        <v>216793.80160000001</v>
      </c>
      <c r="U141" s="297">
        <f t="shared" si="22"/>
        <v>216793.80160000001</v>
      </c>
      <c r="V141" s="297">
        <f t="shared" si="22"/>
        <v>216793.80160000001</v>
      </c>
      <c r="W141" s="297">
        <f t="shared" si="22"/>
        <v>216793.80160000001</v>
      </c>
      <c r="X141" s="297">
        <f t="shared" si="22"/>
        <v>216793.80160000001</v>
      </c>
      <c r="Y141" s="297">
        <f t="shared" si="22"/>
        <v>216793.80160000001</v>
      </c>
      <c r="Z141" s="297">
        <f t="shared" si="22"/>
        <v>216793.80160000001</v>
      </c>
      <c r="AA141" s="297">
        <f t="shared" si="22"/>
        <v>216793.80160000001</v>
      </c>
      <c r="AB141" s="297">
        <f t="shared" si="22"/>
        <v>216793.80160000001</v>
      </c>
      <c r="AC141" s="297">
        <f t="shared" si="22"/>
        <v>216793.80160000001</v>
      </c>
      <c r="AD141" s="297">
        <f t="shared" si="22"/>
        <v>0</v>
      </c>
      <c r="AE141" s="297">
        <f t="shared" si="22"/>
        <v>0</v>
      </c>
      <c r="AF141" s="297">
        <f t="shared" si="22"/>
        <v>0</v>
      </c>
      <c r="AG141" s="297">
        <f t="shared" si="22"/>
        <v>0</v>
      </c>
      <c r="AH141" s="297">
        <f t="shared" si="22"/>
        <v>0</v>
      </c>
      <c r="AI141" s="297">
        <f t="shared" si="22"/>
        <v>0</v>
      </c>
      <c r="AJ141" s="297">
        <f t="shared" si="22"/>
        <v>0</v>
      </c>
      <c r="AK141" s="297">
        <f t="shared" si="22"/>
        <v>0</v>
      </c>
      <c r="AL141" s="297">
        <f t="shared" si="22"/>
        <v>0</v>
      </c>
      <c r="AM141" s="298">
        <f t="shared" si="22"/>
        <v>0</v>
      </c>
    </row>
    <row r="142" spans="2:39" ht="12.95">
      <c r="B142" s="365" t="s">
        <v>461</v>
      </c>
      <c r="C142" s="366" t="s">
        <v>417</v>
      </c>
      <c r="D142" s="302">
        <f>SUM(D137:D141)</f>
        <v>5922856.5439999998</v>
      </c>
      <c r="E142" s="302">
        <f t="shared" ref="E142:AM142" si="23">SUM(E137:E141)</f>
        <v>719805.30560000008</v>
      </c>
      <c r="F142" s="302">
        <f t="shared" si="23"/>
        <v>719805.30560000008</v>
      </c>
      <c r="G142" s="302">
        <f t="shared" si="23"/>
        <v>719805.30560000008</v>
      </c>
      <c r="H142" s="302">
        <f t="shared" si="23"/>
        <v>719805.30560000008</v>
      </c>
      <c r="I142" s="302">
        <f t="shared" si="23"/>
        <v>719805.30560000008</v>
      </c>
      <c r="J142" s="302">
        <f t="shared" si="23"/>
        <v>719805.30560000008</v>
      </c>
      <c r="K142" s="302">
        <f t="shared" si="23"/>
        <v>719805.30560000008</v>
      </c>
      <c r="L142" s="302">
        <f t="shared" si="23"/>
        <v>719805.30560000008</v>
      </c>
      <c r="M142" s="302">
        <f t="shared" si="23"/>
        <v>719805.30560000008</v>
      </c>
      <c r="N142" s="302">
        <f t="shared" si="23"/>
        <v>719805.30560000008</v>
      </c>
      <c r="O142" s="302">
        <f t="shared" si="23"/>
        <v>719805.30560000008</v>
      </c>
      <c r="P142" s="302">
        <f t="shared" si="23"/>
        <v>719805.30560000008</v>
      </c>
      <c r="Q142" s="302">
        <f t="shared" si="23"/>
        <v>719805.30560000008</v>
      </c>
      <c r="R142" s="302">
        <f t="shared" si="23"/>
        <v>719805.30560000008</v>
      </c>
      <c r="S142" s="302">
        <f t="shared" si="23"/>
        <v>719805.30560000008</v>
      </c>
      <c r="T142" s="302">
        <f t="shared" si="23"/>
        <v>719805.30560000008</v>
      </c>
      <c r="U142" s="302">
        <f t="shared" si="23"/>
        <v>719805.30560000008</v>
      </c>
      <c r="V142" s="302">
        <f t="shared" si="23"/>
        <v>719805.30560000008</v>
      </c>
      <c r="W142" s="302">
        <f t="shared" si="23"/>
        <v>719805.30560000008</v>
      </c>
      <c r="X142" s="302">
        <f t="shared" si="23"/>
        <v>719805.30560000008</v>
      </c>
      <c r="Y142" s="302">
        <f t="shared" si="23"/>
        <v>719805.30560000008</v>
      </c>
      <c r="Z142" s="302">
        <f t="shared" si="23"/>
        <v>719805.30560000008</v>
      </c>
      <c r="AA142" s="302">
        <f t="shared" si="23"/>
        <v>719805.30560000008</v>
      </c>
      <c r="AB142" s="302">
        <f t="shared" si="23"/>
        <v>719805.30560000008</v>
      </c>
      <c r="AC142" s="302">
        <f t="shared" si="23"/>
        <v>2207610.7363549788</v>
      </c>
      <c r="AD142" s="302">
        <f t="shared" si="23"/>
        <v>1990816.9347549786</v>
      </c>
      <c r="AE142" s="302" t="e">
        <f t="shared" si="23"/>
        <v>#REF!</v>
      </c>
      <c r="AF142" s="302" t="e">
        <f t="shared" si="23"/>
        <v>#REF!</v>
      </c>
      <c r="AG142" s="302" t="e">
        <f t="shared" si="23"/>
        <v>#REF!</v>
      </c>
      <c r="AH142" s="302" t="e">
        <f t="shared" si="23"/>
        <v>#REF!</v>
      </c>
      <c r="AI142" s="302" t="e">
        <f t="shared" si="23"/>
        <v>#REF!</v>
      </c>
      <c r="AJ142" s="302" t="e">
        <f t="shared" si="23"/>
        <v>#REF!</v>
      </c>
      <c r="AK142" s="302" t="e">
        <f t="shared" si="23"/>
        <v>#REF!</v>
      </c>
      <c r="AL142" s="302" t="e">
        <f t="shared" si="23"/>
        <v>#REF!</v>
      </c>
      <c r="AM142" s="302" t="e">
        <f t="shared" si="23"/>
        <v>#REF!</v>
      </c>
    </row>
    <row r="143" spans="2:39" ht="12.95">
      <c r="B143" s="367" t="s">
        <v>462</v>
      </c>
      <c r="C143" s="366" t="s">
        <v>417</v>
      </c>
      <c r="D143" s="320">
        <f>D136-D142</f>
        <v>-5482123.1629956579</v>
      </c>
      <c r="E143" s="321">
        <f t="shared" ref="E143:AM143" si="24">E136-E138-E139</f>
        <v>-62278.122995658312</v>
      </c>
      <c r="F143" s="321">
        <f t="shared" si="24"/>
        <v>-62278.122995658312</v>
      </c>
      <c r="G143" s="321">
        <f t="shared" si="24"/>
        <v>-62278.122995658312</v>
      </c>
      <c r="H143" s="321">
        <f t="shared" si="24"/>
        <v>-62278.122995658312</v>
      </c>
      <c r="I143" s="321">
        <f t="shared" si="24"/>
        <v>-93562.435631697474</v>
      </c>
      <c r="J143" s="321">
        <f t="shared" si="24"/>
        <v>-93562.435631697474</v>
      </c>
      <c r="K143" s="321">
        <f t="shared" si="24"/>
        <v>-93562.435631697474</v>
      </c>
      <c r="L143" s="321">
        <f t="shared" si="24"/>
        <v>-93562.435631697474</v>
      </c>
      <c r="M143" s="321">
        <f t="shared" si="24"/>
        <v>-93562.435631697474</v>
      </c>
      <c r="N143" s="321">
        <f t="shared" si="24"/>
        <v>-93562.435631697474</v>
      </c>
      <c r="O143" s="321">
        <f t="shared" si="24"/>
        <v>-93562.435631697474</v>
      </c>
      <c r="P143" s="321">
        <f t="shared" si="24"/>
        <v>-93562.435631697474</v>
      </c>
      <c r="Q143" s="321">
        <f t="shared" si="24"/>
        <v>-93562.435631697474</v>
      </c>
      <c r="R143" s="321">
        <f t="shared" si="24"/>
        <v>-93562.435631697474</v>
      </c>
      <c r="S143" s="321">
        <f t="shared" si="24"/>
        <v>-93562.435631697474</v>
      </c>
      <c r="T143" s="321">
        <f t="shared" si="24"/>
        <v>-93562.435631697474</v>
      </c>
      <c r="U143" s="321">
        <f t="shared" si="24"/>
        <v>-93562.435631697474</v>
      </c>
      <c r="V143" s="321">
        <f t="shared" si="24"/>
        <v>-93562.435631697474</v>
      </c>
      <c r="W143" s="321">
        <f t="shared" si="24"/>
        <v>-93562.435631697474</v>
      </c>
      <c r="X143" s="321">
        <f t="shared" si="24"/>
        <v>-93562.435631697474</v>
      </c>
      <c r="Y143" s="321">
        <f t="shared" si="24"/>
        <v>-93562.435631697474</v>
      </c>
      <c r="Z143" s="321">
        <f t="shared" si="24"/>
        <v>-93562.435631697474</v>
      </c>
      <c r="AA143" s="321">
        <f t="shared" si="24"/>
        <v>-93562.435631697474</v>
      </c>
      <c r="AB143" s="321">
        <f t="shared" si="24"/>
        <v>-93562.435631697474</v>
      </c>
      <c r="AC143" s="321">
        <f t="shared" si="24"/>
        <v>-1990816.9347549786</v>
      </c>
      <c r="AD143" s="321">
        <f t="shared" si="24"/>
        <v>-1990816.9347549786</v>
      </c>
      <c r="AE143" s="321" t="e">
        <f t="shared" si="24"/>
        <v>#REF!</v>
      </c>
      <c r="AF143" s="321" t="e">
        <f t="shared" si="24"/>
        <v>#REF!</v>
      </c>
      <c r="AG143" s="321" t="e">
        <f t="shared" si="24"/>
        <v>#REF!</v>
      </c>
      <c r="AH143" s="321" t="e">
        <f t="shared" si="24"/>
        <v>#REF!</v>
      </c>
      <c r="AI143" s="321" t="e">
        <f t="shared" si="24"/>
        <v>#REF!</v>
      </c>
      <c r="AJ143" s="321" t="e">
        <f t="shared" si="24"/>
        <v>#REF!</v>
      </c>
      <c r="AK143" s="321" t="e">
        <f t="shared" si="24"/>
        <v>#REF!</v>
      </c>
      <c r="AL143" s="321" t="e">
        <f t="shared" si="24"/>
        <v>#REF!</v>
      </c>
      <c r="AM143" s="322" t="e">
        <f t="shared" si="24"/>
        <v>#REF!</v>
      </c>
    </row>
    <row r="146" spans="1:39" ht="12.95">
      <c r="B146" s="357" t="s">
        <v>463</v>
      </c>
      <c r="C146" s="284" t="s">
        <v>364</v>
      </c>
    </row>
    <row r="147" spans="1:39">
      <c r="B147" s="276" t="s">
        <v>464</v>
      </c>
      <c r="C147" s="259" t="s">
        <v>417</v>
      </c>
      <c r="D147" s="347">
        <f>D78*$D$17</f>
        <v>1282584.5488127999</v>
      </c>
      <c r="E147" s="348">
        <f t="shared" ref="E147:AM147" si="25">E78*$D$17</f>
        <v>1282584.5488127999</v>
      </c>
      <c r="F147" s="348">
        <f t="shared" si="25"/>
        <v>1282584.5488127999</v>
      </c>
      <c r="G147" s="348">
        <f t="shared" si="25"/>
        <v>1282584.5488127999</v>
      </c>
      <c r="H147" s="348">
        <f t="shared" si="25"/>
        <v>1282584.5488127999</v>
      </c>
      <c r="I147" s="348">
        <f>I78*$D$17</f>
        <v>1191543.6208128</v>
      </c>
      <c r="J147" s="348">
        <f t="shared" si="25"/>
        <v>1191543.6208128</v>
      </c>
      <c r="K147" s="348">
        <f t="shared" si="25"/>
        <v>1191543.6208128</v>
      </c>
      <c r="L147" s="348">
        <f t="shared" si="25"/>
        <v>1191543.6208128</v>
      </c>
      <c r="M147" s="348">
        <f t="shared" si="25"/>
        <v>1191543.6208128</v>
      </c>
      <c r="N147" s="348">
        <f t="shared" si="25"/>
        <v>1191543.6208128</v>
      </c>
      <c r="O147" s="348">
        <f t="shared" si="25"/>
        <v>1191543.6208128</v>
      </c>
      <c r="P147" s="348">
        <f t="shared" si="25"/>
        <v>1191543.6208128</v>
      </c>
      <c r="Q147" s="348">
        <f t="shared" si="25"/>
        <v>1191543.6208128</v>
      </c>
      <c r="R147" s="348">
        <f t="shared" si="25"/>
        <v>1191543.6208128</v>
      </c>
      <c r="S147" s="348">
        <f t="shared" si="25"/>
        <v>1191543.6208128</v>
      </c>
      <c r="T147" s="348">
        <f t="shared" si="25"/>
        <v>1191543.6208128</v>
      </c>
      <c r="U147" s="348">
        <f t="shared" si="25"/>
        <v>1191543.6208128</v>
      </c>
      <c r="V147" s="348">
        <f t="shared" si="25"/>
        <v>1191543.6208128</v>
      </c>
      <c r="W147" s="348">
        <f t="shared" si="25"/>
        <v>1191543.6208128</v>
      </c>
      <c r="X147" s="348">
        <f t="shared" si="25"/>
        <v>1191543.6208128</v>
      </c>
      <c r="Y147" s="348">
        <f t="shared" si="25"/>
        <v>1191543.6208128</v>
      </c>
      <c r="Z147" s="348">
        <f t="shared" si="25"/>
        <v>1191543.6208128</v>
      </c>
      <c r="AA147" s="348">
        <f t="shared" si="25"/>
        <v>1191543.6208128</v>
      </c>
      <c r="AB147" s="348">
        <f t="shared" si="25"/>
        <v>1191543.6208128</v>
      </c>
      <c r="AC147" s="348">
        <f t="shared" si="25"/>
        <v>0</v>
      </c>
      <c r="AD147" s="348">
        <f t="shared" si="25"/>
        <v>0</v>
      </c>
      <c r="AE147" s="348">
        <f t="shared" si="25"/>
        <v>0</v>
      </c>
      <c r="AF147" s="348">
        <f t="shared" si="25"/>
        <v>0</v>
      </c>
      <c r="AG147" s="348">
        <f t="shared" si="25"/>
        <v>0</v>
      </c>
      <c r="AH147" s="348">
        <f t="shared" si="25"/>
        <v>0</v>
      </c>
      <c r="AI147" s="348">
        <f t="shared" si="25"/>
        <v>0</v>
      </c>
      <c r="AJ147" s="348">
        <f t="shared" si="25"/>
        <v>0</v>
      </c>
      <c r="AK147" s="348">
        <f t="shared" si="25"/>
        <v>0</v>
      </c>
      <c r="AL147" s="348">
        <f t="shared" si="25"/>
        <v>0</v>
      </c>
      <c r="AM147" s="349">
        <f t="shared" si="25"/>
        <v>0</v>
      </c>
    </row>
    <row r="148" spans="1:39">
      <c r="B148" s="276" t="s">
        <v>465</v>
      </c>
      <c r="C148" s="259" t="s">
        <v>417</v>
      </c>
      <c r="D148" s="347">
        <f>SUM(D137:D141)</f>
        <v>5922856.5439999998</v>
      </c>
      <c r="E148" s="348">
        <f>SUM(E137:E141)</f>
        <v>719805.30560000008</v>
      </c>
      <c r="F148" s="348">
        <f t="shared" ref="F148:AM148" si="26">SUM(F137:F141)</f>
        <v>719805.30560000008</v>
      </c>
      <c r="G148" s="348">
        <f t="shared" si="26"/>
        <v>719805.30560000008</v>
      </c>
      <c r="H148" s="348">
        <f t="shared" si="26"/>
        <v>719805.30560000008</v>
      </c>
      <c r="I148" s="348">
        <f t="shared" si="26"/>
        <v>719805.30560000008</v>
      </c>
      <c r="J148" s="348">
        <f t="shared" si="26"/>
        <v>719805.30560000008</v>
      </c>
      <c r="K148" s="348">
        <f t="shared" si="26"/>
        <v>719805.30560000008</v>
      </c>
      <c r="L148" s="348">
        <f t="shared" si="26"/>
        <v>719805.30560000008</v>
      </c>
      <c r="M148" s="348">
        <f t="shared" si="26"/>
        <v>719805.30560000008</v>
      </c>
      <c r="N148" s="348">
        <f t="shared" si="26"/>
        <v>719805.30560000008</v>
      </c>
      <c r="O148" s="348">
        <f t="shared" si="26"/>
        <v>719805.30560000008</v>
      </c>
      <c r="P148" s="348">
        <f t="shared" si="26"/>
        <v>719805.30560000008</v>
      </c>
      <c r="Q148" s="348">
        <f t="shared" si="26"/>
        <v>719805.30560000008</v>
      </c>
      <c r="R148" s="348">
        <f t="shared" si="26"/>
        <v>719805.30560000008</v>
      </c>
      <c r="S148" s="348">
        <f t="shared" si="26"/>
        <v>719805.30560000008</v>
      </c>
      <c r="T148" s="348">
        <f t="shared" si="26"/>
        <v>719805.30560000008</v>
      </c>
      <c r="U148" s="348">
        <f t="shared" si="26"/>
        <v>719805.30560000008</v>
      </c>
      <c r="V148" s="348">
        <f t="shared" si="26"/>
        <v>719805.30560000008</v>
      </c>
      <c r="W148" s="348">
        <f t="shared" si="26"/>
        <v>719805.30560000008</v>
      </c>
      <c r="X148" s="348">
        <f t="shared" si="26"/>
        <v>719805.30560000008</v>
      </c>
      <c r="Y148" s="348">
        <f t="shared" si="26"/>
        <v>719805.30560000008</v>
      </c>
      <c r="Z148" s="348">
        <f t="shared" si="26"/>
        <v>719805.30560000008</v>
      </c>
      <c r="AA148" s="348">
        <f t="shared" si="26"/>
        <v>719805.30560000008</v>
      </c>
      <c r="AB148" s="348">
        <f t="shared" si="26"/>
        <v>719805.30560000008</v>
      </c>
      <c r="AC148" s="348">
        <f t="shared" si="26"/>
        <v>2207610.7363549788</v>
      </c>
      <c r="AD148" s="348">
        <f t="shared" si="26"/>
        <v>1990816.9347549786</v>
      </c>
      <c r="AE148" s="348" t="e">
        <f t="shared" si="26"/>
        <v>#REF!</v>
      </c>
      <c r="AF148" s="348" t="e">
        <f t="shared" si="26"/>
        <v>#REF!</v>
      </c>
      <c r="AG148" s="348" t="e">
        <f t="shared" si="26"/>
        <v>#REF!</v>
      </c>
      <c r="AH148" s="348" t="e">
        <f t="shared" si="26"/>
        <v>#REF!</v>
      </c>
      <c r="AI148" s="348" t="e">
        <f t="shared" si="26"/>
        <v>#REF!</v>
      </c>
      <c r="AJ148" s="348" t="e">
        <f t="shared" si="26"/>
        <v>#REF!</v>
      </c>
      <c r="AK148" s="348" t="e">
        <f t="shared" si="26"/>
        <v>#REF!</v>
      </c>
      <c r="AL148" s="348" t="e">
        <f t="shared" si="26"/>
        <v>#REF!</v>
      </c>
      <c r="AM148" s="349" t="e">
        <f t="shared" si="26"/>
        <v>#REF!</v>
      </c>
    </row>
    <row r="149" spans="1:39" ht="12.95">
      <c r="B149" s="367" t="s">
        <v>466</v>
      </c>
      <c r="C149" s="366" t="s">
        <v>417</v>
      </c>
      <c r="D149" s="301">
        <f>D147-D148</f>
        <v>-4640271.9951871997</v>
      </c>
      <c r="E149" s="302">
        <f t="shared" ref="E149:AM149" si="27">E147-E148</f>
        <v>562779.24321279977</v>
      </c>
      <c r="F149" s="302">
        <f t="shared" si="27"/>
        <v>562779.24321279977</v>
      </c>
      <c r="G149" s="302">
        <f t="shared" si="27"/>
        <v>562779.24321279977</v>
      </c>
      <c r="H149" s="302">
        <f t="shared" si="27"/>
        <v>562779.24321279977</v>
      </c>
      <c r="I149" s="302">
        <f t="shared" si="27"/>
        <v>471738.31521279993</v>
      </c>
      <c r="J149" s="302">
        <f t="shared" si="27"/>
        <v>471738.31521279993</v>
      </c>
      <c r="K149" s="302">
        <f t="shared" si="27"/>
        <v>471738.31521279993</v>
      </c>
      <c r="L149" s="302">
        <f t="shared" si="27"/>
        <v>471738.31521279993</v>
      </c>
      <c r="M149" s="302">
        <f t="shared" si="27"/>
        <v>471738.31521279993</v>
      </c>
      <c r="N149" s="302">
        <f t="shared" si="27"/>
        <v>471738.31521279993</v>
      </c>
      <c r="O149" s="302">
        <f t="shared" si="27"/>
        <v>471738.31521279993</v>
      </c>
      <c r="P149" s="302">
        <f t="shared" si="27"/>
        <v>471738.31521279993</v>
      </c>
      <c r="Q149" s="302">
        <f t="shared" si="27"/>
        <v>471738.31521279993</v>
      </c>
      <c r="R149" s="302">
        <f t="shared" si="27"/>
        <v>471738.31521279993</v>
      </c>
      <c r="S149" s="302">
        <f t="shared" si="27"/>
        <v>471738.31521279993</v>
      </c>
      <c r="T149" s="302">
        <f t="shared" si="27"/>
        <v>471738.31521279993</v>
      </c>
      <c r="U149" s="302">
        <f t="shared" si="27"/>
        <v>471738.31521279993</v>
      </c>
      <c r="V149" s="302">
        <f t="shared" si="27"/>
        <v>471738.31521279993</v>
      </c>
      <c r="W149" s="302">
        <f t="shared" si="27"/>
        <v>471738.31521279993</v>
      </c>
      <c r="X149" s="302">
        <f t="shared" si="27"/>
        <v>471738.31521279993</v>
      </c>
      <c r="Y149" s="302">
        <f t="shared" si="27"/>
        <v>471738.31521279993</v>
      </c>
      <c r="Z149" s="302">
        <f t="shared" si="27"/>
        <v>471738.31521279993</v>
      </c>
      <c r="AA149" s="302">
        <f t="shared" si="27"/>
        <v>471738.31521279993</v>
      </c>
      <c r="AB149" s="302">
        <f t="shared" si="27"/>
        <v>471738.31521279993</v>
      </c>
      <c r="AC149" s="302">
        <f t="shared" si="27"/>
        <v>-2207610.7363549788</v>
      </c>
      <c r="AD149" s="302">
        <f t="shared" si="27"/>
        <v>-1990816.9347549786</v>
      </c>
      <c r="AE149" s="302" t="e">
        <f t="shared" si="27"/>
        <v>#REF!</v>
      </c>
      <c r="AF149" s="302" t="e">
        <f t="shared" si="27"/>
        <v>#REF!</v>
      </c>
      <c r="AG149" s="302" t="e">
        <f t="shared" si="27"/>
        <v>#REF!</v>
      </c>
      <c r="AH149" s="302" t="e">
        <f t="shared" si="27"/>
        <v>#REF!</v>
      </c>
      <c r="AI149" s="302" t="e">
        <f t="shared" si="27"/>
        <v>#REF!</v>
      </c>
      <c r="AJ149" s="302" t="e">
        <f t="shared" si="27"/>
        <v>#REF!</v>
      </c>
      <c r="AK149" s="302" t="e">
        <f t="shared" si="27"/>
        <v>#REF!</v>
      </c>
      <c r="AL149" s="302" t="e">
        <f t="shared" si="27"/>
        <v>#REF!</v>
      </c>
      <c r="AM149" s="303" t="e">
        <f t="shared" si="27"/>
        <v>#REF!</v>
      </c>
    </row>
    <row r="150" spans="1:39" s="331" customFormat="1" ht="12.95">
      <c r="B150" s="368" t="s">
        <v>467</v>
      </c>
      <c r="C150" s="334" t="s">
        <v>417</v>
      </c>
      <c r="D150" s="369">
        <f>D149+D128</f>
        <v>-4772852.1187057048</v>
      </c>
      <c r="E150" s="370">
        <f t="shared" ref="E150:AM150" si="28">E149+E128</f>
        <v>430199.11969429505</v>
      </c>
      <c r="F150" s="370">
        <f t="shared" si="28"/>
        <v>430199.11969429505</v>
      </c>
      <c r="G150" s="370">
        <f t="shared" si="28"/>
        <v>430199.11969429505</v>
      </c>
      <c r="H150" s="370">
        <f t="shared" si="28"/>
        <v>430199.11969429505</v>
      </c>
      <c r="I150" s="370">
        <f t="shared" si="28"/>
        <v>348569.04690119124</v>
      </c>
      <c r="J150" s="370">
        <f t="shared" si="28"/>
        <v>348569.04690119124</v>
      </c>
      <c r="K150" s="370">
        <f t="shared" si="28"/>
        <v>348569.04690119124</v>
      </c>
      <c r="L150" s="370">
        <f t="shared" si="28"/>
        <v>348569.04690119124</v>
      </c>
      <c r="M150" s="370">
        <f t="shared" si="28"/>
        <v>348569.04690119124</v>
      </c>
      <c r="N150" s="370">
        <f t="shared" si="28"/>
        <v>348569.04690119124</v>
      </c>
      <c r="O150" s="370">
        <f t="shared" si="28"/>
        <v>348569.04690119124</v>
      </c>
      <c r="P150" s="370">
        <f t="shared" si="28"/>
        <v>348569.04690119124</v>
      </c>
      <c r="Q150" s="370">
        <f t="shared" si="28"/>
        <v>348569.04690119124</v>
      </c>
      <c r="R150" s="370">
        <f t="shared" si="28"/>
        <v>348569.04690119124</v>
      </c>
      <c r="S150" s="370">
        <f t="shared" si="28"/>
        <v>348569.04690119124</v>
      </c>
      <c r="T150" s="370">
        <f t="shared" si="28"/>
        <v>348569.04690119124</v>
      </c>
      <c r="U150" s="370">
        <f t="shared" si="28"/>
        <v>348569.04690119124</v>
      </c>
      <c r="V150" s="370">
        <f t="shared" si="28"/>
        <v>348569.04690119124</v>
      </c>
      <c r="W150" s="370">
        <f t="shared" si="28"/>
        <v>348569.04690119124</v>
      </c>
      <c r="X150" s="370">
        <f t="shared" si="28"/>
        <v>348569.04690119124</v>
      </c>
      <c r="Y150" s="370">
        <f t="shared" si="28"/>
        <v>348569.04690119124</v>
      </c>
      <c r="Z150" s="370">
        <f t="shared" si="28"/>
        <v>348569.04690119124</v>
      </c>
      <c r="AA150" s="370">
        <f t="shared" si="28"/>
        <v>348569.04690119124</v>
      </c>
      <c r="AB150" s="370">
        <f t="shared" si="28"/>
        <v>348569.04690119124</v>
      </c>
      <c r="AC150" s="370">
        <f t="shared" si="28"/>
        <v>-2207610.7363549788</v>
      </c>
      <c r="AD150" s="370">
        <f t="shared" si="28"/>
        <v>-1990816.9347549786</v>
      </c>
      <c r="AE150" s="370" t="e">
        <f t="shared" si="28"/>
        <v>#REF!</v>
      </c>
      <c r="AF150" s="370" t="e">
        <f t="shared" si="28"/>
        <v>#REF!</v>
      </c>
      <c r="AG150" s="370" t="e">
        <f t="shared" si="28"/>
        <v>#REF!</v>
      </c>
      <c r="AH150" s="370" t="e">
        <f t="shared" si="28"/>
        <v>#REF!</v>
      </c>
      <c r="AI150" s="370" t="e">
        <f t="shared" si="28"/>
        <v>#REF!</v>
      </c>
      <c r="AJ150" s="370" t="e">
        <f t="shared" si="28"/>
        <v>#REF!</v>
      </c>
      <c r="AK150" s="370" t="e">
        <f t="shared" si="28"/>
        <v>#REF!</v>
      </c>
      <c r="AL150" s="370" t="e">
        <f t="shared" si="28"/>
        <v>#REF!</v>
      </c>
      <c r="AM150" s="371" t="e">
        <f t="shared" si="28"/>
        <v>#REF!</v>
      </c>
    </row>
    <row r="151" spans="1:39" s="372" customFormat="1" ht="12.95">
      <c r="A151" s="331"/>
      <c r="B151" s="276" t="s">
        <v>468</v>
      </c>
      <c r="C151" s="259" t="s">
        <v>331</v>
      </c>
      <c r="D151" s="327">
        <f>SUM(D147:AB147)</f>
        <v>30243795.160319995</v>
      </c>
      <c r="F151" s="373"/>
      <c r="G151" s="373"/>
      <c r="H151" s="373"/>
      <c r="I151" s="373"/>
      <c r="J151" s="373"/>
      <c r="K151" s="373"/>
      <c r="L151" s="373"/>
      <c r="M151" s="373"/>
      <c r="N151" s="373"/>
      <c r="O151" s="373"/>
      <c r="P151" s="373"/>
      <c r="Q151" s="373"/>
      <c r="R151" s="373"/>
      <c r="S151" s="373"/>
      <c r="T151" s="373"/>
      <c r="U151" s="373"/>
      <c r="V151" s="373"/>
      <c r="W151" s="373"/>
      <c r="X151" s="373"/>
      <c r="Y151" s="373"/>
      <c r="Z151" s="373"/>
      <c r="AA151" s="373"/>
      <c r="AB151" s="373"/>
      <c r="AC151" s="373"/>
      <c r="AD151" s="373"/>
      <c r="AE151" s="373"/>
      <c r="AF151" s="373"/>
      <c r="AG151" s="373"/>
      <c r="AH151" s="373"/>
      <c r="AI151" s="373"/>
      <c r="AJ151" s="373"/>
      <c r="AK151" s="373"/>
      <c r="AL151" s="373"/>
      <c r="AM151" s="373"/>
    </row>
    <row r="152" spans="1:39" s="372" customFormat="1" ht="12.95">
      <c r="A152" s="331"/>
      <c r="B152" s="276" t="s">
        <v>469</v>
      </c>
      <c r="C152" s="259" t="s">
        <v>331</v>
      </c>
      <c r="D152" s="327">
        <f>SUM(D149:AB149)</f>
        <v>7045611.281919999</v>
      </c>
      <c r="E152" s="373"/>
      <c r="F152" s="373"/>
      <c r="G152" s="373"/>
      <c r="H152" s="373"/>
      <c r="I152" s="373"/>
      <c r="J152" s="373"/>
      <c r="K152" s="373"/>
      <c r="L152" s="373"/>
      <c r="M152" s="373"/>
      <c r="N152" s="373"/>
      <c r="O152" s="373"/>
      <c r="P152" s="373"/>
      <c r="Q152" s="373"/>
      <c r="R152" s="373"/>
      <c r="S152" s="373"/>
      <c r="T152" s="373"/>
      <c r="U152" s="373"/>
      <c r="V152" s="373"/>
      <c r="W152" s="373"/>
      <c r="X152" s="373"/>
      <c r="Y152" s="373"/>
      <c r="Z152" s="373"/>
      <c r="AA152" s="373"/>
      <c r="AB152" s="373"/>
      <c r="AC152" s="373"/>
      <c r="AD152" s="373"/>
      <c r="AE152" s="373"/>
      <c r="AF152" s="373"/>
      <c r="AG152" s="373"/>
      <c r="AH152" s="373"/>
      <c r="AI152" s="373"/>
      <c r="AJ152" s="373"/>
      <c r="AK152" s="373"/>
      <c r="AL152" s="373"/>
      <c r="AM152" s="373"/>
    </row>
    <row r="153" spans="1:39" s="372" customFormat="1" ht="12.95">
      <c r="A153" s="331"/>
      <c r="B153" s="276" t="s">
        <v>470</v>
      </c>
      <c r="C153" s="259" t="s">
        <v>331</v>
      </c>
      <c r="D153" s="327">
        <f>SUM(D150:AB150)</f>
        <v>3919325.2980952985</v>
      </c>
      <c r="E153" s="373"/>
      <c r="F153" s="373"/>
      <c r="G153" s="373"/>
      <c r="H153" s="373"/>
      <c r="I153" s="373"/>
      <c r="J153" s="373"/>
      <c r="K153" s="373"/>
      <c r="L153" s="373"/>
      <c r="M153" s="373"/>
      <c r="N153" s="373"/>
      <c r="O153" s="373"/>
      <c r="P153" s="373"/>
      <c r="Q153" s="373"/>
      <c r="R153" s="373"/>
      <c r="S153" s="373"/>
      <c r="T153" s="373"/>
      <c r="U153" s="373"/>
      <c r="V153" s="373"/>
      <c r="W153" s="373"/>
      <c r="X153" s="373"/>
      <c r="Y153" s="373"/>
      <c r="Z153" s="373"/>
      <c r="AA153" s="373"/>
      <c r="AB153" s="373"/>
      <c r="AC153" s="373"/>
      <c r="AD153" s="373"/>
      <c r="AE153" s="373"/>
      <c r="AF153" s="373"/>
      <c r="AG153" s="373"/>
      <c r="AH153" s="373"/>
      <c r="AI153" s="373"/>
      <c r="AJ153" s="373"/>
      <c r="AK153" s="373"/>
      <c r="AL153" s="373"/>
      <c r="AM153" s="373"/>
    </row>
    <row r="155" spans="1:39">
      <c r="B155" s="279" t="s">
        <v>498</v>
      </c>
      <c r="C155" s="374">
        <f>IRR(D149:AB149)</f>
        <v>9.6595321728172312E-2</v>
      </c>
    </row>
    <row r="156" spans="1:39">
      <c r="B156" s="279" t="s">
        <v>499</v>
      </c>
      <c r="C156" s="374">
        <f>IRR(D150:AB150)</f>
        <v>5.7246795943813211E-2</v>
      </c>
    </row>
    <row r="157" spans="1:39">
      <c r="B157" s="885" t="s">
        <v>500</v>
      </c>
      <c r="C157" s="725" t="str">
        <f>CostofCap_DiscountRate</f>
        <v>Cost of Capital Imp Rate</v>
      </c>
      <c r="D157" s="356">
        <f>NPV(CstofCapImpDiscRate,$D$149:$AB$149)</f>
        <v>5998127.7024853546</v>
      </c>
    </row>
    <row r="158" spans="1:39">
      <c r="B158" s="885"/>
      <c r="C158" s="726" t="str">
        <f>SocDiscountRateVal</f>
        <v xml:space="preserve">Social Discount </v>
      </c>
      <c r="D158" s="260">
        <f>NPV(SocDiscRate,$D$149:$AB$149)</f>
        <v>-617490.06145839288</v>
      </c>
    </row>
    <row r="159" spans="1:39">
      <c r="B159" s="886"/>
      <c r="C159" s="727" t="str">
        <f>'ProgrBiogas Electricity Fin Anl'!C162</f>
        <v>ESCO Discount Rate</v>
      </c>
      <c r="D159" s="375">
        <f>NPV(PvESCODiscRate,$D$149:$AB$149)</f>
        <v>-1729641.5623348297</v>
      </c>
    </row>
    <row r="160" spans="1:39">
      <c r="B160" s="884" t="s">
        <v>501</v>
      </c>
      <c r="C160" s="725" t="str">
        <f>+C157</f>
        <v>Cost of Capital Imp Rate</v>
      </c>
      <c r="D160" s="356">
        <f>NPV(CstofCapImpDiscRate,$D$150:$AB$150)</f>
        <v>3153861.4058863199</v>
      </c>
    </row>
    <row r="161" spans="2:4">
      <c r="B161" s="885"/>
      <c r="C161" s="726" t="str">
        <f>C158</f>
        <v xml:space="preserve">Social Discount </v>
      </c>
      <c r="D161" s="260">
        <f>NPV(SocDiscRate,$D$150:$AB$150)</f>
        <v>-1617447.7940510774</v>
      </c>
    </row>
    <row r="162" spans="2:4">
      <c r="B162" s="886"/>
      <c r="C162" s="727" t="str">
        <f>C159</f>
        <v>ESCO Discount Rate</v>
      </c>
      <c r="D162" s="375">
        <f>NPV(PvESCODiscRate,$D$150:$AB$150)</f>
        <v>-2367176.4533185926</v>
      </c>
    </row>
  </sheetData>
  <mergeCells count="6">
    <mergeCell ref="B160:B162"/>
    <mergeCell ref="B33:D33"/>
    <mergeCell ref="B43:D43"/>
    <mergeCell ref="B51:D51"/>
    <mergeCell ref="B59:D59"/>
    <mergeCell ref="B157:B159"/>
  </mergeCells>
  <hyperlinks>
    <hyperlink ref="E23" r:id="rId1" xr:uid="{ED5C7F61-93BF-48F7-9D6D-FFB508D24DF7}"/>
  </hyperlinks>
  <pageMargins left="0.75" right="0.75" top="1" bottom="1" header="0.5" footer="0.5"/>
  <pageSetup orientation="portrait" horizontalDpi="1200" verticalDpi="1200" r:id="rId2"/>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BDEC9A-F405-4029-B987-3479BCC77ADC}">
  <sheetPr codeName="Sheet8">
    <tabColor rgb="FFFF0000"/>
  </sheetPr>
  <dimension ref="A1:AB67"/>
  <sheetViews>
    <sheetView topLeftCell="A30" zoomScale="90" zoomScaleNormal="90" workbookViewId="0">
      <selection activeCell="D17" sqref="D17"/>
    </sheetView>
  </sheetViews>
  <sheetFormatPr defaultColWidth="11.42578125" defaultRowHeight="14.45"/>
  <cols>
    <col min="1" max="1" width="18" style="122" customWidth="1"/>
    <col min="2" max="2" width="75.28515625" style="122" customWidth="1"/>
    <col min="3" max="3" width="24.85546875" style="122" bestFit="1" customWidth="1"/>
    <col min="4" max="4" width="20.85546875" style="122" customWidth="1"/>
    <col min="5" max="5" width="16.42578125" style="122" bestFit="1" customWidth="1"/>
    <col min="6" max="23" width="15.7109375" style="122" bestFit="1" customWidth="1"/>
    <col min="24" max="24" width="15" style="122" customWidth="1"/>
    <col min="25" max="25" width="17.28515625" style="122" customWidth="1"/>
    <col min="26" max="26" width="17.42578125" style="122" customWidth="1"/>
    <col min="27" max="27" width="16.140625" style="122" customWidth="1"/>
    <col min="28" max="28" width="14.85546875" style="122" customWidth="1"/>
    <col min="29" max="16384" width="11.42578125" style="122"/>
  </cols>
  <sheetData>
    <row r="1" spans="1:28" ht="17.45">
      <c r="A1" s="152"/>
      <c r="B1" s="152"/>
      <c r="C1" s="152"/>
      <c r="D1" s="156" t="s">
        <v>639</v>
      </c>
      <c r="E1" s="152"/>
      <c r="F1" s="152"/>
      <c r="G1" s="152"/>
      <c r="H1" s="152"/>
      <c r="I1" s="152"/>
      <c r="J1" s="152"/>
      <c r="K1" s="152"/>
      <c r="L1" s="152"/>
      <c r="M1" s="152"/>
      <c r="N1" s="152"/>
      <c r="O1" s="152"/>
      <c r="P1" s="152"/>
      <c r="Q1" s="152"/>
      <c r="R1" s="152"/>
      <c r="S1" s="152"/>
      <c r="T1" s="152"/>
      <c r="U1" s="152"/>
      <c r="V1" s="152"/>
      <c r="W1" s="152"/>
      <c r="X1" s="152"/>
      <c r="Y1" s="152"/>
      <c r="Z1" s="152"/>
      <c r="AA1" s="152"/>
      <c r="AB1" s="152"/>
    </row>
    <row r="2" spans="1:28">
      <c r="A2" s="152"/>
      <c r="B2" s="151"/>
      <c r="C2" s="155"/>
      <c r="E2" s="155"/>
      <c r="F2" s="155"/>
      <c r="G2" s="155"/>
      <c r="H2" s="155"/>
      <c r="I2" s="155"/>
      <c r="J2" s="155"/>
      <c r="K2" s="155"/>
      <c r="L2" s="155"/>
      <c r="M2" s="155"/>
      <c r="N2" s="155"/>
      <c r="O2" s="155"/>
      <c r="P2" s="155"/>
      <c r="Q2" s="155"/>
      <c r="R2" s="155"/>
      <c r="S2" s="155"/>
      <c r="T2" s="155"/>
      <c r="U2" s="155"/>
      <c r="V2" s="155"/>
      <c r="W2" s="155"/>
      <c r="X2" s="155"/>
      <c r="Y2" s="155"/>
      <c r="Z2" s="155"/>
      <c r="AA2" s="155"/>
      <c r="AB2" s="155"/>
    </row>
    <row r="3" spans="1:28" ht="17.45">
      <c r="A3" s="152"/>
      <c r="B3" s="151" t="s">
        <v>14</v>
      </c>
      <c r="C3" s="152"/>
      <c r="D3" s="152"/>
      <c r="E3" s="152"/>
      <c r="F3" s="155"/>
      <c r="G3" s="159" t="s">
        <v>66</v>
      </c>
      <c r="H3" s="158"/>
      <c r="I3" s="155"/>
      <c r="J3" s="155"/>
      <c r="K3" s="155"/>
      <c r="L3" s="155"/>
      <c r="M3" s="155"/>
      <c r="N3" s="155"/>
      <c r="O3" s="155"/>
      <c r="P3" s="155"/>
      <c r="Q3" s="155"/>
      <c r="R3" s="155"/>
      <c r="S3" s="155"/>
      <c r="T3" s="155"/>
      <c r="U3" s="155"/>
      <c r="V3" s="155"/>
      <c r="W3" s="155"/>
      <c r="X3" s="155"/>
      <c r="Y3" s="155"/>
      <c r="Z3" s="155"/>
      <c r="AA3" s="155"/>
      <c r="AB3" s="155"/>
    </row>
    <row r="4" spans="1:28">
      <c r="A4" s="152"/>
      <c r="B4" s="153" t="s">
        <v>16</v>
      </c>
      <c r="C4" s="152"/>
      <c r="D4" s="152"/>
      <c r="E4" s="152"/>
      <c r="F4" s="155"/>
      <c r="G4" s="837" t="s">
        <v>17</v>
      </c>
      <c r="H4" s="155"/>
      <c r="I4" s="155"/>
      <c r="J4" s="193">
        <f>EnergyDemand!F86/1000</f>
        <v>0.78804000000000007</v>
      </c>
      <c r="K4" s="155"/>
      <c r="L4" s="155"/>
      <c r="M4" s="155"/>
      <c r="N4" s="155"/>
      <c r="O4" s="155"/>
      <c r="P4" s="155"/>
      <c r="Q4" s="155"/>
      <c r="R4" s="155"/>
      <c r="S4" s="155"/>
      <c r="T4" s="155"/>
      <c r="U4" s="155"/>
      <c r="V4" s="155"/>
      <c r="W4" s="155"/>
      <c r="X4" s="155"/>
      <c r="Y4" s="155"/>
      <c r="Z4" s="155"/>
      <c r="AA4" s="155"/>
      <c r="AB4" s="155"/>
    </row>
    <row r="5" spans="1:28" ht="17.45">
      <c r="A5" s="152"/>
      <c r="B5" s="154" t="s">
        <v>18</v>
      </c>
      <c r="C5" s="152"/>
      <c r="D5" s="152"/>
      <c r="E5" s="152"/>
      <c r="F5" s="155"/>
      <c r="G5" s="837" t="s">
        <v>19</v>
      </c>
      <c r="H5" s="156"/>
      <c r="I5" s="155"/>
      <c r="J5" s="804">
        <f>EnergyDemand!D49/1000</f>
        <v>3.2730852300000004</v>
      </c>
      <c r="K5" s="155"/>
      <c r="L5" s="155"/>
      <c r="M5" s="155"/>
      <c r="N5" s="155"/>
      <c r="O5" s="155"/>
      <c r="P5" s="155"/>
      <c r="Q5" s="155"/>
      <c r="R5" s="155"/>
      <c r="S5" s="155"/>
      <c r="T5" s="155"/>
      <c r="U5" s="155"/>
      <c r="V5" s="155"/>
      <c r="W5" s="155"/>
      <c r="X5" s="155"/>
      <c r="Y5" s="155"/>
      <c r="Z5" s="155"/>
      <c r="AA5" s="155"/>
      <c r="AB5" s="155"/>
    </row>
    <row r="6" spans="1:28" ht="17.45">
      <c r="A6" s="152"/>
      <c r="B6" s="151"/>
      <c r="C6" s="155"/>
      <c r="D6" s="156"/>
      <c r="E6" s="155"/>
      <c r="F6" s="155"/>
      <c r="G6" s="837" t="s">
        <v>20</v>
      </c>
      <c r="H6" s="155"/>
      <c r="I6" s="155"/>
      <c r="J6" s="470">
        <f>+'Assump&amp;Est_Senegal'!D24</f>
        <v>5218.5905985576919</v>
      </c>
      <c r="K6" s="155"/>
      <c r="L6" s="155"/>
      <c r="M6" s="155"/>
      <c r="N6" s="155"/>
      <c r="O6" s="155"/>
      <c r="P6" s="155"/>
      <c r="Q6" s="155"/>
      <c r="R6" s="155"/>
      <c r="S6" s="155"/>
      <c r="T6" s="155"/>
      <c r="U6" s="155"/>
      <c r="V6" s="155"/>
      <c r="W6" s="155"/>
      <c r="X6" s="155"/>
      <c r="Y6" s="155"/>
      <c r="Z6" s="155"/>
      <c r="AA6" s="155"/>
      <c r="AB6" s="155"/>
    </row>
    <row r="7" spans="1:28">
      <c r="A7" s="152"/>
      <c r="B7" s="151"/>
      <c r="C7" s="155"/>
      <c r="D7" s="155"/>
      <c r="E7" s="155"/>
      <c r="F7" s="155"/>
      <c r="G7" s="155"/>
      <c r="H7" s="155"/>
      <c r="I7" s="155"/>
      <c r="J7" s="155"/>
      <c r="K7" s="155"/>
      <c r="L7" s="155"/>
      <c r="M7" s="155"/>
      <c r="N7" s="155"/>
      <c r="O7" s="155"/>
      <c r="P7" s="155"/>
      <c r="Q7" s="155"/>
      <c r="R7" s="155"/>
      <c r="S7" s="155"/>
      <c r="T7" s="155"/>
      <c r="U7" s="155"/>
      <c r="V7" s="155"/>
      <c r="W7" s="155"/>
      <c r="X7" s="155"/>
      <c r="Y7" s="155"/>
      <c r="Z7" s="155"/>
      <c r="AA7" s="155"/>
      <c r="AB7" s="155"/>
    </row>
    <row r="8" spans="1:28">
      <c r="A8" s="157" t="s">
        <v>21</v>
      </c>
      <c r="B8" s="153"/>
      <c r="C8" s="184">
        <v>0.64</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row>
    <row r="9" spans="1:28">
      <c r="A9" s="152"/>
      <c r="B9" s="151" t="s">
        <v>23</v>
      </c>
      <c r="C9" s="162">
        <f>5*365</f>
        <v>1825</v>
      </c>
      <c r="D9" s="163"/>
      <c r="E9" s="163"/>
      <c r="F9" s="163"/>
      <c r="G9" s="163"/>
      <c r="H9" s="163"/>
      <c r="I9" s="163"/>
      <c r="J9" s="163"/>
      <c r="K9" s="163"/>
      <c r="L9" s="163"/>
      <c r="M9" s="163"/>
      <c r="N9" s="163"/>
      <c r="O9" s="163"/>
      <c r="P9" s="163"/>
      <c r="Q9" s="163"/>
      <c r="R9" s="163"/>
      <c r="S9" s="163"/>
      <c r="T9" s="163"/>
      <c r="U9" s="163"/>
      <c r="V9" s="163"/>
      <c r="W9" s="163"/>
      <c r="X9" s="163"/>
      <c r="Y9" s="163"/>
      <c r="Z9" s="163"/>
      <c r="AA9" s="163"/>
      <c r="AB9" s="163"/>
    </row>
    <row r="10" spans="1:28">
      <c r="A10" s="152"/>
      <c r="B10" s="151" t="s">
        <v>24</v>
      </c>
      <c r="C10" s="162">
        <f>12*365</f>
        <v>4380</v>
      </c>
      <c r="D10" s="163"/>
      <c r="E10" s="163"/>
      <c r="F10" s="163"/>
      <c r="G10" s="163"/>
      <c r="H10" s="163"/>
      <c r="I10" s="163"/>
      <c r="J10" s="163"/>
      <c r="K10" s="163"/>
      <c r="L10" s="163"/>
      <c r="M10" s="163"/>
      <c r="N10" s="163"/>
      <c r="O10" s="163"/>
      <c r="P10" s="163"/>
      <c r="Q10" s="163"/>
      <c r="R10" s="163"/>
      <c r="S10" s="163"/>
      <c r="T10" s="163"/>
      <c r="U10" s="163"/>
      <c r="V10" s="163"/>
      <c r="W10" s="163"/>
      <c r="X10" s="163"/>
      <c r="Y10" s="163"/>
      <c r="Z10" s="163"/>
      <c r="AA10" s="163"/>
      <c r="AB10" s="163"/>
    </row>
    <row r="11" spans="1:28">
      <c r="A11" s="152"/>
      <c r="B11" s="151" t="s">
        <v>25</v>
      </c>
      <c r="C11" s="162">
        <f>12*365</f>
        <v>4380</v>
      </c>
      <c r="D11" s="163"/>
      <c r="E11" s="163"/>
      <c r="F11" s="163"/>
      <c r="G11" s="163"/>
      <c r="H11" s="163"/>
      <c r="I11" s="163"/>
      <c r="J11" s="163"/>
      <c r="K11" s="163"/>
      <c r="L11" s="163"/>
      <c r="M11" s="163"/>
      <c r="N11" s="163"/>
      <c r="O11" s="163"/>
      <c r="P11" s="163"/>
      <c r="Q11" s="163"/>
      <c r="R11" s="163"/>
      <c r="S11" s="163"/>
      <c r="T11" s="163"/>
      <c r="U11" s="163"/>
      <c r="V11" s="163"/>
      <c r="W11" s="163"/>
      <c r="X11" s="163"/>
      <c r="Y11" s="163"/>
      <c r="Z11" s="163"/>
      <c r="AA11" s="163"/>
      <c r="AB11" s="163"/>
    </row>
    <row r="12" spans="1:28">
      <c r="A12" s="152"/>
      <c r="B12" s="151" t="s">
        <v>26</v>
      </c>
      <c r="C12" s="162">
        <v>0.8</v>
      </c>
      <c r="D12" s="163"/>
      <c r="E12" s="163"/>
      <c r="F12" s="163"/>
      <c r="G12" s="163"/>
      <c r="H12" s="163"/>
      <c r="I12" s="163"/>
      <c r="J12" s="163"/>
      <c r="K12" s="163"/>
      <c r="L12" s="163"/>
      <c r="M12" s="163"/>
      <c r="N12" s="163"/>
      <c r="O12" s="163"/>
      <c r="P12" s="163"/>
      <c r="Q12" s="163"/>
      <c r="R12" s="163"/>
      <c r="S12" s="163"/>
      <c r="T12" s="163"/>
      <c r="U12" s="163"/>
      <c r="V12" s="163"/>
      <c r="W12" s="163"/>
      <c r="X12" s="163"/>
      <c r="Y12" s="163"/>
      <c r="Z12" s="163"/>
      <c r="AA12" s="163"/>
      <c r="AB12" s="163"/>
    </row>
    <row r="13" spans="1:28">
      <c r="A13" s="152"/>
      <c r="B13" s="151" t="s">
        <v>27</v>
      </c>
      <c r="C13" s="162">
        <v>25</v>
      </c>
      <c r="D13" s="163"/>
      <c r="E13" s="163"/>
      <c r="F13" s="163"/>
      <c r="G13" s="163"/>
      <c r="H13" s="163"/>
      <c r="I13" s="163"/>
      <c r="J13" s="163"/>
      <c r="K13" s="163"/>
      <c r="L13" s="163"/>
      <c r="M13" s="163"/>
      <c r="N13" s="163"/>
      <c r="O13" s="163"/>
      <c r="P13" s="163"/>
      <c r="Q13" s="163"/>
      <c r="R13" s="163"/>
      <c r="S13" s="163"/>
      <c r="T13" s="163"/>
      <c r="U13" s="163"/>
      <c r="V13" s="163"/>
      <c r="W13" s="163"/>
      <c r="X13" s="163"/>
      <c r="Y13" s="163"/>
      <c r="Z13" s="163"/>
      <c r="AA13" s="163"/>
      <c r="AB13" s="163"/>
    </row>
    <row r="14" spans="1:28">
      <c r="A14" s="152"/>
      <c r="B14" s="151" t="s">
        <v>28</v>
      </c>
      <c r="C14" s="165">
        <f>+J6/'SCPZ Biogas Assump&amp; Estimation'!E32</f>
        <v>0.21233927651626461</v>
      </c>
      <c r="D14" s="163"/>
      <c r="E14" s="163"/>
      <c r="F14" s="163"/>
      <c r="G14" s="163"/>
      <c r="H14" s="163"/>
      <c r="I14" s="163"/>
      <c r="J14" s="163"/>
      <c r="K14" s="163"/>
      <c r="L14" s="163"/>
      <c r="M14" s="163"/>
      <c r="N14" s="163"/>
      <c r="O14" s="163"/>
      <c r="P14" s="163"/>
      <c r="Q14" s="163"/>
      <c r="R14" s="163"/>
      <c r="S14" s="163"/>
      <c r="T14" s="163"/>
      <c r="U14" s="163"/>
      <c r="V14" s="163"/>
      <c r="W14" s="163"/>
      <c r="X14" s="163"/>
      <c r="Y14" s="163"/>
      <c r="Z14" s="163"/>
      <c r="AA14" s="163"/>
      <c r="AB14" s="163"/>
    </row>
    <row r="15" spans="1:28">
      <c r="A15" s="152"/>
      <c r="B15" s="151"/>
      <c r="C15" s="164"/>
      <c r="D15" s="163"/>
      <c r="E15" s="163"/>
      <c r="F15" s="163"/>
      <c r="G15" s="163"/>
      <c r="H15" s="163"/>
      <c r="I15" s="163"/>
      <c r="J15" s="163"/>
      <c r="K15" s="163"/>
      <c r="L15" s="163"/>
      <c r="M15" s="163"/>
      <c r="N15" s="163"/>
      <c r="O15" s="163"/>
      <c r="P15" s="163"/>
      <c r="Q15" s="163"/>
      <c r="R15" s="163"/>
      <c r="S15" s="163"/>
      <c r="T15" s="163"/>
      <c r="U15" s="163"/>
      <c r="V15" s="163"/>
      <c r="W15" s="163"/>
      <c r="X15" s="163"/>
      <c r="Y15" s="163"/>
      <c r="Z15" s="163"/>
      <c r="AA15" s="163"/>
      <c r="AB15" s="163"/>
    </row>
    <row r="16" spans="1:28">
      <c r="A16" s="152"/>
      <c r="B16" s="120" t="s">
        <v>67</v>
      </c>
      <c r="C16" s="121"/>
      <c r="D16" s="121">
        <v>1</v>
      </c>
      <c r="E16" s="121">
        <v>2</v>
      </c>
      <c r="F16" s="121">
        <v>3</v>
      </c>
      <c r="G16" s="121">
        <v>4</v>
      </c>
      <c r="H16" s="121">
        <v>5</v>
      </c>
      <c r="I16" s="121">
        <v>6</v>
      </c>
      <c r="J16" s="121">
        <v>7</v>
      </c>
      <c r="K16" s="121">
        <v>8</v>
      </c>
      <c r="L16" s="121">
        <v>9</v>
      </c>
      <c r="M16" s="121">
        <v>10</v>
      </c>
      <c r="N16" s="121">
        <v>11</v>
      </c>
      <c r="O16" s="121">
        <v>12</v>
      </c>
      <c r="P16" s="121">
        <v>13</v>
      </c>
      <c r="Q16" s="121">
        <v>14</v>
      </c>
      <c r="R16" s="121">
        <v>15</v>
      </c>
      <c r="S16" s="121">
        <v>16</v>
      </c>
      <c r="T16" s="121">
        <v>17</v>
      </c>
      <c r="U16" s="121">
        <v>18</v>
      </c>
      <c r="V16" s="121">
        <v>19</v>
      </c>
      <c r="W16" s="121">
        <v>20</v>
      </c>
      <c r="X16" s="121">
        <v>21</v>
      </c>
      <c r="Y16" s="121">
        <v>22</v>
      </c>
      <c r="Z16" s="121">
        <v>23</v>
      </c>
      <c r="AA16" s="121">
        <v>24</v>
      </c>
      <c r="AB16" s="121">
        <v>25</v>
      </c>
    </row>
    <row r="17" spans="1:28">
      <c r="A17" s="157" t="s">
        <v>29</v>
      </c>
      <c r="B17" s="839" t="s">
        <v>31</v>
      </c>
      <c r="C17" s="166"/>
      <c r="D17" s="161">
        <f>'SenSolarPV Financial Analys'!D19/1000</f>
        <v>1150.5384000000001</v>
      </c>
      <c r="E17" s="161">
        <f>+D17</f>
        <v>1150.5384000000001</v>
      </c>
      <c r="F17" s="161">
        <f t="shared" ref="F17:AB19" si="0">+E17</f>
        <v>1150.5384000000001</v>
      </c>
      <c r="G17" s="161">
        <f t="shared" si="0"/>
        <v>1150.5384000000001</v>
      </c>
      <c r="H17" s="161">
        <f t="shared" si="0"/>
        <v>1150.5384000000001</v>
      </c>
      <c r="I17" s="161">
        <f t="shared" si="0"/>
        <v>1150.5384000000001</v>
      </c>
      <c r="J17" s="161">
        <f t="shared" si="0"/>
        <v>1150.5384000000001</v>
      </c>
      <c r="K17" s="161">
        <f t="shared" si="0"/>
        <v>1150.5384000000001</v>
      </c>
      <c r="L17" s="161">
        <f t="shared" si="0"/>
        <v>1150.5384000000001</v>
      </c>
      <c r="M17" s="161">
        <f t="shared" si="0"/>
        <v>1150.5384000000001</v>
      </c>
      <c r="N17" s="161">
        <f t="shared" si="0"/>
        <v>1150.5384000000001</v>
      </c>
      <c r="O17" s="161">
        <f t="shared" si="0"/>
        <v>1150.5384000000001</v>
      </c>
      <c r="P17" s="161">
        <f t="shared" si="0"/>
        <v>1150.5384000000001</v>
      </c>
      <c r="Q17" s="161">
        <f t="shared" si="0"/>
        <v>1150.5384000000001</v>
      </c>
      <c r="R17" s="161">
        <f t="shared" si="0"/>
        <v>1150.5384000000001</v>
      </c>
      <c r="S17" s="161">
        <f t="shared" si="0"/>
        <v>1150.5384000000001</v>
      </c>
      <c r="T17" s="161">
        <f t="shared" si="0"/>
        <v>1150.5384000000001</v>
      </c>
      <c r="U17" s="161">
        <f t="shared" si="0"/>
        <v>1150.5384000000001</v>
      </c>
      <c r="V17" s="161">
        <f t="shared" si="0"/>
        <v>1150.5384000000001</v>
      </c>
      <c r="W17" s="161">
        <f t="shared" si="0"/>
        <v>1150.5384000000001</v>
      </c>
      <c r="X17" s="161">
        <f t="shared" si="0"/>
        <v>1150.5384000000001</v>
      </c>
      <c r="Y17" s="161">
        <f t="shared" si="0"/>
        <v>1150.5384000000001</v>
      </c>
      <c r="Z17" s="161">
        <f t="shared" si="0"/>
        <v>1150.5384000000001</v>
      </c>
      <c r="AA17" s="161">
        <f t="shared" si="0"/>
        <v>1150.5384000000001</v>
      </c>
      <c r="AB17" s="161">
        <f t="shared" si="0"/>
        <v>1150.5384000000001</v>
      </c>
    </row>
    <row r="18" spans="1:28">
      <c r="A18" s="152"/>
      <c r="B18" s="837" t="s">
        <v>32</v>
      </c>
      <c r="C18" s="164"/>
      <c r="D18" s="163">
        <f>'SenSolarPV Financial Analys'!D20/1000</f>
        <v>11468.890645920002</v>
      </c>
      <c r="E18" s="163">
        <f>+D18</f>
        <v>11468.890645920002</v>
      </c>
      <c r="F18" s="163">
        <f t="shared" si="0"/>
        <v>11468.890645920002</v>
      </c>
      <c r="G18" s="163">
        <f t="shared" si="0"/>
        <v>11468.890645920002</v>
      </c>
      <c r="H18" s="163">
        <f t="shared" si="0"/>
        <v>11468.890645920002</v>
      </c>
      <c r="I18" s="163">
        <f t="shared" si="0"/>
        <v>11468.890645920002</v>
      </c>
      <c r="J18" s="163">
        <f t="shared" si="0"/>
        <v>11468.890645920002</v>
      </c>
      <c r="K18" s="163">
        <f t="shared" si="0"/>
        <v>11468.890645920002</v>
      </c>
      <c r="L18" s="163">
        <f t="shared" si="0"/>
        <v>11468.890645920002</v>
      </c>
      <c r="M18" s="163">
        <f t="shared" si="0"/>
        <v>11468.890645920002</v>
      </c>
      <c r="N18" s="163">
        <f t="shared" si="0"/>
        <v>11468.890645920002</v>
      </c>
      <c r="O18" s="163">
        <f t="shared" si="0"/>
        <v>11468.890645920002</v>
      </c>
      <c r="P18" s="163">
        <f t="shared" si="0"/>
        <v>11468.890645920002</v>
      </c>
      <c r="Q18" s="163">
        <f t="shared" si="0"/>
        <v>11468.890645920002</v>
      </c>
      <c r="R18" s="163">
        <f t="shared" si="0"/>
        <v>11468.890645920002</v>
      </c>
      <c r="S18" s="163">
        <f t="shared" si="0"/>
        <v>11468.890645920002</v>
      </c>
      <c r="T18" s="163">
        <f t="shared" si="0"/>
        <v>11468.890645920002</v>
      </c>
      <c r="U18" s="163">
        <f t="shared" si="0"/>
        <v>11468.890645920002</v>
      </c>
      <c r="V18" s="163">
        <f t="shared" si="0"/>
        <v>11468.890645920002</v>
      </c>
      <c r="W18" s="163">
        <f t="shared" si="0"/>
        <v>11468.890645920002</v>
      </c>
      <c r="X18" s="163">
        <f t="shared" si="0"/>
        <v>11468.890645920002</v>
      </c>
      <c r="Y18" s="163">
        <f t="shared" si="0"/>
        <v>11468.890645920002</v>
      </c>
      <c r="Z18" s="163">
        <f t="shared" si="0"/>
        <v>11468.890645920002</v>
      </c>
      <c r="AA18" s="163">
        <f t="shared" si="0"/>
        <v>11468.890645920002</v>
      </c>
      <c r="AB18" s="163">
        <f t="shared" si="0"/>
        <v>11468.890645920002</v>
      </c>
    </row>
    <row r="19" spans="1:28">
      <c r="A19" s="152"/>
      <c r="B19" s="837" t="s">
        <v>33</v>
      </c>
      <c r="C19" s="164"/>
      <c r="D19" s="163">
        <f>SenegalDigesterAnaly!B68/1000</f>
        <v>9527.0476820815784</v>
      </c>
      <c r="E19" s="163">
        <f>+D19</f>
        <v>9527.0476820815784</v>
      </c>
      <c r="F19" s="163">
        <f t="shared" si="0"/>
        <v>9527.0476820815784</v>
      </c>
      <c r="G19" s="163">
        <f t="shared" si="0"/>
        <v>9527.0476820815784</v>
      </c>
      <c r="H19" s="163">
        <f t="shared" si="0"/>
        <v>9527.0476820815784</v>
      </c>
      <c r="I19" s="163">
        <f t="shared" si="0"/>
        <v>9527.0476820815784</v>
      </c>
      <c r="J19" s="163">
        <f t="shared" si="0"/>
        <v>9527.0476820815784</v>
      </c>
      <c r="K19" s="163">
        <f t="shared" si="0"/>
        <v>9527.0476820815784</v>
      </c>
      <c r="L19" s="163">
        <f t="shared" si="0"/>
        <v>9527.0476820815784</v>
      </c>
      <c r="M19" s="163">
        <f t="shared" si="0"/>
        <v>9527.0476820815784</v>
      </c>
      <c r="N19" s="163">
        <f t="shared" si="0"/>
        <v>9527.0476820815784</v>
      </c>
      <c r="O19" s="163">
        <f t="shared" si="0"/>
        <v>9527.0476820815784</v>
      </c>
      <c r="P19" s="163">
        <f t="shared" si="0"/>
        <v>9527.0476820815784</v>
      </c>
      <c r="Q19" s="163">
        <f t="shared" si="0"/>
        <v>9527.0476820815784</v>
      </c>
      <c r="R19" s="163">
        <f t="shared" si="0"/>
        <v>9527.0476820815784</v>
      </c>
      <c r="S19" s="163">
        <f t="shared" si="0"/>
        <v>9527.0476820815784</v>
      </c>
      <c r="T19" s="163">
        <f t="shared" si="0"/>
        <v>9527.0476820815784</v>
      </c>
      <c r="U19" s="163">
        <f t="shared" si="0"/>
        <v>9527.0476820815784</v>
      </c>
      <c r="V19" s="163">
        <f t="shared" si="0"/>
        <v>9527.0476820815784</v>
      </c>
      <c r="W19" s="163">
        <f t="shared" si="0"/>
        <v>9527.0476820815784</v>
      </c>
      <c r="X19" s="163">
        <f t="shared" si="0"/>
        <v>9527.0476820815784</v>
      </c>
      <c r="Y19" s="163">
        <f t="shared" si="0"/>
        <v>9527.0476820815784</v>
      </c>
      <c r="Z19" s="163">
        <f t="shared" si="0"/>
        <v>9527.0476820815784</v>
      </c>
      <c r="AA19" s="163">
        <f t="shared" si="0"/>
        <v>9527.0476820815784</v>
      </c>
      <c r="AB19" s="163">
        <f t="shared" si="0"/>
        <v>9527.0476820815784</v>
      </c>
    </row>
    <row r="20" spans="1:28">
      <c r="A20" s="152"/>
      <c r="B20" s="151"/>
      <c r="C20" s="164"/>
      <c r="D20" s="163"/>
      <c r="E20" s="163"/>
      <c r="F20" s="163"/>
      <c r="G20" s="163"/>
      <c r="H20" s="163"/>
      <c r="I20" s="163"/>
      <c r="J20" s="163"/>
      <c r="K20" s="163"/>
      <c r="L20" s="163"/>
      <c r="M20" s="163"/>
      <c r="N20" s="163"/>
      <c r="O20" s="163"/>
      <c r="P20" s="163"/>
      <c r="Q20" s="163"/>
      <c r="R20" s="163"/>
      <c r="S20" s="163"/>
      <c r="T20" s="163"/>
      <c r="U20" s="163"/>
      <c r="V20" s="163"/>
      <c r="W20" s="163"/>
      <c r="X20" s="163"/>
      <c r="Y20" s="163"/>
      <c r="Z20" s="163"/>
      <c r="AA20" s="163"/>
      <c r="AB20" s="163"/>
    </row>
    <row r="21" spans="1:28">
      <c r="A21" s="152"/>
      <c r="B21" s="123"/>
      <c r="C21" s="131"/>
      <c r="D21" s="124"/>
      <c r="E21" s="124"/>
      <c r="F21" s="124"/>
      <c r="G21" s="124"/>
      <c r="H21" s="124"/>
      <c r="I21" s="124"/>
      <c r="J21" s="124"/>
      <c r="K21" s="124"/>
      <c r="L21" s="124"/>
      <c r="M21" s="124"/>
      <c r="N21" s="124"/>
      <c r="O21" s="124"/>
      <c r="P21" s="124"/>
      <c r="Q21" s="124"/>
      <c r="R21" s="124"/>
      <c r="S21" s="124"/>
      <c r="T21" s="124"/>
      <c r="U21" s="124"/>
      <c r="V21" s="124"/>
      <c r="W21" s="124"/>
      <c r="X21" s="124"/>
      <c r="Y21" s="124"/>
      <c r="Z21" s="124"/>
      <c r="AA21" s="124"/>
      <c r="AB21" s="124"/>
    </row>
    <row r="22" spans="1:28">
      <c r="A22" s="157" t="s">
        <v>34</v>
      </c>
      <c r="B22" s="839" t="s">
        <v>35</v>
      </c>
      <c r="C22" s="169"/>
      <c r="D22" s="170">
        <f>-'SenSolarPV Financial Analys'!D117</f>
        <v>3366.3588922896201</v>
      </c>
      <c r="E22" s="170">
        <f>+D22</f>
        <v>3366.3588922896201</v>
      </c>
      <c r="F22" s="170">
        <f t="shared" ref="F22:AB25" si="1">+E22</f>
        <v>3366.3588922896201</v>
      </c>
      <c r="G22" s="170">
        <f t="shared" si="1"/>
        <v>3366.3588922896201</v>
      </c>
      <c r="H22" s="170">
        <f t="shared" si="1"/>
        <v>3366.3588922896201</v>
      </c>
      <c r="I22" s="170">
        <f t="shared" si="1"/>
        <v>3366.3588922896201</v>
      </c>
      <c r="J22" s="170">
        <f t="shared" si="1"/>
        <v>3366.3588922896201</v>
      </c>
      <c r="K22" s="170">
        <f t="shared" si="1"/>
        <v>3366.3588922896201</v>
      </c>
      <c r="L22" s="170">
        <f t="shared" si="1"/>
        <v>3366.3588922896201</v>
      </c>
      <c r="M22" s="170">
        <f t="shared" si="1"/>
        <v>3366.3588922896201</v>
      </c>
      <c r="N22" s="170">
        <f t="shared" si="1"/>
        <v>3366.3588922896201</v>
      </c>
      <c r="O22" s="170">
        <f t="shared" si="1"/>
        <v>3366.3588922896201</v>
      </c>
      <c r="P22" s="170">
        <f t="shared" si="1"/>
        <v>3366.3588922896201</v>
      </c>
      <c r="Q22" s="170">
        <f t="shared" si="1"/>
        <v>3366.3588922896201</v>
      </c>
      <c r="R22" s="170">
        <f t="shared" si="1"/>
        <v>3366.3588922896201</v>
      </c>
      <c r="S22" s="170">
        <f t="shared" si="1"/>
        <v>3366.3588922896201</v>
      </c>
      <c r="T22" s="170">
        <f t="shared" si="1"/>
        <v>3366.3588922896201</v>
      </c>
      <c r="U22" s="170">
        <f t="shared" si="1"/>
        <v>3366.3588922896201</v>
      </c>
      <c r="V22" s="170">
        <f t="shared" si="1"/>
        <v>3366.3588922896201</v>
      </c>
      <c r="W22" s="170">
        <f t="shared" si="1"/>
        <v>3366.3588922896201</v>
      </c>
      <c r="X22" s="170">
        <f t="shared" si="1"/>
        <v>3366.3588922896201</v>
      </c>
      <c r="Y22" s="170">
        <f t="shared" si="1"/>
        <v>3366.3588922896201</v>
      </c>
      <c r="Z22" s="170">
        <f t="shared" si="1"/>
        <v>3366.3588922896201</v>
      </c>
      <c r="AA22" s="170">
        <f t="shared" si="1"/>
        <v>3366.3588922896201</v>
      </c>
      <c r="AB22" s="170">
        <f t="shared" si="1"/>
        <v>3366.3588922896201</v>
      </c>
    </row>
    <row r="23" spans="1:28">
      <c r="A23" s="151"/>
      <c r="B23" s="837" t="s">
        <v>36</v>
      </c>
      <c r="C23" s="167"/>
      <c r="D23" s="167">
        <f>+C13*SenegalDigesterAnaly!G12</f>
        <v>101369.06886158264</v>
      </c>
      <c r="E23" s="167">
        <f>+D23</f>
        <v>101369.06886158264</v>
      </c>
      <c r="F23" s="167">
        <f t="shared" si="1"/>
        <v>101369.06886158264</v>
      </c>
      <c r="G23" s="167">
        <f t="shared" si="1"/>
        <v>101369.06886158264</v>
      </c>
      <c r="H23" s="167">
        <f t="shared" si="1"/>
        <v>101369.06886158264</v>
      </c>
      <c r="I23" s="167">
        <f t="shared" si="1"/>
        <v>101369.06886158264</v>
      </c>
      <c r="J23" s="167">
        <f t="shared" si="1"/>
        <v>101369.06886158264</v>
      </c>
      <c r="K23" s="167">
        <f t="shared" si="1"/>
        <v>101369.06886158264</v>
      </c>
      <c r="L23" s="167">
        <f t="shared" si="1"/>
        <v>101369.06886158264</v>
      </c>
      <c r="M23" s="167">
        <f t="shared" si="1"/>
        <v>101369.06886158264</v>
      </c>
      <c r="N23" s="167">
        <f t="shared" si="1"/>
        <v>101369.06886158264</v>
      </c>
      <c r="O23" s="167">
        <f t="shared" si="1"/>
        <v>101369.06886158264</v>
      </c>
      <c r="P23" s="167">
        <f t="shared" si="1"/>
        <v>101369.06886158264</v>
      </c>
      <c r="Q23" s="167">
        <f t="shared" si="1"/>
        <v>101369.06886158264</v>
      </c>
      <c r="R23" s="167">
        <f t="shared" si="1"/>
        <v>101369.06886158264</v>
      </c>
      <c r="S23" s="167">
        <f t="shared" si="1"/>
        <v>101369.06886158264</v>
      </c>
      <c r="T23" s="167">
        <f t="shared" si="1"/>
        <v>101369.06886158264</v>
      </c>
      <c r="U23" s="167">
        <f t="shared" si="1"/>
        <v>101369.06886158264</v>
      </c>
      <c r="V23" s="167">
        <f t="shared" si="1"/>
        <v>101369.06886158264</v>
      </c>
      <c r="W23" s="167">
        <f t="shared" si="1"/>
        <v>101369.06886158264</v>
      </c>
      <c r="X23" s="167">
        <f t="shared" si="1"/>
        <v>101369.06886158264</v>
      </c>
      <c r="Y23" s="167">
        <f t="shared" si="1"/>
        <v>101369.06886158264</v>
      </c>
      <c r="Z23" s="167">
        <f t="shared" si="1"/>
        <v>101369.06886158264</v>
      </c>
      <c r="AA23" s="167">
        <f t="shared" si="1"/>
        <v>101369.06886158264</v>
      </c>
      <c r="AB23" s="167">
        <f t="shared" si="1"/>
        <v>101369.06886158264</v>
      </c>
    </row>
    <row r="24" spans="1:28" s="730" customFormat="1" hidden="1">
      <c r="A24" s="729"/>
      <c r="B24" s="865" t="s">
        <v>640</v>
      </c>
      <c r="D24" s="731">
        <f>+C10*J5*C8</f>
        <v>9175.1125167360005</v>
      </c>
      <c r="E24" s="731">
        <f>+D24</f>
        <v>9175.1125167360005</v>
      </c>
      <c r="F24" s="731">
        <f t="shared" si="1"/>
        <v>9175.1125167360005</v>
      </c>
      <c r="G24" s="731">
        <f t="shared" si="1"/>
        <v>9175.1125167360005</v>
      </c>
      <c r="H24" s="731">
        <f t="shared" si="1"/>
        <v>9175.1125167360005</v>
      </c>
      <c r="I24" s="731">
        <f t="shared" si="1"/>
        <v>9175.1125167360005</v>
      </c>
      <c r="J24" s="731">
        <f t="shared" si="1"/>
        <v>9175.1125167360005</v>
      </c>
      <c r="K24" s="731">
        <f t="shared" si="1"/>
        <v>9175.1125167360005</v>
      </c>
      <c r="L24" s="731">
        <f t="shared" si="1"/>
        <v>9175.1125167360005</v>
      </c>
      <c r="M24" s="731">
        <f t="shared" si="1"/>
        <v>9175.1125167360005</v>
      </c>
      <c r="N24" s="731">
        <f t="shared" si="1"/>
        <v>9175.1125167360005</v>
      </c>
      <c r="O24" s="731">
        <f t="shared" si="1"/>
        <v>9175.1125167360005</v>
      </c>
      <c r="P24" s="731">
        <f t="shared" si="1"/>
        <v>9175.1125167360005</v>
      </c>
      <c r="Q24" s="731">
        <f t="shared" si="1"/>
        <v>9175.1125167360005</v>
      </c>
      <c r="R24" s="731">
        <f t="shared" si="1"/>
        <v>9175.1125167360005</v>
      </c>
      <c r="S24" s="731">
        <f t="shared" si="1"/>
        <v>9175.1125167360005</v>
      </c>
      <c r="T24" s="731">
        <f t="shared" si="1"/>
        <v>9175.1125167360005</v>
      </c>
      <c r="U24" s="731">
        <f t="shared" si="1"/>
        <v>9175.1125167360005</v>
      </c>
      <c r="V24" s="731">
        <f t="shared" si="1"/>
        <v>9175.1125167360005</v>
      </c>
      <c r="W24" s="731">
        <f t="shared" si="1"/>
        <v>9175.1125167360005</v>
      </c>
      <c r="X24" s="731">
        <f t="shared" si="1"/>
        <v>9175.1125167360005</v>
      </c>
      <c r="Y24" s="731">
        <f t="shared" si="1"/>
        <v>9175.1125167360005</v>
      </c>
      <c r="Z24" s="731">
        <f t="shared" si="1"/>
        <v>9175.1125167360005</v>
      </c>
      <c r="AA24" s="731">
        <f t="shared" si="1"/>
        <v>9175.1125167360005</v>
      </c>
      <c r="AB24" s="731">
        <f t="shared" si="1"/>
        <v>9175.1125167360005</v>
      </c>
    </row>
    <row r="25" spans="1:28">
      <c r="A25" s="151"/>
      <c r="B25" s="837" t="s">
        <v>37</v>
      </c>
      <c r="C25" s="152"/>
      <c r="D25" s="167">
        <f>-'SenBiogas Electricity Fin Sen'!D119</f>
        <v>6097.3105165322104</v>
      </c>
      <c r="E25" s="167">
        <f>+D25</f>
        <v>6097.3105165322104</v>
      </c>
      <c r="F25" s="167">
        <f t="shared" si="1"/>
        <v>6097.3105165322104</v>
      </c>
      <c r="G25" s="167">
        <f t="shared" si="1"/>
        <v>6097.3105165322104</v>
      </c>
      <c r="H25" s="167">
        <f t="shared" si="1"/>
        <v>6097.3105165322104</v>
      </c>
      <c r="I25" s="167">
        <f t="shared" si="1"/>
        <v>6097.3105165322104</v>
      </c>
      <c r="J25" s="167">
        <f t="shared" si="1"/>
        <v>6097.3105165322104</v>
      </c>
      <c r="K25" s="167">
        <f t="shared" si="1"/>
        <v>6097.3105165322104</v>
      </c>
      <c r="L25" s="167">
        <f t="shared" si="1"/>
        <v>6097.3105165322104</v>
      </c>
      <c r="M25" s="167">
        <f t="shared" si="1"/>
        <v>6097.3105165322104</v>
      </c>
      <c r="N25" s="167">
        <f t="shared" si="1"/>
        <v>6097.3105165322104</v>
      </c>
      <c r="O25" s="167">
        <f t="shared" si="1"/>
        <v>6097.3105165322104</v>
      </c>
      <c r="P25" s="167">
        <f t="shared" si="1"/>
        <v>6097.3105165322104</v>
      </c>
      <c r="Q25" s="167">
        <f t="shared" si="1"/>
        <v>6097.3105165322104</v>
      </c>
      <c r="R25" s="167">
        <f t="shared" si="1"/>
        <v>6097.3105165322104</v>
      </c>
      <c r="S25" s="167">
        <f t="shared" si="1"/>
        <v>6097.3105165322104</v>
      </c>
      <c r="T25" s="167">
        <f t="shared" si="1"/>
        <v>6097.3105165322104</v>
      </c>
      <c r="U25" s="167">
        <f t="shared" si="1"/>
        <v>6097.3105165322104</v>
      </c>
      <c r="V25" s="167">
        <f t="shared" si="1"/>
        <v>6097.3105165322104</v>
      </c>
      <c r="W25" s="167">
        <f t="shared" si="1"/>
        <v>6097.3105165322104</v>
      </c>
      <c r="X25" s="167">
        <f t="shared" si="1"/>
        <v>6097.3105165322104</v>
      </c>
      <c r="Y25" s="167">
        <f t="shared" si="1"/>
        <v>6097.3105165322104</v>
      </c>
      <c r="Z25" s="167">
        <f t="shared" si="1"/>
        <v>6097.3105165322104</v>
      </c>
      <c r="AA25" s="167">
        <f t="shared" si="1"/>
        <v>6097.3105165322104</v>
      </c>
      <c r="AB25" s="167">
        <f t="shared" si="1"/>
        <v>6097.3105165322104</v>
      </c>
    </row>
    <row r="26" spans="1:28">
      <c r="A26" s="151"/>
      <c r="B26" s="837" t="s">
        <v>71</v>
      </c>
      <c r="C26" s="152"/>
      <c r="D26" s="167">
        <f>+D53</f>
        <v>0</v>
      </c>
      <c r="E26" s="167">
        <f t="shared" ref="E26:AB26" si="2">+E53</f>
        <v>0</v>
      </c>
      <c r="F26" s="167">
        <f t="shared" si="2"/>
        <v>0</v>
      </c>
      <c r="G26" s="167">
        <f t="shared" si="2"/>
        <v>0</v>
      </c>
      <c r="H26" s="167">
        <f t="shared" si="2"/>
        <v>0</v>
      </c>
      <c r="I26" s="167">
        <f t="shared" si="2"/>
        <v>3291336</v>
      </c>
      <c r="J26" s="167">
        <f t="shared" si="2"/>
        <v>3291336</v>
      </c>
      <c r="K26" s="167">
        <f t="shared" si="2"/>
        <v>3291336</v>
      </c>
      <c r="L26" s="167">
        <f t="shared" si="2"/>
        <v>3291336</v>
      </c>
      <c r="M26" s="167">
        <f t="shared" si="2"/>
        <v>3291336</v>
      </c>
      <c r="N26" s="167">
        <f t="shared" si="2"/>
        <v>3291336</v>
      </c>
      <c r="O26" s="167">
        <f t="shared" si="2"/>
        <v>3291336</v>
      </c>
      <c r="P26" s="167">
        <f t="shared" si="2"/>
        <v>3291336</v>
      </c>
      <c r="Q26" s="167">
        <f t="shared" si="2"/>
        <v>3291336</v>
      </c>
      <c r="R26" s="167">
        <f t="shared" si="2"/>
        <v>3291336</v>
      </c>
      <c r="S26" s="167">
        <f t="shared" si="2"/>
        <v>3291336</v>
      </c>
      <c r="T26" s="167">
        <f t="shared" si="2"/>
        <v>3291336</v>
      </c>
      <c r="U26" s="167">
        <f t="shared" si="2"/>
        <v>3291336</v>
      </c>
      <c r="V26" s="167">
        <f t="shared" si="2"/>
        <v>3291336</v>
      </c>
      <c r="W26" s="167">
        <f t="shared" si="2"/>
        <v>3291336</v>
      </c>
      <c r="X26" s="167">
        <f t="shared" si="2"/>
        <v>3291336</v>
      </c>
      <c r="Y26" s="167">
        <f t="shared" si="2"/>
        <v>3291336</v>
      </c>
      <c r="Z26" s="167">
        <f t="shared" si="2"/>
        <v>3291336</v>
      </c>
      <c r="AA26" s="167">
        <f t="shared" si="2"/>
        <v>3291336</v>
      </c>
      <c r="AB26" s="167">
        <f t="shared" si="2"/>
        <v>3291336</v>
      </c>
    </row>
    <row r="27" spans="1:28">
      <c r="A27" s="151"/>
      <c r="B27" s="837" t="s">
        <v>39</v>
      </c>
      <c r="C27" s="152"/>
      <c r="D27" s="167">
        <f>+D46</f>
        <v>15426.48</v>
      </c>
      <c r="E27" s="167">
        <f t="shared" ref="E27:AB27" si="3">+E46</f>
        <v>15426.48</v>
      </c>
      <c r="F27" s="167">
        <f t="shared" si="3"/>
        <v>15426.48</v>
      </c>
      <c r="G27" s="167">
        <f t="shared" si="3"/>
        <v>15426.48</v>
      </c>
      <c r="H27" s="167">
        <f t="shared" si="3"/>
        <v>15426.48</v>
      </c>
      <c r="I27" s="167">
        <f t="shared" si="3"/>
        <v>15426.48</v>
      </c>
      <c r="J27" s="167">
        <f t="shared" si="3"/>
        <v>15426.48</v>
      </c>
      <c r="K27" s="167">
        <f t="shared" si="3"/>
        <v>15426.48</v>
      </c>
      <c r="L27" s="167">
        <f t="shared" si="3"/>
        <v>15426.48</v>
      </c>
      <c r="M27" s="167">
        <f t="shared" si="3"/>
        <v>15426.48</v>
      </c>
      <c r="N27" s="167">
        <f t="shared" si="3"/>
        <v>15426.48</v>
      </c>
      <c r="O27" s="167">
        <f t="shared" si="3"/>
        <v>15426.48</v>
      </c>
      <c r="P27" s="167">
        <f t="shared" si="3"/>
        <v>15426.48</v>
      </c>
      <c r="Q27" s="167">
        <f t="shared" si="3"/>
        <v>15426.48</v>
      </c>
      <c r="R27" s="167">
        <f t="shared" si="3"/>
        <v>15426.48</v>
      </c>
      <c r="S27" s="167">
        <f t="shared" si="3"/>
        <v>15426.48</v>
      </c>
      <c r="T27" s="167">
        <f t="shared" si="3"/>
        <v>15426.48</v>
      </c>
      <c r="U27" s="167">
        <f t="shared" si="3"/>
        <v>15426.48</v>
      </c>
      <c r="V27" s="167">
        <f t="shared" si="3"/>
        <v>15426.48</v>
      </c>
      <c r="W27" s="167">
        <f t="shared" si="3"/>
        <v>15426.48</v>
      </c>
      <c r="X27" s="167">
        <f t="shared" si="3"/>
        <v>15426.48</v>
      </c>
      <c r="Y27" s="167">
        <f t="shared" si="3"/>
        <v>15426.48</v>
      </c>
      <c r="Z27" s="167">
        <f t="shared" si="3"/>
        <v>15426.48</v>
      </c>
      <c r="AA27" s="167">
        <f t="shared" si="3"/>
        <v>15426.48</v>
      </c>
      <c r="AB27" s="167">
        <f t="shared" si="3"/>
        <v>15426.48</v>
      </c>
    </row>
    <row r="28" spans="1:28">
      <c r="A28" s="151"/>
      <c r="B28" s="151" t="s">
        <v>40</v>
      </c>
      <c r="C28" s="172"/>
      <c r="D28" s="168">
        <f>SUM(D22:D27)</f>
        <v>135434.33078714047</v>
      </c>
      <c r="E28" s="168">
        <f t="shared" ref="E28:AB28" si="4">SUM(E22:E27)</f>
        <v>135434.33078714047</v>
      </c>
      <c r="F28" s="168">
        <f t="shared" si="4"/>
        <v>135434.33078714047</v>
      </c>
      <c r="G28" s="168">
        <f t="shared" si="4"/>
        <v>135434.33078714047</v>
      </c>
      <c r="H28" s="168">
        <f t="shared" si="4"/>
        <v>135434.33078714047</v>
      </c>
      <c r="I28" s="168">
        <f t="shared" si="4"/>
        <v>3426770.3307871404</v>
      </c>
      <c r="J28" s="168">
        <f t="shared" si="4"/>
        <v>3426770.3307871404</v>
      </c>
      <c r="K28" s="168">
        <f t="shared" si="4"/>
        <v>3426770.3307871404</v>
      </c>
      <c r="L28" s="168">
        <f t="shared" si="4"/>
        <v>3426770.3307871404</v>
      </c>
      <c r="M28" s="168">
        <f t="shared" si="4"/>
        <v>3426770.3307871404</v>
      </c>
      <c r="N28" s="168">
        <f t="shared" si="4"/>
        <v>3426770.3307871404</v>
      </c>
      <c r="O28" s="168">
        <f t="shared" si="4"/>
        <v>3426770.3307871404</v>
      </c>
      <c r="P28" s="168">
        <f t="shared" si="4"/>
        <v>3426770.3307871404</v>
      </c>
      <c r="Q28" s="168">
        <f t="shared" si="4"/>
        <v>3426770.3307871404</v>
      </c>
      <c r="R28" s="168">
        <f t="shared" si="4"/>
        <v>3426770.3307871404</v>
      </c>
      <c r="S28" s="168">
        <f t="shared" si="4"/>
        <v>3426770.3307871404</v>
      </c>
      <c r="T28" s="168">
        <f t="shared" si="4"/>
        <v>3426770.3307871404</v>
      </c>
      <c r="U28" s="168">
        <f t="shared" si="4"/>
        <v>3426770.3307871404</v>
      </c>
      <c r="V28" s="168">
        <f t="shared" si="4"/>
        <v>3426770.3307871404</v>
      </c>
      <c r="W28" s="168">
        <f t="shared" si="4"/>
        <v>3426770.3307871404</v>
      </c>
      <c r="X28" s="168">
        <f t="shared" si="4"/>
        <v>3426770.3307871404</v>
      </c>
      <c r="Y28" s="168">
        <f t="shared" si="4"/>
        <v>3426770.3307871404</v>
      </c>
      <c r="Z28" s="168">
        <f t="shared" si="4"/>
        <v>3426770.3307871404</v>
      </c>
      <c r="AA28" s="168">
        <f t="shared" si="4"/>
        <v>3426770.3307871404</v>
      </c>
      <c r="AB28" s="168">
        <f t="shared" si="4"/>
        <v>3426770.3307871404</v>
      </c>
    </row>
    <row r="29" spans="1:28">
      <c r="A29" s="152"/>
      <c r="B29" s="152"/>
      <c r="C29" s="152"/>
      <c r="D29" s="171"/>
      <c r="E29" s="171"/>
      <c r="F29" s="171"/>
      <c r="G29" s="171"/>
      <c r="H29" s="171"/>
      <c r="I29" s="171"/>
      <c r="J29" s="171"/>
      <c r="K29" s="171"/>
      <c r="L29" s="171"/>
      <c r="M29" s="171"/>
      <c r="N29" s="171"/>
      <c r="O29" s="171"/>
      <c r="P29" s="171"/>
      <c r="Q29" s="171"/>
      <c r="R29" s="171"/>
      <c r="S29" s="171"/>
      <c r="T29" s="171"/>
      <c r="U29" s="171"/>
      <c r="V29" s="171"/>
      <c r="W29" s="171"/>
      <c r="X29" s="171"/>
      <c r="Y29" s="171"/>
      <c r="Z29" s="171"/>
      <c r="AA29" s="171"/>
      <c r="AB29" s="171"/>
    </row>
    <row r="30" spans="1:28" ht="29.1">
      <c r="A30" s="173" t="s">
        <v>41</v>
      </c>
      <c r="B30" s="839" t="s">
        <v>44</v>
      </c>
      <c r="C30" s="169"/>
      <c r="D30" s="175">
        <f>'SenSolarPV Financial Analys'!D19*'SenSolarPV Financial Analys'!D23*'SenSolarPV Financial Analys'!C31</f>
        <v>306.91762358400001</v>
      </c>
      <c r="E30" s="170">
        <f>+D30</f>
        <v>306.91762358400001</v>
      </c>
      <c r="F30" s="170">
        <f t="shared" ref="F30:AB33" si="5">+E30</f>
        <v>306.91762358400001</v>
      </c>
      <c r="G30" s="170">
        <f t="shared" si="5"/>
        <v>306.91762358400001</v>
      </c>
      <c r="H30" s="170">
        <f t="shared" si="5"/>
        <v>306.91762358400001</v>
      </c>
      <c r="I30" s="170">
        <f t="shared" si="5"/>
        <v>306.91762358400001</v>
      </c>
      <c r="J30" s="170">
        <f t="shared" si="5"/>
        <v>306.91762358400001</v>
      </c>
      <c r="K30" s="170">
        <f t="shared" si="5"/>
        <v>306.91762358400001</v>
      </c>
      <c r="L30" s="170">
        <f t="shared" si="5"/>
        <v>306.91762358400001</v>
      </c>
      <c r="M30" s="170">
        <f t="shared" si="5"/>
        <v>306.91762358400001</v>
      </c>
      <c r="N30" s="170">
        <f t="shared" si="5"/>
        <v>306.91762358400001</v>
      </c>
      <c r="O30" s="170">
        <f t="shared" si="5"/>
        <v>306.91762358400001</v>
      </c>
      <c r="P30" s="170">
        <f t="shared" si="5"/>
        <v>306.91762358400001</v>
      </c>
      <c r="Q30" s="170">
        <f t="shared" si="5"/>
        <v>306.91762358400001</v>
      </c>
      <c r="R30" s="170">
        <f t="shared" si="5"/>
        <v>306.91762358400001</v>
      </c>
      <c r="S30" s="170">
        <f t="shared" si="5"/>
        <v>306.91762358400001</v>
      </c>
      <c r="T30" s="170">
        <f t="shared" si="5"/>
        <v>306.91762358400001</v>
      </c>
      <c r="U30" s="170">
        <f t="shared" si="5"/>
        <v>306.91762358400001</v>
      </c>
      <c r="V30" s="170">
        <f t="shared" si="5"/>
        <v>306.91762358400001</v>
      </c>
      <c r="W30" s="170">
        <f t="shared" si="5"/>
        <v>306.91762358400001</v>
      </c>
      <c r="X30" s="170">
        <f t="shared" si="5"/>
        <v>306.91762358400001</v>
      </c>
      <c r="Y30" s="170">
        <f t="shared" si="5"/>
        <v>306.91762358400001</v>
      </c>
      <c r="Z30" s="170">
        <f t="shared" si="5"/>
        <v>306.91762358400001</v>
      </c>
      <c r="AA30" s="170">
        <f t="shared" si="5"/>
        <v>306.91762358400001</v>
      </c>
      <c r="AB30" s="170">
        <f t="shared" si="5"/>
        <v>306.91762358400001</v>
      </c>
    </row>
    <row r="31" spans="1:28">
      <c r="A31" s="152"/>
      <c r="B31" s="837" t="s">
        <v>45</v>
      </c>
      <c r="C31" s="152"/>
      <c r="D31" s="174">
        <f>'SenSolarPV Financial Analys'!D20*'SenSolarPV Financial Analys'!D23*'SenSolarPV Financial Analys'!C31</f>
        <v>3059.4412687056197</v>
      </c>
      <c r="E31" s="167">
        <f>+D31</f>
        <v>3059.4412687056197</v>
      </c>
      <c r="F31" s="167">
        <f t="shared" si="5"/>
        <v>3059.4412687056197</v>
      </c>
      <c r="G31" s="167">
        <f t="shared" si="5"/>
        <v>3059.4412687056197</v>
      </c>
      <c r="H31" s="167">
        <f t="shared" si="5"/>
        <v>3059.4412687056197</v>
      </c>
      <c r="I31" s="167">
        <f t="shared" si="5"/>
        <v>3059.4412687056197</v>
      </c>
      <c r="J31" s="167">
        <f t="shared" si="5"/>
        <v>3059.4412687056197</v>
      </c>
      <c r="K31" s="167">
        <f t="shared" si="5"/>
        <v>3059.4412687056197</v>
      </c>
      <c r="L31" s="167">
        <f t="shared" si="5"/>
        <v>3059.4412687056197</v>
      </c>
      <c r="M31" s="167">
        <f t="shared" si="5"/>
        <v>3059.4412687056197</v>
      </c>
      <c r="N31" s="167">
        <f t="shared" si="5"/>
        <v>3059.4412687056197</v>
      </c>
      <c r="O31" s="167">
        <f t="shared" si="5"/>
        <v>3059.4412687056197</v>
      </c>
      <c r="P31" s="167">
        <f t="shared" si="5"/>
        <v>3059.4412687056197</v>
      </c>
      <c r="Q31" s="167">
        <f t="shared" si="5"/>
        <v>3059.4412687056197</v>
      </c>
      <c r="R31" s="167">
        <f t="shared" si="5"/>
        <v>3059.4412687056197</v>
      </c>
      <c r="S31" s="167">
        <f t="shared" si="5"/>
        <v>3059.4412687056197</v>
      </c>
      <c r="T31" s="167">
        <f t="shared" si="5"/>
        <v>3059.4412687056197</v>
      </c>
      <c r="U31" s="167">
        <f t="shared" si="5"/>
        <v>3059.4412687056197</v>
      </c>
      <c r="V31" s="167">
        <f t="shared" si="5"/>
        <v>3059.4412687056197</v>
      </c>
      <c r="W31" s="167">
        <f t="shared" si="5"/>
        <v>3059.4412687056197</v>
      </c>
      <c r="X31" s="167">
        <f t="shared" si="5"/>
        <v>3059.4412687056197</v>
      </c>
      <c r="Y31" s="167">
        <f t="shared" si="5"/>
        <v>3059.4412687056197</v>
      </c>
      <c r="Z31" s="167">
        <f t="shared" si="5"/>
        <v>3059.4412687056197</v>
      </c>
      <c r="AA31" s="167">
        <f t="shared" si="5"/>
        <v>3059.4412687056197</v>
      </c>
      <c r="AB31" s="167">
        <f t="shared" si="5"/>
        <v>3059.4412687056197</v>
      </c>
    </row>
    <row r="32" spans="1:28">
      <c r="A32" s="152"/>
      <c r="B32" s="837" t="s">
        <v>46</v>
      </c>
      <c r="C32" s="152"/>
      <c r="D32" s="174">
        <f>SenegalDigesterAnaly!J12</f>
        <v>90218.471286808563</v>
      </c>
      <c r="E32" s="167">
        <f>+D32</f>
        <v>90218.471286808563</v>
      </c>
      <c r="F32" s="167">
        <f t="shared" si="5"/>
        <v>90218.471286808563</v>
      </c>
      <c r="G32" s="167">
        <f t="shared" si="5"/>
        <v>90218.471286808563</v>
      </c>
      <c r="H32" s="167">
        <f t="shared" si="5"/>
        <v>90218.471286808563</v>
      </c>
      <c r="I32" s="167">
        <f t="shared" si="5"/>
        <v>90218.471286808563</v>
      </c>
      <c r="J32" s="167">
        <f t="shared" si="5"/>
        <v>90218.471286808563</v>
      </c>
      <c r="K32" s="167">
        <f t="shared" si="5"/>
        <v>90218.471286808563</v>
      </c>
      <c r="L32" s="167">
        <f t="shared" si="5"/>
        <v>90218.471286808563</v>
      </c>
      <c r="M32" s="167">
        <f t="shared" si="5"/>
        <v>90218.471286808563</v>
      </c>
      <c r="N32" s="167">
        <f t="shared" si="5"/>
        <v>90218.471286808563</v>
      </c>
      <c r="O32" s="167">
        <f t="shared" si="5"/>
        <v>90218.471286808563</v>
      </c>
      <c r="P32" s="167">
        <f t="shared" si="5"/>
        <v>90218.471286808563</v>
      </c>
      <c r="Q32" s="167">
        <f t="shared" si="5"/>
        <v>90218.471286808563</v>
      </c>
      <c r="R32" s="167">
        <f t="shared" si="5"/>
        <v>90218.471286808563</v>
      </c>
      <c r="S32" s="167">
        <f t="shared" si="5"/>
        <v>90218.471286808563</v>
      </c>
      <c r="T32" s="167">
        <f t="shared" si="5"/>
        <v>90218.471286808563</v>
      </c>
      <c r="U32" s="167">
        <f t="shared" si="5"/>
        <v>90218.471286808563</v>
      </c>
      <c r="V32" s="167">
        <f t="shared" si="5"/>
        <v>90218.471286808563</v>
      </c>
      <c r="W32" s="167">
        <f t="shared" si="5"/>
        <v>90218.471286808563</v>
      </c>
      <c r="X32" s="167">
        <f t="shared" si="5"/>
        <v>90218.471286808563</v>
      </c>
      <c r="Y32" s="167">
        <f t="shared" si="5"/>
        <v>90218.471286808563</v>
      </c>
      <c r="Z32" s="167">
        <f t="shared" si="5"/>
        <v>90218.471286808563</v>
      </c>
      <c r="AA32" s="167">
        <f t="shared" si="5"/>
        <v>90218.471286808563</v>
      </c>
      <c r="AB32" s="167">
        <f t="shared" si="5"/>
        <v>90218.471286808563</v>
      </c>
    </row>
    <row r="33" spans="1:28">
      <c r="A33" s="152"/>
      <c r="B33" s="837" t="s">
        <v>47</v>
      </c>
      <c r="C33" s="152"/>
      <c r="D33" s="174">
        <f>-'SenBiogas Electricity Fin Sen'!D119</f>
        <v>6097.3105165322104</v>
      </c>
      <c r="E33" s="167">
        <f>+D33</f>
        <v>6097.3105165322104</v>
      </c>
      <c r="F33" s="167">
        <f t="shared" si="5"/>
        <v>6097.3105165322104</v>
      </c>
      <c r="G33" s="167">
        <f t="shared" si="5"/>
        <v>6097.3105165322104</v>
      </c>
      <c r="H33" s="167">
        <f t="shared" si="5"/>
        <v>6097.3105165322104</v>
      </c>
      <c r="I33" s="167">
        <f t="shared" si="5"/>
        <v>6097.3105165322104</v>
      </c>
      <c r="J33" s="167">
        <f t="shared" si="5"/>
        <v>6097.3105165322104</v>
      </c>
      <c r="K33" s="167">
        <f t="shared" si="5"/>
        <v>6097.3105165322104</v>
      </c>
      <c r="L33" s="167">
        <f t="shared" si="5"/>
        <v>6097.3105165322104</v>
      </c>
      <c r="M33" s="167">
        <f t="shared" si="5"/>
        <v>6097.3105165322104</v>
      </c>
      <c r="N33" s="167">
        <f t="shared" si="5"/>
        <v>6097.3105165322104</v>
      </c>
      <c r="O33" s="167">
        <f t="shared" si="5"/>
        <v>6097.3105165322104</v>
      </c>
      <c r="P33" s="167">
        <f t="shared" si="5"/>
        <v>6097.3105165322104</v>
      </c>
      <c r="Q33" s="167">
        <f t="shared" si="5"/>
        <v>6097.3105165322104</v>
      </c>
      <c r="R33" s="167">
        <f t="shared" si="5"/>
        <v>6097.3105165322104</v>
      </c>
      <c r="S33" s="167">
        <f t="shared" si="5"/>
        <v>6097.3105165322104</v>
      </c>
      <c r="T33" s="167">
        <f t="shared" si="5"/>
        <v>6097.3105165322104</v>
      </c>
      <c r="U33" s="167">
        <f t="shared" si="5"/>
        <v>6097.3105165322104</v>
      </c>
      <c r="V33" s="167">
        <f t="shared" si="5"/>
        <v>6097.3105165322104</v>
      </c>
      <c r="W33" s="167">
        <f t="shared" si="5"/>
        <v>6097.3105165322104</v>
      </c>
      <c r="X33" s="167">
        <f t="shared" si="5"/>
        <v>6097.3105165322104</v>
      </c>
      <c r="Y33" s="167">
        <f t="shared" si="5"/>
        <v>6097.3105165322104</v>
      </c>
      <c r="Z33" s="167">
        <f t="shared" si="5"/>
        <v>6097.3105165322104</v>
      </c>
      <c r="AA33" s="167">
        <f t="shared" si="5"/>
        <v>6097.3105165322104</v>
      </c>
      <c r="AB33" s="167">
        <f t="shared" si="5"/>
        <v>6097.3105165322104</v>
      </c>
    </row>
    <row r="34" spans="1:28">
      <c r="A34" s="152"/>
      <c r="B34" s="837"/>
      <c r="C34" s="152"/>
      <c r="D34" s="174"/>
      <c r="E34" s="167"/>
      <c r="F34" s="167"/>
      <c r="G34" s="167"/>
      <c r="H34" s="167"/>
      <c r="I34" s="167"/>
      <c r="J34" s="167"/>
      <c r="K34" s="167"/>
      <c r="L34" s="167"/>
      <c r="M34" s="167"/>
      <c r="N34" s="167"/>
      <c r="O34" s="167"/>
      <c r="P34" s="167"/>
      <c r="Q34" s="167"/>
      <c r="R34" s="167"/>
      <c r="S34" s="167"/>
      <c r="T34" s="167"/>
      <c r="U34" s="167"/>
      <c r="V34" s="167"/>
      <c r="W34" s="167"/>
      <c r="X34" s="167"/>
      <c r="Y34" s="167"/>
      <c r="Z34" s="167"/>
      <c r="AA34" s="167"/>
      <c r="AB34" s="167"/>
    </row>
    <row r="35" spans="1:28" hidden="1">
      <c r="A35" s="152"/>
      <c r="D35" s="125"/>
      <c r="E35" s="125"/>
      <c r="F35" s="125"/>
      <c r="G35" s="125"/>
      <c r="H35" s="125"/>
      <c r="I35" s="125"/>
      <c r="J35" s="125"/>
      <c r="K35" s="125"/>
      <c r="L35" s="125"/>
      <c r="M35" s="125"/>
      <c r="N35" s="125"/>
      <c r="O35" s="125"/>
      <c r="P35" s="125"/>
      <c r="Q35" s="125"/>
      <c r="R35" s="125"/>
      <c r="S35" s="125"/>
      <c r="T35" s="125"/>
      <c r="U35" s="125"/>
      <c r="V35" s="125"/>
      <c r="W35" s="125"/>
      <c r="X35" s="125"/>
      <c r="Y35" s="125"/>
      <c r="Z35" s="125"/>
      <c r="AA35" s="125"/>
      <c r="AB35" s="125"/>
    </row>
    <row r="36" spans="1:28" hidden="1">
      <c r="A36" s="152"/>
      <c r="B36" s="126" t="s">
        <v>49</v>
      </c>
      <c r="C36" s="129"/>
      <c r="D36" s="127"/>
      <c r="E36" s="127"/>
      <c r="F36" s="127"/>
      <c r="G36" s="127"/>
      <c r="H36" s="127"/>
      <c r="I36" s="127"/>
      <c r="J36" s="127"/>
      <c r="K36" s="127"/>
      <c r="L36" s="127"/>
      <c r="M36" s="127"/>
      <c r="N36" s="127"/>
      <c r="O36" s="127"/>
      <c r="P36" s="127"/>
      <c r="Q36" s="127"/>
      <c r="R36" s="127"/>
      <c r="S36" s="127"/>
      <c r="T36" s="127"/>
      <c r="U36" s="127"/>
      <c r="V36" s="127"/>
      <c r="W36" s="127"/>
      <c r="X36" s="127"/>
      <c r="Y36" s="127"/>
      <c r="Z36" s="127"/>
      <c r="AA36" s="127"/>
      <c r="AB36" s="127"/>
    </row>
    <row r="37" spans="1:28" hidden="1">
      <c r="A37" s="152"/>
      <c r="B37" s="122" t="s">
        <v>50</v>
      </c>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0"/>
      <c r="AB37" s="130"/>
    </row>
    <row r="38" spans="1:28" hidden="1">
      <c r="A38" s="152"/>
      <c r="B38" s="122" t="s">
        <v>51</v>
      </c>
      <c r="C38" s="131"/>
      <c r="D38" s="128">
        <f>0.4*122136259/15/1000</f>
        <v>3256.9669066666665</v>
      </c>
      <c r="E38" s="128">
        <f t="shared" ref="E38:AB38" si="6">0.4*122136259/15/1000</f>
        <v>3256.9669066666665</v>
      </c>
      <c r="F38" s="128">
        <f t="shared" si="6"/>
        <v>3256.9669066666665</v>
      </c>
      <c r="G38" s="128">
        <f t="shared" si="6"/>
        <v>3256.9669066666665</v>
      </c>
      <c r="H38" s="128">
        <f t="shared" si="6"/>
        <v>3256.9669066666665</v>
      </c>
      <c r="I38" s="128">
        <f t="shared" si="6"/>
        <v>3256.9669066666665</v>
      </c>
      <c r="J38" s="128">
        <f t="shared" si="6"/>
        <v>3256.9669066666665</v>
      </c>
      <c r="K38" s="128">
        <f t="shared" si="6"/>
        <v>3256.9669066666665</v>
      </c>
      <c r="L38" s="128">
        <f t="shared" si="6"/>
        <v>3256.9669066666665</v>
      </c>
      <c r="M38" s="128">
        <f t="shared" si="6"/>
        <v>3256.9669066666665</v>
      </c>
      <c r="N38" s="128">
        <f t="shared" si="6"/>
        <v>3256.9669066666665</v>
      </c>
      <c r="O38" s="128">
        <f t="shared" si="6"/>
        <v>3256.9669066666665</v>
      </c>
      <c r="P38" s="128">
        <f t="shared" si="6"/>
        <v>3256.9669066666665</v>
      </c>
      <c r="Q38" s="128">
        <f t="shared" si="6"/>
        <v>3256.9669066666665</v>
      </c>
      <c r="R38" s="128">
        <f t="shared" si="6"/>
        <v>3256.9669066666665</v>
      </c>
      <c r="S38" s="128">
        <f t="shared" si="6"/>
        <v>3256.9669066666665</v>
      </c>
      <c r="T38" s="128">
        <f t="shared" si="6"/>
        <v>3256.9669066666665</v>
      </c>
      <c r="U38" s="128">
        <f t="shared" si="6"/>
        <v>3256.9669066666665</v>
      </c>
      <c r="V38" s="128">
        <f t="shared" si="6"/>
        <v>3256.9669066666665</v>
      </c>
      <c r="W38" s="128">
        <f t="shared" si="6"/>
        <v>3256.9669066666665</v>
      </c>
      <c r="X38" s="128">
        <f t="shared" si="6"/>
        <v>3256.9669066666665</v>
      </c>
      <c r="Y38" s="128">
        <f t="shared" si="6"/>
        <v>3256.9669066666665</v>
      </c>
      <c r="Z38" s="128">
        <f t="shared" si="6"/>
        <v>3256.9669066666665</v>
      </c>
      <c r="AA38" s="128">
        <f t="shared" si="6"/>
        <v>3256.9669066666665</v>
      </c>
      <c r="AB38" s="128">
        <f t="shared" si="6"/>
        <v>3256.9669066666665</v>
      </c>
    </row>
    <row r="39" spans="1:28" hidden="1">
      <c r="A39" s="152"/>
      <c r="B39" s="122" t="s">
        <v>52</v>
      </c>
      <c r="C39" s="131"/>
      <c r="D39" s="132">
        <v>374.51</v>
      </c>
      <c r="E39" s="132">
        <v>374.51</v>
      </c>
      <c r="F39" s="132">
        <v>374.51</v>
      </c>
      <c r="G39" s="132">
        <v>374.51</v>
      </c>
      <c r="H39" s="132">
        <v>374.51</v>
      </c>
      <c r="I39" s="132">
        <v>374.51</v>
      </c>
      <c r="J39" s="132">
        <v>374.51</v>
      </c>
      <c r="K39" s="132">
        <v>374.51</v>
      </c>
      <c r="L39" s="132">
        <v>374.51</v>
      </c>
      <c r="M39" s="132">
        <v>374.51</v>
      </c>
      <c r="N39" s="132">
        <v>374.51</v>
      </c>
      <c r="O39" s="132">
        <v>374.51</v>
      </c>
      <c r="P39" s="132">
        <v>374.51</v>
      </c>
      <c r="Q39" s="132">
        <v>374.51</v>
      </c>
      <c r="R39" s="132">
        <v>374.51</v>
      </c>
      <c r="S39" s="132">
        <v>374.51</v>
      </c>
      <c r="T39" s="132">
        <v>374.51</v>
      </c>
      <c r="U39" s="132">
        <v>374.51</v>
      </c>
      <c r="V39" s="132">
        <v>374.51</v>
      </c>
      <c r="W39" s="132">
        <v>374.51</v>
      </c>
      <c r="X39" s="132">
        <v>374.51</v>
      </c>
      <c r="Y39" s="132">
        <v>374.51</v>
      </c>
      <c r="Z39" s="132">
        <v>374.51</v>
      </c>
      <c r="AA39" s="132">
        <v>374.51</v>
      </c>
      <c r="AB39" s="132">
        <v>374.51</v>
      </c>
    </row>
    <row r="40" spans="1:28" hidden="1">
      <c r="A40" s="152"/>
      <c r="B40" s="122" t="s">
        <v>53</v>
      </c>
      <c r="C40" s="131"/>
      <c r="D40" s="132">
        <v>4.8600000000000003</v>
      </c>
      <c r="E40" s="132">
        <v>4.8600000000000003</v>
      </c>
      <c r="F40" s="132">
        <v>4.8600000000000003</v>
      </c>
      <c r="G40" s="132">
        <v>4.8600000000000003</v>
      </c>
      <c r="H40" s="132">
        <v>4.8600000000000003</v>
      </c>
      <c r="I40" s="132">
        <v>4.8600000000000003</v>
      </c>
      <c r="J40" s="132">
        <v>4.8600000000000003</v>
      </c>
      <c r="K40" s="132">
        <v>4.8600000000000003</v>
      </c>
      <c r="L40" s="132">
        <v>4.8600000000000003</v>
      </c>
      <c r="M40" s="132">
        <v>4.8600000000000003</v>
      </c>
      <c r="N40" s="132">
        <v>4.8600000000000003</v>
      </c>
      <c r="O40" s="132">
        <v>4.8600000000000003</v>
      </c>
      <c r="P40" s="132">
        <v>4.8600000000000003</v>
      </c>
      <c r="Q40" s="132">
        <v>4.8600000000000003</v>
      </c>
      <c r="R40" s="132">
        <v>4.8600000000000003</v>
      </c>
      <c r="S40" s="132">
        <v>4.8600000000000003</v>
      </c>
      <c r="T40" s="132">
        <v>4.8600000000000003</v>
      </c>
      <c r="U40" s="132">
        <v>4.8600000000000003</v>
      </c>
      <c r="V40" s="132">
        <v>4.8600000000000003</v>
      </c>
      <c r="W40" s="132">
        <v>4.8600000000000003</v>
      </c>
      <c r="X40" s="132">
        <v>4.8600000000000003</v>
      </c>
      <c r="Y40" s="132">
        <v>4.8600000000000003</v>
      </c>
      <c r="Z40" s="132">
        <v>4.8600000000000003</v>
      </c>
      <c r="AA40" s="132">
        <v>4.8600000000000003</v>
      </c>
      <c r="AB40" s="132">
        <v>4.8600000000000003</v>
      </c>
    </row>
    <row r="41" spans="1:28" hidden="1">
      <c r="A41" s="152"/>
      <c r="B41" s="122" t="s">
        <v>54</v>
      </c>
      <c r="C41" s="131"/>
      <c r="D41" s="125">
        <f>D39*D40</f>
        <v>1820.1186</v>
      </c>
      <c r="E41" s="125">
        <f t="shared" ref="E41:W41" si="7">E39*E40</f>
        <v>1820.1186</v>
      </c>
      <c r="F41" s="125">
        <f t="shared" si="7"/>
        <v>1820.1186</v>
      </c>
      <c r="G41" s="125">
        <f t="shared" si="7"/>
        <v>1820.1186</v>
      </c>
      <c r="H41" s="125">
        <f t="shared" si="7"/>
        <v>1820.1186</v>
      </c>
      <c r="I41" s="125">
        <f t="shared" si="7"/>
        <v>1820.1186</v>
      </c>
      <c r="J41" s="125">
        <f t="shared" si="7"/>
        <v>1820.1186</v>
      </c>
      <c r="K41" s="125">
        <f t="shared" si="7"/>
        <v>1820.1186</v>
      </c>
      <c r="L41" s="125">
        <f t="shared" si="7"/>
        <v>1820.1186</v>
      </c>
      <c r="M41" s="125">
        <f t="shared" si="7"/>
        <v>1820.1186</v>
      </c>
      <c r="N41" s="125">
        <f t="shared" si="7"/>
        <v>1820.1186</v>
      </c>
      <c r="O41" s="125">
        <f t="shared" si="7"/>
        <v>1820.1186</v>
      </c>
      <c r="P41" s="125">
        <f t="shared" si="7"/>
        <v>1820.1186</v>
      </c>
      <c r="Q41" s="125">
        <f t="shared" si="7"/>
        <v>1820.1186</v>
      </c>
      <c r="R41" s="125">
        <f t="shared" si="7"/>
        <v>1820.1186</v>
      </c>
      <c r="S41" s="125">
        <f t="shared" si="7"/>
        <v>1820.1186</v>
      </c>
      <c r="T41" s="125">
        <f t="shared" si="7"/>
        <v>1820.1186</v>
      </c>
      <c r="U41" s="125">
        <f t="shared" si="7"/>
        <v>1820.1186</v>
      </c>
      <c r="V41" s="125">
        <f t="shared" si="7"/>
        <v>1820.1186</v>
      </c>
      <c r="W41" s="125">
        <f t="shared" si="7"/>
        <v>1820.1186</v>
      </c>
      <c r="X41" s="125">
        <f>X39*X40</f>
        <v>1820.1186</v>
      </c>
      <c r="Y41" s="125">
        <f>Y39*Y40</f>
        <v>1820.1186</v>
      </c>
      <c r="Z41" s="125">
        <f>Z39*Z40</f>
        <v>1820.1186</v>
      </c>
      <c r="AA41" s="125">
        <f>AA39*AA40</f>
        <v>1820.1186</v>
      </c>
      <c r="AB41" s="125">
        <f>AB39*AB40</f>
        <v>1820.1186</v>
      </c>
    </row>
    <row r="42" spans="1:28" hidden="1">
      <c r="A42" s="152"/>
      <c r="D42" s="125"/>
      <c r="E42" s="125"/>
      <c r="F42" s="125"/>
      <c r="G42" s="125"/>
      <c r="H42" s="125"/>
      <c r="I42" s="125"/>
      <c r="J42" s="125"/>
      <c r="K42" s="125"/>
      <c r="L42" s="125"/>
      <c r="M42" s="125"/>
      <c r="N42" s="125"/>
      <c r="O42" s="125"/>
      <c r="P42" s="125"/>
      <c r="Q42" s="125"/>
      <c r="R42" s="125"/>
      <c r="S42" s="125"/>
      <c r="T42" s="125"/>
      <c r="U42" s="125"/>
      <c r="V42" s="125"/>
      <c r="W42" s="125"/>
      <c r="X42" s="125"/>
      <c r="Y42" s="125"/>
      <c r="Z42" s="125"/>
      <c r="AA42" s="125"/>
      <c r="AB42" s="125"/>
    </row>
    <row r="43" spans="1:28">
      <c r="A43" s="157" t="s">
        <v>48</v>
      </c>
      <c r="B43" s="153" t="s">
        <v>55</v>
      </c>
      <c r="C43" s="169"/>
      <c r="D43" s="170"/>
      <c r="E43" s="170"/>
      <c r="F43" s="170"/>
      <c r="G43" s="170"/>
      <c r="H43" s="170"/>
      <c r="I43" s="170"/>
      <c r="J43" s="170"/>
      <c r="K43" s="170"/>
      <c r="L43" s="170"/>
      <c r="M43" s="170"/>
      <c r="N43" s="170"/>
      <c r="O43" s="170"/>
      <c r="P43" s="170"/>
      <c r="Q43" s="170"/>
      <c r="R43" s="170"/>
      <c r="S43" s="170"/>
      <c r="T43" s="170"/>
      <c r="U43" s="170"/>
      <c r="V43" s="170"/>
      <c r="W43" s="170"/>
      <c r="X43" s="170"/>
      <c r="Y43" s="170"/>
      <c r="Z43" s="170"/>
      <c r="AA43" s="170"/>
      <c r="AB43" s="170"/>
    </row>
    <row r="44" spans="1:28">
      <c r="A44" s="152"/>
      <c r="B44" s="152" t="s">
        <v>56</v>
      </c>
      <c r="C44" s="152">
        <v>1.292</v>
      </c>
      <c r="D44" s="167"/>
      <c r="E44" s="167"/>
      <c r="F44" s="167"/>
      <c r="G44" s="167"/>
      <c r="H44" s="167"/>
      <c r="I44" s="167"/>
      <c r="J44" s="167"/>
      <c r="K44" s="167"/>
      <c r="L44" s="167"/>
      <c r="M44" s="167"/>
      <c r="N44" s="167"/>
      <c r="O44" s="167"/>
      <c r="P44" s="167"/>
      <c r="Q44" s="167"/>
      <c r="R44" s="167"/>
      <c r="S44" s="167"/>
      <c r="T44" s="167"/>
      <c r="U44" s="167"/>
      <c r="V44" s="167"/>
      <c r="W44" s="167"/>
      <c r="X44" s="167"/>
      <c r="Y44" s="167"/>
      <c r="Z44" s="167"/>
      <c r="AA44" s="167"/>
      <c r="AB44" s="167"/>
    </row>
    <row r="45" spans="1:28">
      <c r="A45" s="152"/>
      <c r="B45" s="152" t="s">
        <v>57</v>
      </c>
      <c r="C45" s="192">
        <v>11940</v>
      </c>
      <c r="D45" s="167"/>
      <c r="E45" s="167"/>
      <c r="F45" s="167"/>
      <c r="G45" s="167"/>
      <c r="H45" s="167"/>
      <c r="I45" s="167"/>
      <c r="J45" s="167"/>
      <c r="K45" s="167"/>
      <c r="L45" s="167"/>
      <c r="M45" s="167"/>
      <c r="N45" s="167"/>
      <c r="O45" s="167"/>
      <c r="P45" s="167"/>
      <c r="Q45" s="167"/>
      <c r="R45" s="167"/>
      <c r="S45" s="167"/>
      <c r="T45" s="167"/>
      <c r="U45" s="167"/>
      <c r="V45" s="167"/>
      <c r="W45" s="167"/>
      <c r="X45" s="167"/>
      <c r="Y45" s="167"/>
      <c r="Z45" s="167"/>
      <c r="AA45" s="167"/>
      <c r="AB45" s="167"/>
    </row>
    <row r="46" spans="1:28">
      <c r="A46" s="152"/>
      <c r="B46" s="152" t="s">
        <v>54</v>
      </c>
      <c r="C46" s="152"/>
      <c r="D46" s="177">
        <f>$C44*$C45</f>
        <v>15426.48</v>
      </c>
      <c r="E46" s="177">
        <f t="shared" ref="E46:W46" si="8">$C44*$C45</f>
        <v>15426.48</v>
      </c>
      <c r="F46" s="177">
        <f t="shared" si="8"/>
        <v>15426.48</v>
      </c>
      <c r="G46" s="177">
        <f t="shared" si="8"/>
        <v>15426.48</v>
      </c>
      <c r="H46" s="177">
        <f t="shared" si="8"/>
        <v>15426.48</v>
      </c>
      <c r="I46" s="177">
        <f t="shared" si="8"/>
        <v>15426.48</v>
      </c>
      <c r="J46" s="177">
        <f t="shared" si="8"/>
        <v>15426.48</v>
      </c>
      <c r="K46" s="177">
        <f t="shared" si="8"/>
        <v>15426.48</v>
      </c>
      <c r="L46" s="177">
        <f t="shared" si="8"/>
        <v>15426.48</v>
      </c>
      <c r="M46" s="177">
        <f t="shared" si="8"/>
        <v>15426.48</v>
      </c>
      <c r="N46" s="177">
        <f t="shared" si="8"/>
        <v>15426.48</v>
      </c>
      <c r="O46" s="177">
        <f t="shared" si="8"/>
        <v>15426.48</v>
      </c>
      <c r="P46" s="177">
        <f t="shared" si="8"/>
        <v>15426.48</v>
      </c>
      <c r="Q46" s="177">
        <f t="shared" si="8"/>
        <v>15426.48</v>
      </c>
      <c r="R46" s="177">
        <f t="shared" si="8"/>
        <v>15426.48</v>
      </c>
      <c r="S46" s="177">
        <f t="shared" si="8"/>
        <v>15426.48</v>
      </c>
      <c r="T46" s="177">
        <f t="shared" si="8"/>
        <v>15426.48</v>
      </c>
      <c r="U46" s="177">
        <f t="shared" si="8"/>
        <v>15426.48</v>
      </c>
      <c r="V46" s="177">
        <f t="shared" si="8"/>
        <v>15426.48</v>
      </c>
      <c r="W46" s="177">
        <f t="shared" si="8"/>
        <v>15426.48</v>
      </c>
      <c r="X46" s="177">
        <f>$C44*$C45</f>
        <v>15426.48</v>
      </c>
      <c r="Y46" s="177">
        <f>$C44*$C45</f>
        <v>15426.48</v>
      </c>
      <c r="Z46" s="177">
        <f>$C44*$C45</f>
        <v>15426.48</v>
      </c>
      <c r="AA46" s="177">
        <f>$C44*$C45</f>
        <v>15426.48</v>
      </c>
      <c r="AB46" s="177">
        <f>$C44*$C45</f>
        <v>15426.48</v>
      </c>
    </row>
    <row r="47" spans="1:28">
      <c r="A47" s="152"/>
      <c r="B47" s="152"/>
      <c r="C47" s="152"/>
      <c r="D47" s="177"/>
      <c r="E47" s="177"/>
      <c r="F47" s="177"/>
      <c r="G47" s="177"/>
      <c r="H47" s="177"/>
      <c r="I47" s="177"/>
      <c r="J47" s="177"/>
      <c r="K47" s="177"/>
      <c r="L47" s="177"/>
      <c r="M47" s="177"/>
      <c r="N47" s="177"/>
      <c r="O47" s="177"/>
      <c r="P47" s="177"/>
      <c r="Q47" s="177"/>
      <c r="R47" s="177"/>
      <c r="S47" s="177"/>
      <c r="T47" s="177"/>
      <c r="U47" s="177"/>
      <c r="V47" s="177"/>
      <c r="W47" s="177"/>
      <c r="X47" s="177"/>
      <c r="Y47" s="177"/>
      <c r="Z47" s="177"/>
      <c r="AA47" s="177"/>
      <c r="AB47" s="177"/>
    </row>
    <row r="48" spans="1:28">
      <c r="A48" s="152"/>
      <c r="B48" s="152"/>
      <c r="C48" s="152"/>
      <c r="D48" s="177"/>
      <c r="E48" s="177"/>
      <c r="F48" s="177"/>
      <c r="G48" s="177"/>
      <c r="H48" s="177"/>
      <c r="I48" s="177"/>
      <c r="J48" s="177"/>
      <c r="K48" s="177"/>
      <c r="L48" s="177"/>
      <c r="M48" s="177"/>
      <c r="N48" s="177"/>
      <c r="O48" s="177"/>
      <c r="P48" s="177"/>
      <c r="Q48" s="177"/>
      <c r="R48" s="177"/>
      <c r="S48" s="177"/>
      <c r="T48" s="177"/>
      <c r="U48" s="177"/>
      <c r="V48" s="177"/>
      <c r="W48" s="177"/>
      <c r="X48" s="177"/>
      <c r="Y48" s="177"/>
      <c r="Z48" s="177"/>
      <c r="AA48" s="177"/>
      <c r="AB48" s="177"/>
    </row>
    <row r="49" spans="1:28" ht="29.1">
      <c r="A49" s="173" t="s">
        <v>72</v>
      </c>
      <c r="B49" s="866" t="s">
        <v>641</v>
      </c>
      <c r="C49" s="178" t="s">
        <v>74</v>
      </c>
      <c r="D49" s="178"/>
      <c r="E49" s="178"/>
      <c r="F49" s="178"/>
      <c r="G49" s="178" t="s">
        <v>642</v>
      </c>
      <c r="H49" s="177"/>
      <c r="I49" s="185"/>
      <c r="J49" s="185"/>
      <c r="K49" s="185"/>
      <c r="L49" s="185"/>
      <c r="M49" s="185"/>
      <c r="N49" s="185"/>
      <c r="O49" s="177"/>
      <c r="P49" s="177"/>
      <c r="Q49" s="177"/>
      <c r="R49" s="177"/>
      <c r="S49" s="177"/>
      <c r="T49" s="177"/>
      <c r="U49" s="177"/>
      <c r="V49" s="177"/>
      <c r="W49" s="177"/>
      <c r="X49" s="177"/>
      <c r="Y49" s="177"/>
      <c r="Z49" s="177"/>
      <c r="AA49" s="177"/>
      <c r="AB49" s="177"/>
    </row>
    <row r="50" spans="1:28">
      <c r="A50" s="152"/>
      <c r="B50" s="179"/>
      <c r="C50" s="179"/>
      <c r="D50" s="179"/>
      <c r="E50" s="179"/>
      <c r="F50" s="179"/>
      <c r="G50" s="179"/>
      <c r="H50" s="177"/>
      <c r="I50" s="186"/>
      <c r="J50" s="186"/>
      <c r="K50" s="186"/>
      <c r="L50" s="186"/>
      <c r="M50" s="186"/>
      <c r="N50" s="186"/>
      <c r="O50" s="177"/>
      <c r="P50" s="177"/>
      <c r="Q50" s="177"/>
      <c r="R50" s="177"/>
      <c r="S50" s="177"/>
      <c r="T50" s="177"/>
      <c r="U50" s="177"/>
      <c r="V50" s="177"/>
      <c r="W50" s="177"/>
      <c r="X50" s="177"/>
      <c r="Y50" s="177"/>
      <c r="Z50" s="177"/>
      <c r="AA50" s="177"/>
      <c r="AB50" s="177"/>
    </row>
    <row r="51" spans="1:28">
      <c r="A51" s="152"/>
      <c r="B51" s="182" t="s">
        <v>76</v>
      </c>
      <c r="C51" s="183"/>
      <c r="D51" s="183"/>
      <c r="E51" s="183"/>
      <c r="F51" s="183"/>
      <c r="G51" s="183">
        <f>'Emissions CalculationsSCPZ'!E51</f>
        <v>3291336</v>
      </c>
      <c r="H51" s="177"/>
      <c r="I51" s="188"/>
      <c r="J51" s="189"/>
      <c r="K51" s="189"/>
      <c r="L51" s="189"/>
      <c r="M51" s="189"/>
      <c r="N51" s="189"/>
      <c r="O51" s="177"/>
      <c r="P51" s="177"/>
      <c r="Q51" s="177"/>
      <c r="R51" s="177"/>
      <c r="S51" s="177"/>
      <c r="T51" s="177"/>
      <c r="U51" s="177"/>
      <c r="V51" s="177"/>
      <c r="W51" s="177"/>
      <c r="X51" s="177"/>
      <c r="Y51" s="177"/>
      <c r="Z51" s="177"/>
      <c r="AA51" s="177"/>
      <c r="AB51" s="177"/>
    </row>
    <row r="52" spans="1:28">
      <c r="A52" s="152"/>
      <c r="B52" s="152"/>
      <c r="C52" s="152"/>
      <c r="D52" s="177"/>
      <c r="E52" s="177"/>
      <c r="F52" s="177"/>
      <c r="G52" s="177"/>
      <c r="H52" s="177"/>
      <c r="I52" s="177"/>
      <c r="J52" s="177"/>
      <c r="K52" s="177"/>
      <c r="L52" s="177"/>
      <c r="M52" s="177"/>
      <c r="N52" s="177"/>
      <c r="O52" s="177"/>
      <c r="P52" s="177"/>
      <c r="Q52" s="177"/>
      <c r="R52" s="177"/>
      <c r="S52" s="177"/>
      <c r="T52" s="177"/>
      <c r="U52" s="177"/>
      <c r="V52" s="177"/>
      <c r="W52" s="177"/>
      <c r="X52" s="177"/>
      <c r="Y52" s="177"/>
      <c r="Z52" s="177"/>
      <c r="AA52" s="177"/>
      <c r="AB52" s="177"/>
    </row>
    <row r="53" spans="1:28" s="150" customFormat="1">
      <c r="A53" s="841"/>
      <c r="B53" s="200" t="s">
        <v>78</v>
      </c>
      <c r="C53" s="841"/>
      <c r="D53" s="201">
        <v>0</v>
      </c>
      <c r="E53" s="863">
        <v>0</v>
      </c>
      <c r="F53" s="863">
        <v>0</v>
      </c>
      <c r="G53" s="863">
        <v>0</v>
      </c>
      <c r="H53" s="863">
        <v>0</v>
      </c>
      <c r="I53" s="863">
        <f>G51</f>
        <v>3291336</v>
      </c>
      <c r="J53" s="863">
        <f>I53</f>
        <v>3291336</v>
      </c>
      <c r="K53" s="863">
        <f t="shared" ref="K53:AB53" si="9">J53</f>
        <v>3291336</v>
      </c>
      <c r="L53" s="863">
        <f t="shared" si="9"/>
        <v>3291336</v>
      </c>
      <c r="M53" s="863">
        <f t="shared" si="9"/>
        <v>3291336</v>
      </c>
      <c r="N53" s="863">
        <f t="shared" si="9"/>
        <v>3291336</v>
      </c>
      <c r="O53" s="863">
        <f t="shared" si="9"/>
        <v>3291336</v>
      </c>
      <c r="P53" s="863">
        <f t="shared" si="9"/>
        <v>3291336</v>
      </c>
      <c r="Q53" s="863">
        <f t="shared" si="9"/>
        <v>3291336</v>
      </c>
      <c r="R53" s="863">
        <f t="shared" si="9"/>
        <v>3291336</v>
      </c>
      <c r="S53" s="863">
        <f t="shared" si="9"/>
        <v>3291336</v>
      </c>
      <c r="T53" s="863">
        <f t="shared" si="9"/>
        <v>3291336</v>
      </c>
      <c r="U53" s="863">
        <f t="shared" si="9"/>
        <v>3291336</v>
      </c>
      <c r="V53" s="863">
        <f t="shared" si="9"/>
        <v>3291336</v>
      </c>
      <c r="W53" s="863">
        <f t="shared" si="9"/>
        <v>3291336</v>
      </c>
      <c r="X53" s="863">
        <f t="shared" si="9"/>
        <v>3291336</v>
      </c>
      <c r="Y53" s="863">
        <f t="shared" si="9"/>
        <v>3291336</v>
      </c>
      <c r="Z53" s="863">
        <f t="shared" si="9"/>
        <v>3291336</v>
      </c>
      <c r="AA53" s="863">
        <f t="shared" si="9"/>
        <v>3291336</v>
      </c>
      <c r="AB53" s="863">
        <f t="shared" si="9"/>
        <v>3291336</v>
      </c>
    </row>
    <row r="54" spans="1:28">
      <c r="A54" s="152"/>
      <c r="B54" s="188"/>
      <c r="C54" s="152"/>
      <c r="D54" s="202"/>
      <c r="E54" s="171"/>
      <c r="F54" s="171"/>
      <c r="G54" s="171"/>
      <c r="H54" s="171"/>
      <c r="I54" s="171"/>
      <c r="J54" s="171"/>
      <c r="K54" s="171"/>
      <c r="L54" s="171"/>
      <c r="M54" s="171"/>
      <c r="N54" s="171"/>
      <c r="O54" s="171"/>
      <c r="P54" s="171"/>
      <c r="Q54" s="171"/>
      <c r="R54" s="171"/>
      <c r="S54" s="171"/>
      <c r="T54" s="171"/>
      <c r="U54" s="171"/>
      <c r="V54" s="171"/>
      <c r="W54" s="171"/>
      <c r="X54" s="171"/>
      <c r="Y54" s="171"/>
      <c r="Z54" s="171"/>
      <c r="AA54" s="171"/>
      <c r="AB54" s="171"/>
    </row>
    <row r="55" spans="1:28">
      <c r="A55" s="152"/>
      <c r="B55" s="200" t="s">
        <v>80</v>
      </c>
      <c r="C55" s="152">
        <f>-'Roads construction and rehab'!D13</f>
        <v>-40771.199999999997</v>
      </c>
      <c r="D55" s="202"/>
      <c r="E55" s="171"/>
      <c r="F55" s="171"/>
      <c r="G55" s="171"/>
      <c r="H55" s="171"/>
      <c r="I55" s="171"/>
      <c r="J55" s="171"/>
      <c r="K55" s="171"/>
      <c r="L55" s="171"/>
      <c r="M55" s="171"/>
      <c r="N55" s="171"/>
      <c r="O55" s="171"/>
      <c r="P55" s="171"/>
      <c r="Q55" s="171"/>
      <c r="R55" s="171"/>
      <c r="S55" s="171"/>
      <c r="T55" s="171"/>
      <c r="U55" s="171"/>
      <c r="V55" s="171"/>
      <c r="W55" s="171"/>
      <c r="X55" s="171"/>
      <c r="Y55" s="171"/>
      <c r="Z55" s="171"/>
      <c r="AA55" s="171"/>
      <c r="AB55" s="171"/>
    </row>
    <row r="56" spans="1:28">
      <c r="A56" s="152"/>
      <c r="B56" s="188"/>
      <c r="C56" s="152"/>
      <c r="D56" s="202"/>
      <c r="E56" s="171"/>
      <c r="F56" s="171"/>
      <c r="G56" s="171"/>
      <c r="H56" s="171"/>
      <c r="I56" s="171"/>
      <c r="J56" s="171"/>
      <c r="K56" s="171"/>
      <c r="L56" s="171"/>
      <c r="M56" s="171"/>
      <c r="N56" s="171"/>
      <c r="O56" s="171"/>
      <c r="P56" s="171"/>
      <c r="Q56" s="171"/>
      <c r="R56" s="171"/>
      <c r="S56" s="171"/>
      <c r="T56" s="171"/>
      <c r="U56" s="171"/>
      <c r="V56" s="171"/>
      <c r="W56" s="171"/>
      <c r="X56" s="171"/>
      <c r="Y56" s="171"/>
      <c r="Z56" s="171"/>
      <c r="AA56" s="171"/>
      <c r="AB56" s="171"/>
    </row>
    <row r="57" spans="1:28">
      <c r="A57" s="152"/>
      <c r="B57" s="149" t="s">
        <v>61</v>
      </c>
      <c r="D57" s="133">
        <f>+D53+D46+D33+D32+D31+D30</f>
        <v>115108.62069563039</v>
      </c>
      <c r="E57" s="133">
        <f>+E53+E46+E33+E32+E31+E30</f>
        <v>115108.62069563039</v>
      </c>
      <c r="F57" s="133">
        <f>+F53+F46+F33+F32+F31+F30</f>
        <v>115108.62069563039</v>
      </c>
      <c r="G57" s="133">
        <f>+G53+G46+G33+G32+G31+G30</f>
        <v>115108.62069563039</v>
      </c>
      <c r="H57" s="133">
        <f>+H53+H46+H33+H32+H31+H30</f>
        <v>115108.62069563039</v>
      </c>
      <c r="I57" s="133">
        <f>+I53+I46+I33+I32+I31+I30</f>
        <v>3406444.6206956306</v>
      </c>
      <c r="J57" s="133">
        <f>+J46+J33+J32+J31+J30</f>
        <v>115108.62069563039</v>
      </c>
      <c r="K57" s="133">
        <f t="shared" ref="K57:AB57" si="10">+K46+K33+K32+K31+K30</f>
        <v>115108.62069563039</v>
      </c>
      <c r="L57" s="133">
        <f t="shared" si="10"/>
        <v>115108.62069563039</v>
      </c>
      <c r="M57" s="133">
        <f t="shared" si="10"/>
        <v>115108.62069563039</v>
      </c>
      <c r="N57" s="133">
        <f t="shared" si="10"/>
        <v>115108.62069563039</v>
      </c>
      <c r="O57" s="133">
        <f t="shared" si="10"/>
        <v>115108.62069563039</v>
      </c>
      <c r="P57" s="133">
        <f t="shared" si="10"/>
        <v>115108.62069563039</v>
      </c>
      <c r="Q57" s="133">
        <f t="shared" si="10"/>
        <v>115108.62069563039</v>
      </c>
      <c r="R57" s="133">
        <f t="shared" si="10"/>
        <v>115108.62069563039</v>
      </c>
      <c r="S57" s="133">
        <f t="shared" si="10"/>
        <v>115108.62069563039</v>
      </c>
      <c r="T57" s="133">
        <f t="shared" si="10"/>
        <v>115108.62069563039</v>
      </c>
      <c r="U57" s="133">
        <f t="shared" si="10"/>
        <v>115108.62069563039</v>
      </c>
      <c r="V57" s="133">
        <f t="shared" si="10"/>
        <v>115108.62069563039</v>
      </c>
      <c r="W57" s="133">
        <f t="shared" si="10"/>
        <v>115108.62069563039</v>
      </c>
      <c r="X57" s="133">
        <f t="shared" si="10"/>
        <v>115108.62069563039</v>
      </c>
      <c r="Y57" s="133">
        <f t="shared" si="10"/>
        <v>115108.62069563039</v>
      </c>
      <c r="Z57" s="133">
        <f t="shared" si="10"/>
        <v>115108.62069563039</v>
      </c>
      <c r="AA57" s="133">
        <f t="shared" si="10"/>
        <v>115108.62069563039</v>
      </c>
      <c r="AB57" s="133">
        <f t="shared" si="10"/>
        <v>115108.62069563039</v>
      </c>
    </row>
    <row r="58" spans="1:28">
      <c r="A58" s="152"/>
      <c r="B58" s="149"/>
      <c r="D58" s="128"/>
      <c r="E58" s="128"/>
      <c r="F58" s="128"/>
      <c r="G58" s="128"/>
      <c r="H58" s="128"/>
      <c r="I58" s="128"/>
      <c r="J58" s="128"/>
      <c r="K58" s="128"/>
      <c r="L58" s="128"/>
      <c r="M58" s="128"/>
      <c r="N58" s="128"/>
      <c r="O58" s="128"/>
      <c r="P58" s="128"/>
      <c r="Q58" s="128"/>
      <c r="R58" s="128"/>
      <c r="S58" s="128"/>
      <c r="T58" s="128"/>
      <c r="U58" s="128"/>
      <c r="V58" s="128"/>
      <c r="W58" s="128"/>
    </row>
    <row r="59" spans="1:28">
      <c r="A59" s="152"/>
      <c r="B59" s="149" t="s">
        <v>81</v>
      </c>
      <c r="C59" s="146">
        <f>SUM(D57:M57)+C55</f>
        <v>4401651.0069563035</v>
      </c>
    </row>
    <row r="60" spans="1:28">
      <c r="A60" s="152"/>
      <c r="B60" s="149" t="s">
        <v>82</v>
      </c>
      <c r="C60" s="146">
        <f>SUM(D57:AB57)+C55</f>
        <v>6128280.3173907548</v>
      </c>
    </row>
    <row r="61" spans="1:28" ht="15" thickBot="1">
      <c r="A61" s="152"/>
      <c r="C61" s="134"/>
    </row>
    <row r="62" spans="1:28" ht="14.1" customHeight="1" thickTop="1" thickBot="1">
      <c r="A62" s="152"/>
      <c r="B62" s="135"/>
      <c r="C62" s="135"/>
      <c r="E62" s="136"/>
    </row>
    <row r="63" spans="1:28" ht="14.1" customHeight="1" thickTop="1" thickBot="1">
      <c r="A63" s="152"/>
      <c r="B63" s="135" t="s">
        <v>62</v>
      </c>
      <c r="C63" s="137">
        <v>113333724.95638849</v>
      </c>
    </row>
    <row r="64" spans="1:28" ht="14.1" customHeight="1" thickTop="1" thickBot="1">
      <c r="A64" s="152"/>
      <c r="B64" s="135" t="s">
        <v>63</v>
      </c>
      <c r="C64" s="137">
        <v>33333722.231315102</v>
      </c>
    </row>
    <row r="65" spans="1:3" ht="14.1" customHeight="1" thickTop="1" thickBot="1">
      <c r="A65" s="152"/>
      <c r="B65" s="135" t="s">
        <v>64</v>
      </c>
      <c r="C65" s="137">
        <f>C63/C60</f>
        <v>18.49356085014119</v>
      </c>
    </row>
    <row r="66" spans="1:3" ht="14.1" customHeight="1" thickTop="1" thickBot="1">
      <c r="A66" s="152"/>
      <c r="B66" s="135" t="s">
        <v>65</v>
      </c>
      <c r="C66" s="137">
        <f>C64/C60</f>
        <v>5.4393272671814792</v>
      </c>
    </row>
    <row r="67" spans="1:3" ht="15" thickTop="1">
      <c r="A67" s="152"/>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9198E9-C967-46E2-B9F0-CA431411E1AF}">
  <sheetPr codeName="Sheet4">
    <tabColor rgb="FFFF0000"/>
    <pageSetUpPr fitToPage="1"/>
  </sheetPr>
  <dimension ref="B1:J55"/>
  <sheetViews>
    <sheetView tabSelected="1" topLeftCell="A31" zoomScale="70" zoomScaleNormal="70" workbookViewId="0">
      <selection activeCell="F49" sqref="F49"/>
    </sheetView>
  </sheetViews>
  <sheetFormatPr defaultColWidth="11.42578125" defaultRowHeight="14.45"/>
  <cols>
    <col min="1" max="1" width="11.42578125" style="387"/>
    <col min="2" max="2" width="64.5703125" style="387" customWidth="1"/>
    <col min="3" max="3" width="20.42578125" style="387" bestFit="1" customWidth="1"/>
    <col min="4" max="4" width="16.42578125" style="387" bestFit="1" customWidth="1"/>
    <col min="5" max="5" width="17.85546875" style="387" bestFit="1" customWidth="1"/>
    <col min="6" max="6" width="15.42578125" style="387" bestFit="1" customWidth="1"/>
    <col min="7" max="7" width="13.5703125" style="387" bestFit="1" customWidth="1"/>
    <col min="8" max="8" width="13.28515625" style="387" bestFit="1" customWidth="1"/>
    <col min="9" max="9" width="13.5703125" style="387" bestFit="1" customWidth="1"/>
    <col min="10" max="16384" width="11.42578125" style="387"/>
  </cols>
  <sheetData>
    <row r="1" spans="2:7" ht="18.600000000000001" thickTop="1" thickBot="1">
      <c r="B1" s="870" t="s">
        <v>13</v>
      </c>
      <c r="C1" s="871"/>
      <c r="D1" s="871"/>
      <c r="E1" s="871"/>
      <c r="F1" s="872"/>
    </row>
    <row r="2" spans="2:7" ht="15" thickTop="1">
      <c r="B2" s="388"/>
      <c r="C2" s="389"/>
      <c r="F2" s="390"/>
    </row>
    <row r="3" spans="2:7" ht="17.45">
      <c r="B3" s="388" t="s">
        <v>14</v>
      </c>
      <c r="C3" s="760" t="s">
        <v>15</v>
      </c>
      <c r="D3" s="391"/>
      <c r="F3" s="392"/>
    </row>
    <row r="4" spans="2:7" ht="29.1">
      <c r="B4" s="393" t="s">
        <v>16</v>
      </c>
      <c r="C4" s="759" t="s">
        <v>17</v>
      </c>
      <c r="D4" s="394">
        <f>+'Emissions CalculationsSCPZ'!J4</f>
        <v>2.5857480000000002</v>
      </c>
      <c r="E4" s="395"/>
      <c r="F4" s="396"/>
    </row>
    <row r="5" spans="2:7" ht="29.1">
      <c r="B5" s="397" t="s">
        <v>18</v>
      </c>
      <c r="C5" s="759" t="s">
        <v>19</v>
      </c>
      <c r="D5" s="394">
        <f>+'Emissions CalculationsSCPZ'!J5</f>
        <v>14.690266840961538</v>
      </c>
      <c r="E5" s="395"/>
      <c r="F5" s="396"/>
      <c r="G5" s="802"/>
    </row>
    <row r="6" spans="2:7" ht="17.45">
      <c r="B6" s="388"/>
      <c r="C6" s="800" t="s">
        <v>20</v>
      </c>
      <c r="D6" s="398">
        <f>+'Emissions CalculationsSCPZ'!J6</f>
        <v>24576.661860096156</v>
      </c>
      <c r="E6" s="395"/>
      <c r="F6" s="399"/>
    </row>
    <row r="7" spans="2:7">
      <c r="B7" s="400" t="s">
        <v>21</v>
      </c>
      <c r="C7" s="401"/>
      <c r="D7" s="389"/>
      <c r="E7" s="389"/>
      <c r="F7" s="402"/>
    </row>
    <row r="8" spans="2:7" hidden="1">
      <c r="B8" s="393" t="s">
        <v>22</v>
      </c>
      <c r="C8" s="403">
        <v>0.64</v>
      </c>
      <c r="D8" s="404"/>
      <c r="E8" s="404"/>
      <c r="F8" s="405"/>
    </row>
    <row r="9" spans="2:7">
      <c r="B9" s="388" t="s">
        <v>23</v>
      </c>
      <c r="C9" s="403">
        <f>5*365</f>
        <v>1825</v>
      </c>
      <c r="D9" s="404"/>
      <c r="E9" s="404"/>
      <c r="F9" s="406"/>
    </row>
    <row r="10" spans="2:7">
      <c r="B10" s="388" t="s">
        <v>24</v>
      </c>
      <c r="C10" s="403">
        <f>12*365</f>
        <v>4380</v>
      </c>
      <c r="D10" s="404"/>
      <c r="E10" s="404"/>
      <c r="F10" s="406"/>
    </row>
    <row r="11" spans="2:7">
      <c r="B11" s="388" t="s">
        <v>25</v>
      </c>
      <c r="C11" s="403">
        <f>12*365</f>
        <v>4380</v>
      </c>
      <c r="D11" s="404"/>
      <c r="E11" s="404"/>
      <c r="F11" s="406"/>
    </row>
    <row r="12" spans="2:7">
      <c r="B12" s="388" t="s">
        <v>26</v>
      </c>
      <c r="C12" s="403">
        <v>0.8</v>
      </c>
      <c r="D12" s="404"/>
      <c r="E12" s="404"/>
      <c r="F12" s="406"/>
    </row>
    <row r="13" spans="2:7">
      <c r="B13" s="388" t="s">
        <v>27</v>
      </c>
      <c r="C13" s="403">
        <v>25</v>
      </c>
      <c r="D13" s="404"/>
      <c r="E13" s="404"/>
      <c r="F13" s="406"/>
    </row>
    <row r="14" spans="2:7">
      <c r="B14" s="388" t="s">
        <v>28</v>
      </c>
      <c r="C14" s="407">
        <f>+D6/'SCPZ Biogas Assump&amp; Estimation'!E32</f>
        <v>1</v>
      </c>
      <c r="D14" s="404"/>
      <c r="E14" s="404"/>
      <c r="F14" s="406"/>
    </row>
    <row r="15" spans="2:7">
      <c r="B15" s="388"/>
      <c r="C15" s="408"/>
      <c r="D15" s="409"/>
      <c r="E15" s="409"/>
      <c r="F15" s="410"/>
    </row>
    <row r="16" spans="2:7">
      <c r="B16" s="400" t="s">
        <v>29</v>
      </c>
      <c r="C16" s="411"/>
      <c r="D16" s="412" t="s">
        <v>30</v>
      </c>
      <c r="E16" s="413"/>
      <c r="F16" s="414"/>
    </row>
    <row r="17" spans="2:9">
      <c r="B17" s="415" t="s">
        <v>31</v>
      </c>
      <c r="C17" s="416"/>
      <c r="D17" s="404">
        <f>+D4*C12*C9</f>
        <v>3775.1920800000007</v>
      </c>
      <c r="E17" s="404"/>
      <c r="F17" s="405"/>
    </row>
    <row r="18" spans="2:9">
      <c r="B18" s="391" t="s">
        <v>32</v>
      </c>
      <c r="C18" s="416"/>
      <c r="D18" s="404">
        <f>+D5*C10*C12</f>
        <v>51474.695010729229</v>
      </c>
      <c r="E18" s="404"/>
      <c r="F18" s="406"/>
    </row>
    <row r="19" spans="2:9">
      <c r="B19" s="391" t="s">
        <v>33</v>
      </c>
      <c r="C19" s="416"/>
      <c r="D19" s="404">
        <f>'Emissions CalculationsSCPZ'!D19</f>
        <v>44867.100606099273</v>
      </c>
      <c r="E19" s="404"/>
      <c r="F19" s="406"/>
    </row>
    <row r="20" spans="2:9">
      <c r="B20" s="388"/>
      <c r="C20" s="416"/>
      <c r="D20" s="404"/>
      <c r="E20" s="404"/>
      <c r="F20" s="406"/>
    </row>
    <row r="21" spans="2:9">
      <c r="B21" s="400" t="s">
        <v>34</v>
      </c>
      <c r="C21" s="417"/>
      <c r="D21" s="418"/>
      <c r="E21" s="418"/>
      <c r="F21" s="419"/>
    </row>
    <row r="22" spans="2:9">
      <c r="B22" s="835" t="s">
        <v>35</v>
      </c>
      <c r="C22" s="420"/>
      <c r="D22" s="421">
        <f>'Emissions CalculationsSCPZ'!D23</f>
        <v>14738.459880322931</v>
      </c>
      <c r="E22" s="421"/>
      <c r="F22" s="422"/>
    </row>
    <row r="23" spans="2:9">
      <c r="B23" s="391" t="s">
        <v>36</v>
      </c>
      <c r="C23" s="421"/>
      <c r="D23" s="421">
        <f>C13*ProgrammeLevelDigesterAnalysis!G12</f>
        <v>477391.98571592598</v>
      </c>
      <c r="E23" s="423"/>
      <c r="F23" s="424"/>
    </row>
    <row r="24" spans="2:9">
      <c r="B24" s="391" t="s">
        <v>37</v>
      </c>
      <c r="C24" s="420"/>
      <c r="D24" s="421">
        <f>+(C14*ProgrammeLevelDigesterAnalysis!C67*C11*C8)</f>
        <v>0</v>
      </c>
      <c r="E24" s="423"/>
      <c r="F24" s="424"/>
    </row>
    <row r="25" spans="2:9">
      <c r="B25" s="391" t="s">
        <v>38</v>
      </c>
      <c r="C25" s="420"/>
      <c r="D25" s="421">
        <f>+'Emissions CalculationsSCPZ'!I26</f>
        <v>5743266</v>
      </c>
      <c r="E25" s="421"/>
      <c r="F25" s="424"/>
    </row>
    <row r="26" spans="2:9">
      <c r="B26" s="391" t="s">
        <v>39</v>
      </c>
      <c r="C26" s="420"/>
      <c r="D26" s="421">
        <f>+D45</f>
        <v>0</v>
      </c>
      <c r="E26" s="421"/>
      <c r="F26" s="424"/>
    </row>
    <row r="27" spans="2:9" ht="15" thickBot="1">
      <c r="B27" s="388" t="s">
        <v>40</v>
      </c>
      <c r="C27" s="429"/>
      <c r="D27" s="430">
        <f>SUM(D22:D26)</f>
        <v>6235396.4455962488</v>
      </c>
      <c r="E27" s="430"/>
      <c r="F27" s="425"/>
    </row>
    <row r="28" spans="2:9" ht="34.5" customHeight="1" thickBot="1">
      <c r="B28" s="438" t="s">
        <v>41</v>
      </c>
      <c r="C28" s="439"/>
      <c r="D28" s="440" t="s">
        <v>30</v>
      </c>
      <c r="E28" s="441" t="s">
        <v>42</v>
      </c>
      <c r="F28" s="440" t="s">
        <v>43</v>
      </c>
    </row>
    <row r="29" spans="2:9">
      <c r="B29" s="432" t="s">
        <v>44</v>
      </c>
      <c r="C29" s="436"/>
      <c r="D29" s="437">
        <f>'Emissions CalculationsSCPZ'!D29</f>
        <v>1007.0702392608001</v>
      </c>
      <c r="E29" s="437">
        <f>D29*5</f>
        <v>5035.351196304001</v>
      </c>
      <c r="F29" s="437">
        <f>E29</f>
        <v>5035.351196304001</v>
      </c>
      <c r="G29" s="758"/>
    </row>
    <row r="30" spans="2:9">
      <c r="B30" s="432" t="s">
        <v>45</v>
      </c>
      <c r="C30" s="420"/>
      <c r="D30" s="426">
        <f>'Emissions CalculationsSCPZ'!D30</f>
        <v>13731.389641062133</v>
      </c>
      <c r="E30" s="437">
        <f>D30*6</f>
        <v>82388.3378463728</v>
      </c>
      <c r="F30" s="426">
        <f>D30*25</f>
        <v>343284.74102655333</v>
      </c>
      <c r="G30" s="758"/>
      <c r="H30" s="456"/>
      <c r="I30" s="758"/>
    </row>
    <row r="31" spans="2:9">
      <c r="B31" s="432" t="s">
        <v>46</v>
      </c>
      <c r="C31" s="426"/>
      <c r="D31" s="426">
        <f>'Emissions CalculationsSCPZ'!D31</f>
        <v>424878.86728717404</v>
      </c>
      <c r="E31" s="437">
        <f>D31*6</f>
        <v>2549273.2037230441</v>
      </c>
      <c r="F31" s="426">
        <f>D31*25</f>
        <v>10621971.68217935</v>
      </c>
      <c r="H31" s="758"/>
    </row>
    <row r="32" spans="2:9">
      <c r="B32" s="432" t="s">
        <v>47</v>
      </c>
      <c r="C32" s="420"/>
      <c r="D32" s="426">
        <f>'Emissions CalculationsSCPZ'!D32</f>
        <v>11968.747757683041</v>
      </c>
      <c r="E32" s="437">
        <f>D32*6</f>
        <v>71812.48654609824</v>
      </c>
      <c r="F32" s="426">
        <f>D32*25</f>
        <v>299218.693942076</v>
      </c>
      <c r="G32" s="473">
        <f>SUM(D29:D32)</f>
        <v>451586.07492518</v>
      </c>
      <c r="H32" s="473">
        <f>SUM(E29:E32)</f>
        <v>2708509.3793118191</v>
      </c>
      <c r="I32" s="473">
        <f>SUM(F29:F32)</f>
        <v>11269510.468344284</v>
      </c>
    </row>
    <row r="33" spans="2:10" hidden="1">
      <c r="B33" s="433" t="s">
        <v>48</v>
      </c>
      <c r="C33" s="420"/>
      <c r="D33" s="426"/>
      <c r="E33" s="426"/>
      <c r="F33" s="426"/>
      <c r="I33" s="473"/>
      <c r="J33" s="467"/>
    </row>
    <row r="34" spans="2:10" hidden="1">
      <c r="B34" s="434"/>
      <c r="C34" s="420"/>
      <c r="D34" s="421"/>
      <c r="E34" s="421"/>
      <c r="F34" s="421"/>
    </row>
    <row r="35" spans="2:10" hidden="1">
      <c r="B35" s="435" t="s">
        <v>49</v>
      </c>
      <c r="C35" s="420"/>
      <c r="D35" s="442"/>
      <c r="E35" s="442"/>
      <c r="F35" s="442"/>
    </row>
    <row r="36" spans="2:10" hidden="1">
      <c r="B36" s="434" t="s">
        <v>50</v>
      </c>
      <c r="C36" s="420"/>
      <c r="D36" s="443"/>
      <c r="E36" s="443"/>
      <c r="F36" s="443"/>
    </row>
    <row r="37" spans="2:10" hidden="1">
      <c r="B37" s="434" t="s">
        <v>51</v>
      </c>
      <c r="C37" s="403"/>
      <c r="D37" s="427">
        <f>0.4*122136259/15/1000</f>
        <v>3256.9669066666665</v>
      </c>
      <c r="E37" s="427"/>
      <c r="F37" s="427"/>
    </row>
    <row r="38" spans="2:10" hidden="1">
      <c r="B38" s="434" t="s">
        <v>52</v>
      </c>
      <c r="C38" s="403"/>
      <c r="D38" s="444">
        <v>374.51</v>
      </c>
      <c r="E38" s="444"/>
      <c r="F38" s="444"/>
    </row>
    <row r="39" spans="2:10" hidden="1">
      <c r="B39" s="434" t="s">
        <v>53</v>
      </c>
      <c r="C39" s="403"/>
      <c r="D39" s="444">
        <v>4.8600000000000003</v>
      </c>
      <c r="E39" s="444"/>
      <c r="F39" s="444"/>
    </row>
    <row r="40" spans="2:10" hidden="1">
      <c r="B40" s="434" t="s">
        <v>54</v>
      </c>
      <c r="C40" s="403"/>
      <c r="D40" s="421">
        <f>D38*D39</f>
        <v>1820.1186</v>
      </c>
      <c r="E40" s="421"/>
      <c r="F40" s="421"/>
    </row>
    <row r="41" spans="2:10" hidden="1">
      <c r="B41" s="434"/>
      <c r="C41" s="420"/>
      <c r="D41" s="421"/>
      <c r="E41" s="421"/>
      <c r="F41" s="421"/>
    </row>
    <row r="42" spans="2:10" hidden="1">
      <c r="B42" s="761" t="s">
        <v>55</v>
      </c>
      <c r="C42" s="395"/>
      <c r="D42" s="796"/>
      <c r="E42" s="796"/>
      <c r="F42" s="796"/>
      <c r="I42" s="456"/>
    </row>
    <row r="43" spans="2:10" hidden="1">
      <c r="B43" s="762" t="s">
        <v>56</v>
      </c>
      <c r="C43" s="395"/>
      <c r="D43" s="796"/>
      <c r="E43" s="796"/>
      <c r="F43" s="796"/>
    </row>
    <row r="44" spans="2:10" hidden="1">
      <c r="B44" s="762" t="s">
        <v>57</v>
      </c>
      <c r="C44" s="797"/>
      <c r="D44" s="796"/>
      <c r="E44" s="796"/>
      <c r="F44" s="796"/>
    </row>
    <row r="45" spans="2:10" hidden="1">
      <c r="B45" s="762" t="s">
        <v>54</v>
      </c>
      <c r="C45" s="395"/>
      <c r="D45" s="798">
        <f>$C43*$C44</f>
        <v>0</v>
      </c>
      <c r="E45" s="799">
        <f>D45*10</f>
        <v>0</v>
      </c>
      <c r="F45" s="799">
        <f>D45*25</f>
        <v>0</v>
      </c>
    </row>
    <row r="46" spans="2:10">
      <c r="B46" s="433" t="s">
        <v>58</v>
      </c>
      <c r="C46" s="794"/>
      <c r="D46" s="795"/>
      <c r="E46" s="795"/>
      <c r="F46" s="795"/>
    </row>
    <row r="47" spans="2:10">
      <c r="B47" s="420" t="s">
        <v>59</v>
      </c>
      <c r="C47" s="178"/>
      <c r="D47" s="465">
        <f>+'Emissions CalculationsSCPZ'!I26</f>
        <v>5743266</v>
      </c>
      <c r="E47" s="466">
        <f>D47</f>
        <v>5743266</v>
      </c>
      <c r="F47" s="466">
        <f>D47</f>
        <v>5743266</v>
      </c>
      <c r="I47" s="456"/>
    </row>
    <row r="48" spans="2:10">
      <c r="B48" s="836" t="s">
        <v>60</v>
      </c>
      <c r="C48" s="178">
        <f>-'Roads construction and rehab'!D15</f>
        <v>-58894.399999999994</v>
      </c>
      <c r="D48" s="465"/>
      <c r="E48" s="466"/>
      <c r="F48" s="466"/>
      <c r="I48" s="456"/>
    </row>
    <row r="49" spans="2:8" ht="15" thickBot="1">
      <c r="B49" s="460" t="s">
        <v>61</v>
      </c>
      <c r="C49" s="461"/>
      <c r="D49" s="462">
        <f>+D47+D45+D32+D31+D30+D29</f>
        <v>6194852.0749251796</v>
      </c>
      <c r="E49" s="463">
        <f>+E47+E45+E32+E31+E30+E29+C48</f>
        <v>8392880.9793118183</v>
      </c>
      <c r="F49" s="464">
        <f>+F47+F45+F32+F31+F30+F29+C48</f>
        <v>16953882.068344284</v>
      </c>
      <c r="G49" s="803"/>
      <c r="H49" s="456"/>
    </row>
    <row r="50" spans="2:8" ht="14.1" customHeight="1" thickBot="1">
      <c r="B50" s="431"/>
      <c r="C50" s="806"/>
    </row>
    <row r="51" spans="2:8" ht="14.1" customHeight="1" thickTop="1" thickBot="1">
      <c r="B51" s="135" t="s">
        <v>62</v>
      </c>
      <c r="C51" s="807">
        <f>'[4]Detailed Budget Summary'!$G$3</f>
        <v>271703524.58942312</v>
      </c>
    </row>
    <row r="52" spans="2:8" ht="14.1" customHeight="1" thickTop="1" thickBot="1">
      <c r="B52" s="135" t="s">
        <v>63</v>
      </c>
      <c r="C52" s="807">
        <f>'[4]Detailed Budget Summary'!$G$4</f>
        <v>102790987.6394231</v>
      </c>
    </row>
    <row r="53" spans="2:8" ht="14.1" customHeight="1" thickTop="1" thickBot="1">
      <c r="B53" s="135" t="s">
        <v>64</v>
      </c>
      <c r="C53" s="428">
        <f>+C51/F49</f>
        <v>16.026036013116947</v>
      </c>
    </row>
    <row r="54" spans="2:8" ht="14.1" customHeight="1" thickTop="1" thickBot="1">
      <c r="B54" s="135" t="s">
        <v>65</v>
      </c>
      <c r="C54" s="428">
        <f>+C52/F49</f>
        <v>6.0629764454567585</v>
      </c>
    </row>
    <row r="55" spans="2:8" ht="15" thickTop="1"/>
  </sheetData>
  <mergeCells count="1">
    <mergeCell ref="B1:F1"/>
  </mergeCells>
  <pageMargins left="0.7" right="0.7" top="0.75" bottom="0.75" header="0.3" footer="0.3"/>
  <pageSetup paperSize="9" scale="66"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2B2D65-6D6C-4671-80A9-924A2C6C1390}">
  <sheetPr>
    <tabColor rgb="FF00B050"/>
  </sheetPr>
  <dimension ref="A1:AM172"/>
  <sheetViews>
    <sheetView showGridLines="0" zoomScaleNormal="100" workbookViewId="0">
      <selection activeCell="G6" sqref="G6"/>
    </sheetView>
  </sheetViews>
  <sheetFormatPr defaultColWidth="8.85546875" defaultRowHeight="12.6"/>
  <cols>
    <col min="1" max="1" width="7.28515625" style="474" customWidth="1"/>
    <col min="2" max="2" width="41" style="474" customWidth="1"/>
    <col min="3" max="3" width="23" style="474" customWidth="1"/>
    <col min="4" max="4" width="29.140625" style="474" customWidth="1"/>
    <col min="5" max="5" width="30.5703125" style="474" customWidth="1"/>
    <col min="6" max="6" width="22" style="474" customWidth="1"/>
    <col min="7" max="7" width="17.42578125" style="474" customWidth="1"/>
    <col min="8" max="8" width="19.85546875" style="474" customWidth="1"/>
    <col min="9" max="9" width="19.140625" style="474" customWidth="1"/>
    <col min="10" max="10" width="20.5703125" style="474" customWidth="1"/>
    <col min="11" max="11" width="19.7109375" style="474" customWidth="1"/>
    <col min="12" max="12" width="14.5703125" style="474" bestFit="1" customWidth="1"/>
    <col min="13" max="13" width="14.85546875" style="474" bestFit="1" customWidth="1"/>
    <col min="14" max="14" width="17.140625" style="474" customWidth="1"/>
    <col min="15" max="15" width="16.42578125" style="474" bestFit="1" customWidth="1"/>
    <col min="16" max="16" width="17.140625" style="474" bestFit="1" customWidth="1"/>
    <col min="17" max="17" width="24.28515625" style="474" customWidth="1"/>
    <col min="18" max="18" width="18.28515625" style="475" bestFit="1" customWidth="1"/>
    <col min="19" max="19" width="18.5703125" style="474" bestFit="1" customWidth="1"/>
    <col min="20" max="20" width="19.28515625" style="474" bestFit="1" customWidth="1"/>
    <col min="21" max="21" width="20.42578125" style="474" bestFit="1" customWidth="1"/>
    <col min="22" max="22" width="20.85546875" style="474" bestFit="1" customWidth="1"/>
    <col min="23" max="23" width="21.42578125" style="474" bestFit="1" customWidth="1"/>
    <col min="24" max="25" width="22.28515625" style="474" bestFit="1" customWidth="1"/>
    <col min="26" max="27" width="23.85546875" style="474" bestFit="1" customWidth="1"/>
    <col min="28" max="29" width="24.85546875" style="474" bestFit="1" customWidth="1"/>
    <col min="30" max="34" width="11.28515625" style="474" bestFit="1" customWidth="1"/>
    <col min="35" max="39" width="12.28515625" style="474" bestFit="1" customWidth="1"/>
    <col min="40" max="40" width="12" style="474" bestFit="1" customWidth="1"/>
    <col min="41" max="256" width="8.85546875" style="474"/>
    <col min="257" max="257" width="7.28515625" style="474" customWidth="1"/>
    <col min="258" max="258" width="41" style="474" customWidth="1"/>
    <col min="259" max="259" width="16" style="474" customWidth="1"/>
    <col min="260" max="260" width="16.140625" style="474" bestFit="1" customWidth="1"/>
    <col min="261" max="261" width="11.85546875" style="474" customWidth="1"/>
    <col min="262" max="262" width="12.42578125" style="474" bestFit="1" customWidth="1"/>
    <col min="263" max="264" width="13" style="474" bestFit="1" customWidth="1"/>
    <col min="265" max="265" width="12.7109375" style="474" bestFit="1" customWidth="1"/>
    <col min="266" max="266" width="13.42578125" style="474" bestFit="1" customWidth="1"/>
    <col min="267" max="267" width="13.7109375" style="474" bestFit="1" customWidth="1"/>
    <col min="268" max="268" width="14.5703125" style="474" bestFit="1" customWidth="1"/>
    <col min="269" max="269" width="14.85546875" style="474" bestFit="1" customWidth="1"/>
    <col min="270" max="270" width="17.140625" style="474" customWidth="1"/>
    <col min="271" max="271" width="16.42578125" style="474" bestFit="1" customWidth="1"/>
    <col min="272" max="272" width="17.140625" style="474" bestFit="1" customWidth="1"/>
    <col min="273" max="273" width="24.28515625" style="474" customWidth="1"/>
    <col min="274" max="274" width="18.28515625" style="474" bestFit="1" customWidth="1"/>
    <col min="275" max="275" width="18.5703125" style="474" bestFit="1" customWidth="1"/>
    <col min="276" max="276" width="19.28515625" style="474" bestFit="1" customWidth="1"/>
    <col min="277" max="277" width="20.42578125" style="474" bestFit="1" customWidth="1"/>
    <col min="278" max="278" width="20.85546875" style="474" bestFit="1" customWidth="1"/>
    <col min="279" max="279" width="21.42578125" style="474" bestFit="1" customWidth="1"/>
    <col min="280" max="281" width="22.28515625" style="474" bestFit="1" customWidth="1"/>
    <col min="282" max="283" width="23.85546875" style="474" bestFit="1" customWidth="1"/>
    <col min="284" max="285" width="24.85546875" style="474" bestFit="1" customWidth="1"/>
    <col min="286" max="290" width="11.28515625" style="474" bestFit="1" customWidth="1"/>
    <col min="291" max="295" width="12.28515625" style="474" bestFit="1" customWidth="1"/>
    <col min="296" max="296" width="12" style="474" bestFit="1" customWidth="1"/>
    <col min="297" max="512" width="8.85546875" style="474"/>
    <col min="513" max="513" width="7.28515625" style="474" customWidth="1"/>
    <col min="514" max="514" width="41" style="474" customWidth="1"/>
    <col min="515" max="515" width="16" style="474" customWidth="1"/>
    <col min="516" max="516" width="16.140625" style="474" bestFit="1" customWidth="1"/>
    <col min="517" max="517" width="11.85546875" style="474" customWidth="1"/>
    <col min="518" max="518" width="12.42578125" style="474" bestFit="1" customWidth="1"/>
    <col min="519" max="520" width="13" style="474" bestFit="1" customWidth="1"/>
    <col min="521" max="521" width="12.7109375" style="474" bestFit="1" customWidth="1"/>
    <col min="522" max="522" width="13.42578125" style="474" bestFit="1" customWidth="1"/>
    <col min="523" max="523" width="13.7109375" style="474" bestFit="1" customWidth="1"/>
    <col min="524" max="524" width="14.5703125" style="474" bestFit="1" customWidth="1"/>
    <col min="525" max="525" width="14.85546875" style="474" bestFit="1" customWidth="1"/>
    <col min="526" max="526" width="17.140625" style="474" customWidth="1"/>
    <col min="527" max="527" width="16.42578125" style="474" bestFit="1" customWidth="1"/>
    <col min="528" max="528" width="17.140625" style="474" bestFit="1" customWidth="1"/>
    <col min="529" max="529" width="24.28515625" style="474" customWidth="1"/>
    <col min="530" max="530" width="18.28515625" style="474" bestFit="1" customWidth="1"/>
    <col min="531" max="531" width="18.5703125" style="474" bestFit="1" customWidth="1"/>
    <col min="532" max="532" width="19.28515625" style="474" bestFit="1" customWidth="1"/>
    <col min="533" max="533" width="20.42578125" style="474" bestFit="1" customWidth="1"/>
    <col min="534" max="534" width="20.85546875" style="474" bestFit="1" customWidth="1"/>
    <col min="535" max="535" width="21.42578125" style="474" bestFit="1" customWidth="1"/>
    <col min="536" max="537" width="22.28515625" style="474" bestFit="1" customWidth="1"/>
    <col min="538" max="539" width="23.85546875" style="474" bestFit="1" customWidth="1"/>
    <col min="540" max="541" width="24.85546875" style="474" bestFit="1" customWidth="1"/>
    <col min="542" max="546" width="11.28515625" style="474" bestFit="1" customWidth="1"/>
    <col min="547" max="551" width="12.28515625" style="474" bestFit="1" customWidth="1"/>
    <col min="552" max="552" width="12" style="474" bestFit="1" customWidth="1"/>
    <col min="553" max="768" width="8.85546875" style="474"/>
    <col min="769" max="769" width="7.28515625" style="474" customWidth="1"/>
    <col min="770" max="770" width="41" style="474" customWidth="1"/>
    <col min="771" max="771" width="16" style="474" customWidth="1"/>
    <col min="772" max="772" width="16.140625" style="474" bestFit="1" customWidth="1"/>
    <col min="773" max="773" width="11.85546875" style="474" customWidth="1"/>
    <col min="774" max="774" width="12.42578125" style="474" bestFit="1" customWidth="1"/>
    <col min="775" max="776" width="13" style="474" bestFit="1" customWidth="1"/>
    <col min="777" max="777" width="12.7109375" style="474" bestFit="1" customWidth="1"/>
    <col min="778" max="778" width="13.42578125" style="474" bestFit="1" customWidth="1"/>
    <col min="779" max="779" width="13.7109375" style="474" bestFit="1" customWidth="1"/>
    <col min="780" max="780" width="14.5703125" style="474" bestFit="1" customWidth="1"/>
    <col min="781" max="781" width="14.85546875" style="474" bestFit="1" customWidth="1"/>
    <col min="782" max="782" width="17.140625" style="474" customWidth="1"/>
    <col min="783" max="783" width="16.42578125" style="474" bestFit="1" customWidth="1"/>
    <col min="784" max="784" width="17.140625" style="474" bestFit="1" customWidth="1"/>
    <col min="785" max="785" width="24.28515625" style="474" customWidth="1"/>
    <col min="786" max="786" width="18.28515625" style="474" bestFit="1" customWidth="1"/>
    <col min="787" max="787" width="18.5703125" style="474" bestFit="1" customWidth="1"/>
    <col min="788" max="788" width="19.28515625" style="474" bestFit="1" customWidth="1"/>
    <col min="789" max="789" width="20.42578125" style="474" bestFit="1" customWidth="1"/>
    <col min="790" max="790" width="20.85546875" style="474" bestFit="1" customWidth="1"/>
    <col min="791" max="791" width="21.42578125" style="474" bestFit="1" customWidth="1"/>
    <col min="792" max="793" width="22.28515625" style="474" bestFit="1" customWidth="1"/>
    <col min="794" max="795" width="23.85546875" style="474" bestFit="1" customWidth="1"/>
    <col min="796" max="797" width="24.85546875" style="474" bestFit="1" customWidth="1"/>
    <col min="798" max="802" width="11.28515625" style="474" bestFit="1" customWidth="1"/>
    <col min="803" max="807" width="12.28515625" style="474" bestFit="1" customWidth="1"/>
    <col min="808" max="808" width="12" style="474" bestFit="1" customWidth="1"/>
    <col min="809" max="1024" width="8.85546875" style="474"/>
    <col min="1025" max="1025" width="7.28515625" style="474" customWidth="1"/>
    <col min="1026" max="1026" width="41" style="474" customWidth="1"/>
    <col min="1027" max="1027" width="16" style="474" customWidth="1"/>
    <col min="1028" max="1028" width="16.140625" style="474" bestFit="1" customWidth="1"/>
    <col min="1029" max="1029" width="11.85546875" style="474" customWidth="1"/>
    <col min="1030" max="1030" width="12.42578125" style="474" bestFit="1" customWidth="1"/>
    <col min="1031" max="1032" width="13" style="474" bestFit="1" customWidth="1"/>
    <col min="1033" max="1033" width="12.7109375" style="474" bestFit="1" customWidth="1"/>
    <col min="1034" max="1034" width="13.42578125" style="474" bestFit="1" customWidth="1"/>
    <col min="1035" max="1035" width="13.7109375" style="474" bestFit="1" customWidth="1"/>
    <col min="1036" max="1036" width="14.5703125" style="474" bestFit="1" customWidth="1"/>
    <col min="1037" max="1037" width="14.85546875" style="474" bestFit="1" customWidth="1"/>
    <col min="1038" max="1038" width="17.140625" style="474" customWidth="1"/>
    <col min="1039" max="1039" width="16.42578125" style="474" bestFit="1" customWidth="1"/>
    <col min="1040" max="1040" width="17.140625" style="474" bestFit="1" customWidth="1"/>
    <col min="1041" max="1041" width="24.28515625" style="474" customWidth="1"/>
    <col min="1042" max="1042" width="18.28515625" style="474" bestFit="1" customWidth="1"/>
    <col min="1043" max="1043" width="18.5703125" style="474" bestFit="1" customWidth="1"/>
    <col min="1044" max="1044" width="19.28515625" style="474" bestFit="1" customWidth="1"/>
    <col min="1045" max="1045" width="20.42578125" style="474" bestFit="1" customWidth="1"/>
    <col min="1046" max="1046" width="20.85546875" style="474" bestFit="1" customWidth="1"/>
    <col min="1047" max="1047" width="21.42578125" style="474" bestFit="1" customWidth="1"/>
    <col min="1048" max="1049" width="22.28515625" style="474" bestFit="1" customWidth="1"/>
    <col min="1050" max="1051" width="23.85546875" style="474" bestFit="1" customWidth="1"/>
    <col min="1052" max="1053" width="24.85546875" style="474" bestFit="1" customWidth="1"/>
    <col min="1054" max="1058" width="11.28515625" style="474" bestFit="1" customWidth="1"/>
    <col min="1059" max="1063" width="12.28515625" style="474" bestFit="1" customWidth="1"/>
    <col min="1064" max="1064" width="12" style="474" bestFit="1" customWidth="1"/>
    <col min="1065" max="1280" width="8.85546875" style="474"/>
    <col min="1281" max="1281" width="7.28515625" style="474" customWidth="1"/>
    <col min="1282" max="1282" width="41" style="474" customWidth="1"/>
    <col min="1283" max="1283" width="16" style="474" customWidth="1"/>
    <col min="1284" max="1284" width="16.140625" style="474" bestFit="1" customWidth="1"/>
    <col min="1285" max="1285" width="11.85546875" style="474" customWidth="1"/>
    <col min="1286" max="1286" width="12.42578125" style="474" bestFit="1" customWidth="1"/>
    <col min="1287" max="1288" width="13" style="474" bestFit="1" customWidth="1"/>
    <col min="1289" max="1289" width="12.7109375" style="474" bestFit="1" customWidth="1"/>
    <col min="1290" max="1290" width="13.42578125" style="474" bestFit="1" customWidth="1"/>
    <col min="1291" max="1291" width="13.7109375" style="474" bestFit="1" customWidth="1"/>
    <col min="1292" max="1292" width="14.5703125" style="474" bestFit="1" customWidth="1"/>
    <col min="1293" max="1293" width="14.85546875" style="474" bestFit="1" customWidth="1"/>
    <col min="1294" max="1294" width="17.140625" style="474" customWidth="1"/>
    <col min="1295" max="1295" width="16.42578125" style="474" bestFit="1" customWidth="1"/>
    <col min="1296" max="1296" width="17.140625" style="474" bestFit="1" customWidth="1"/>
    <col min="1297" max="1297" width="24.28515625" style="474" customWidth="1"/>
    <col min="1298" max="1298" width="18.28515625" style="474" bestFit="1" customWidth="1"/>
    <col min="1299" max="1299" width="18.5703125" style="474" bestFit="1" customWidth="1"/>
    <col min="1300" max="1300" width="19.28515625" style="474" bestFit="1" customWidth="1"/>
    <col min="1301" max="1301" width="20.42578125" style="474" bestFit="1" customWidth="1"/>
    <col min="1302" max="1302" width="20.85546875" style="474" bestFit="1" customWidth="1"/>
    <col min="1303" max="1303" width="21.42578125" style="474" bestFit="1" customWidth="1"/>
    <col min="1304" max="1305" width="22.28515625" style="474" bestFit="1" customWidth="1"/>
    <col min="1306" max="1307" width="23.85546875" style="474" bestFit="1" customWidth="1"/>
    <col min="1308" max="1309" width="24.85546875" style="474" bestFit="1" customWidth="1"/>
    <col min="1310" max="1314" width="11.28515625" style="474" bestFit="1" customWidth="1"/>
    <col min="1315" max="1319" width="12.28515625" style="474" bestFit="1" customWidth="1"/>
    <col min="1320" max="1320" width="12" style="474" bestFit="1" customWidth="1"/>
    <col min="1321" max="1536" width="8.85546875" style="474"/>
    <col min="1537" max="1537" width="7.28515625" style="474" customWidth="1"/>
    <col min="1538" max="1538" width="41" style="474" customWidth="1"/>
    <col min="1539" max="1539" width="16" style="474" customWidth="1"/>
    <col min="1540" max="1540" width="16.140625" style="474" bestFit="1" customWidth="1"/>
    <col min="1541" max="1541" width="11.85546875" style="474" customWidth="1"/>
    <col min="1542" max="1542" width="12.42578125" style="474" bestFit="1" customWidth="1"/>
    <col min="1543" max="1544" width="13" style="474" bestFit="1" customWidth="1"/>
    <col min="1545" max="1545" width="12.7109375" style="474" bestFit="1" customWidth="1"/>
    <col min="1546" max="1546" width="13.42578125" style="474" bestFit="1" customWidth="1"/>
    <col min="1547" max="1547" width="13.7109375" style="474" bestFit="1" customWidth="1"/>
    <col min="1548" max="1548" width="14.5703125" style="474" bestFit="1" customWidth="1"/>
    <col min="1549" max="1549" width="14.85546875" style="474" bestFit="1" customWidth="1"/>
    <col min="1550" max="1550" width="17.140625" style="474" customWidth="1"/>
    <col min="1551" max="1551" width="16.42578125" style="474" bestFit="1" customWidth="1"/>
    <col min="1552" max="1552" width="17.140625" style="474" bestFit="1" customWidth="1"/>
    <col min="1553" max="1553" width="24.28515625" style="474" customWidth="1"/>
    <col min="1554" max="1554" width="18.28515625" style="474" bestFit="1" customWidth="1"/>
    <col min="1555" max="1555" width="18.5703125" style="474" bestFit="1" customWidth="1"/>
    <col min="1556" max="1556" width="19.28515625" style="474" bestFit="1" customWidth="1"/>
    <col min="1557" max="1557" width="20.42578125" style="474" bestFit="1" customWidth="1"/>
    <col min="1558" max="1558" width="20.85546875" style="474" bestFit="1" customWidth="1"/>
    <col min="1559" max="1559" width="21.42578125" style="474" bestFit="1" customWidth="1"/>
    <col min="1560" max="1561" width="22.28515625" style="474" bestFit="1" customWidth="1"/>
    <col min="1562" max="1563" width="23.85546875" style="474" bestFit="1" customWidth="1"/>
    <col min="1564" max="1565" width="24.85546875" style="474" bestFit="1" customWidth="1"/>
    <col min="1566" max="1570" width="11.28515625" style="474" bestFit="1" customWidth="1"/>
    <col min="1571" max="1575" width="12.28515625" style="474" bestFit="1" customWidth="1"/>
    <col min="1576" max="1576" width="12" style="474" bestFit="1" customWidth="1"/>
    <col min="1577" max="1792" width="8.85546875" style="474"/>
    <col min="1793" max="1793" width="7.28515625" style="474" customWidth="1"/>
    <col min="1794" max="1794" width="41" style="474" customWidth="1"/>
    <col min="1795" max="1795" width="16" style="474" customWidth="1"/>
    <col min="1796" max="1796" width="16.140625" style="474" bestFit="1" customWidth="1"/>
    <col min="1797" max="1797" width="11.85546875" style="474" customWidth="1"/>
    <col min="1798" max="1798" width="12.42578125" style="474" bestFit="1" customWidth="1"/>
    <col min="1799" max="1800" width="13" style="474" bestFit="1" customWidth="1"/>
    <col min="1801" max="1801" width="12.7109375" style="474" bestFit="1" customWidth="1"/>
    <col min="1802" max="1802" width="13.42578125" style="474" bestFit="1" customWidth="1"/>
    <col min="1803" max="1803" width="13.7109375" style="474" bestFit="1" customWidth="1"/>
    <col min="1804" max="1804" width="14.5703125" style="474" bestFit="1" customWidth="1"/>
    <col min="1805" max="1805" width="14.85546875" style="474" bestFit="1" customWidth="1"/>
    <col min="1806" max="1806" width="17.140625" style="474" customWidth="1"/>
    <col min="1807" max="1807" width="16.42578125" style="474" bestFit="1" customWidth="1"/>
    <col min="1808" max="1808" width="17.140625" style="474" bestFit="1" customWidth="1"/>
    <col min="1809" max="1809" width="24.28515625" style="474" customWidth="1"/>
    <col min="1810" max="1810" width="18.28515625" style="474" bestFit="1" customWidth="1"/>
    <col min="1811" max="1811" width="18.5703125" style="474" bestFit="1" customWidth="1"/>
    <col min="1812" max="1812" width="19.28515625" style="474" bestFit="1" customWidth="1"/>
    <col min="1813" max="1813" width="20.42578125" style="474" bestFit="1" customWidth="1"/>
    <col min="1814" max="1814" width="20.85546875" style="474" bestFit="1" customWidth="1"/>
    <col min="1815" max="1815" width="21.42578125" style="474" bestFit="1" customWidth="1"/>
    <col min="1816" max="1817" width="22.28515625" style="474" bestFit="1" customWidth="1"/>
    <col min="1818" max="1819" width="23.85546875" style="474" bestFit="1" customWidth="1"/>
    <col min="1820" max="1821" width="24.85546875" style="474" bestFit="1" customWidth="1"/>
    <col min="1822" max="1826" width="11.28515625" style="474" bestFit="1" customWidth="1"/>
    <col min="1827" max="1831" width="12.28515625" style="474" bestFit="1" customWidth="1"/>
    <col min="1832" max="1832" width="12" style="474" bestFit="1" customWidth="1"/>
    <col min="1833" max="2048" width="8.85546875" style="474"/>
    <col min="2049" max="2049" width="7.28515625" style="474" customWidth="1"/>
    <col min="2050" max="2050" width="41" style="474" customWidth="1"/>
    <col min="2051" max="2051" width="16" style="474" customWidth="1"/>
    <col min="2052" max="2052" width="16.140625" style="474" bestFit="1" customWidth="1"/>
    <col min="2053" max="2053" width="11.85546875" style="474" customWidth="1"/>
    <col min="2054" max="2054" width="12.42578125" style="474" bestFit="1" customWidth="1"/>
    <col min="2055" max="2056" width="13" style="474" bestFit="1" customWidth="1"/>
    <col min="2057" max="2057" width="12.7109375" style="474" bestFit="1" customWidth="1"/>
    <col min="2058" max="2058" width="13.42578125" style="474" bestFit="1" customWidth="1"/>
    <col min="2059" max="2059" width="13.7109375" style="474" bestFit="1" customWidth="1"/>
    <col min="2060" max="2060" width="14.5703125" style="474" bestFit="1" customWidth="1"/>
    <col min="2061" max="2061" width="14.85546875" style="474" bestFit="1" customWidth="1"/>
    <col min="2062" max="2062" width="17.140625" style="474" customWidth="1"/>
    <col min="2063" max="2063" width="16.42578125" style="474" bestFit="1" customWidth="1"/>
    <col min="2064" max="2064" width="17.140625" style="474" bestFit="1" customWidth="1"/>
    <col min="2065" max="2065" width="24.28515625" style="474" customWidth="1"/>
    <col min="2066" max="2066" width="18.28515625" style="474" bestFit="1" customWidth="1"/>
    <col min="2067" max="2067" width="18.5703125" style="474" bestFit="1" customWidth="1"/>
    <col min="2068" max="2068" width="19.28515625" style="474" bestFit="1" customWidth="1"/>
    <col min="2069" max="2069" width="20.42578125" style="474" bestFit="1" customWidth="1"/>
    <col min="2070" max="2070" width="20.85546875" style="474" bestFit="1" customWidth="1"/>
    <col min="2071" max="2071" width="21.42578125" style="474" bestFit="1" customWidth="1"/>
    <col min="2072" max="2073" width="22.28515625" style="474" bestFit="1" customWidth="1"/>
    <col min="2074" max="2075" width="23.85546875" style="474" bestFit="1" customWidth="1"/>
    <col min="2076" max="2077" width="24.85546875" style="474" bestFit="1" customWidth="1"/>
    <col min="2078" max="2082" width="11.28515625" style="474" bestFit="1" customWidth="1"/>
    <col min="2083" max="2087" width="12.28515625" style="474" bestFit="1" customWidth="1"/>
    <col min="2088" max="2088" width="12" style="474" bestFit="1" customWidth="1"/>
    <col min="2089" max="2304" width="8.85546875" style="474"/>
    <col min="2305" max="2305" width="7.28515625" style="474" customWidth="1"/>
    <col min="2306" max="2306" width="41" style="474" customWidth="1"/>
    <col min="2307" max="2307" width="16" style="474" customWidth="1"/>
    <col min="2308" max="2308" width="16.140625" style="474" bestFit="1" customWidth="1"/>
    <col min="2309" max="2309" width="11.85546875" style="474" customWidth="1"/>
    <col min="2310" max="2310" width="12.42578125" style="474" bestFit="1" customWidth="1"/>
    <col min="2311" max="2312" width="13" style="474" bestFit="1" customWidth="1"/>
    <col min="2313" max="2313" width="12.7109375" style="474" bestFit="1" customWidth="1"/>
    <col min="2314" max="2314" width="13.42578125" style="474" bestFit="1" customWidth="1"/>
    <col min="2315" max="2315" width="13.7109375" style="474" bestFit="1" customWidth="1"/>
    <col min="2316" max="2316" width="14.5703125" style="474" bestFit="1" customWidth="1"/>
    <col min="2317" max="2317" width="14.85546875" style="474" bestFit="1" customWidth="1"/>
    <col min="2318" max="2318" width="17.140625" style="474" customWidth="1"/>
    <col min="2319" max="2319" width="16.42578125" style="474" bestFit="1" customWidth="1"/>
    <col min="2320" max="2320" width="17.140625" style="474" bestFit="1" customWidth="1"/>
    <col min="2321" max="2321" width="24.28515625" style="474" customWidth="1"/>
    <col min="2322" max="2322" width="18.28515625" style="474" bestFit="1" customWidth="1"/>
    <col min="2323" max="2323" width="18.5703125" style="474" bestFit="1" customWidth="1"/>
    <col min="2324" max="2324" width="19.28515625" style="474" bestFit="1" customWidth="1"/>
    <col min="2325" max="2325" width="20.42578125" style="474" bestFit="1" customWidth="1"/>
    <col min="2326" max="2326" width="20.85546875" style="474" bestFit="1" customWidth="1"/>
    <col min="2327" max="2327" width="21.42578125" style="474" bestFit="1" customWidth="1"/>
    <col min="2328" max="2329" width="22.28515625" style="474" bestFit="1" customWidth="1"/>
    <col min="2330" max="2331" width="23.85546875" style="474" bestFit="1" customWidth="1"/>
    <col min="2332" max="2333" width="24.85546875" style="474" bestFit="1" customWidth="1"/>
    <col min="2334" max="2338" width="11.28515625" style="474" bestFit="1" customWidth="1"/>
    <col min="2339" max="2343" width="12.28515625" style="474" bestFit="1" customWidth="1"/>
    <col min="2344" max="2344" width="12" style="474" bestFit="1" customWidth="1"/>
    <col min="2345" max="2560" width="8.85546875" style="474"/>
    <col min="2561" max="2561" width="7.28515625" style="474" customWidth="1"/>
    <col min="2562" max="2562" width="41" style="474" customWidth="1"/>
    <col min="2563" max="2563" width="16" style="474" customWidth="1"/>
    <col min="2564" max="2564" width="16.140625" style="474" bestFit="1" customWidth="1"/>
    <col min="2565" max="2565" width="11.85546875" style="474" customWidth="1"/>
    <col min="2566" max="2566" width="12.42578125" style="474" bestFit="1" customWidth="1"/>
    <col min="2567" max="2568" width="13" style="474" bestFit="1" customWidth="1"/>
    <col min="2569" max="2569" width="12.7109375" style="474" bestFit="1" customWidth="1"/>
    <col min="2570" max="2570" width="13.42578125" style="474" bestFit="1" customWidth="1"/>
    <col min="2571" max="2571" width="13.7109375" style="474" bestFit="1" customWidth="1"/>
    <col min="2572" max="2572" width="14.5703125" style="474" bestFit="1" customWidth="1"/>
    <col min="2573" max="2573" width="14.85546875" style="474" bestFit="1" customWidth="1"/>
    <col min="2574" max="2574" width="17.140625" style="474" customWidth="1"/>
    <col min="2575" max="2575" width="16.42578125" style="474" bestFit="1" customWidth="1"/>
    <col min="2576" max="2576" width="17.140625" style="474" bestFit="1" customWidth="1"/>
    <col min="2577" max="2577" width="24.28515625" style="474" customWidth="1"/>
    <col min="2578" max="2578" width="18.28515625" style="474" bestFit="1" customWidth="1"/>
    <col min="2579" max="2579" width="18.5703125" style="474" bestFit="1" customWidth="1"/>
    <col min="2580" max="2580" width="19.28515625" style="474" bestFit="1" customWidth="1"/>
    <col min="2581" max="2581" width="20.42578125" style="474" bestFit="1" customWidth="1"/>
    <col min="2582" max="2582" width="20.85546875" style="474" bestFit="1" customWidth="1"/>
    <col min="2583" max="2583" width="21.42578125" style="474" bestFit="1" customWidth="1"/>
    <col min="2584" max="2585" width="22.28515625" style="474" bestFit="1" customWidth="1"/>
    <col min="2586" max="2587" width="23.85546875" style="474" bestFit="1" customWidth="1"/>
    <col min="2588" max="2589" width="24.85546875" style="474" bestFit="1" customWidth="1"/>
    <col min="2590" max="2594" width="11.28515625" style="474" bestFit="1" customWidth="1"/>
    <col min="2595" max="2599" width="12.28515625" style="474" bestFit="1" customWidth="1"/>
    <col min="2600" max="2600" width="12" style="474" bestFit="1" customWidth="1"/>
    <col min="2601" max="2816" width="8.85546875" style="474"/>
    <col min="2817" max="2817" width="7.28515625" style="474" customWidth="1"/>
    <col min="2818" max="2818" width="41" style="474" customWidth="1"/>
    <col min="2819" max="2819" width="16" style="474" customWidth="1"/>
    <col min="2820" max="2820" width="16.140625" style="474" bestFit="1" customWidth="1"/>
    <col min="2821" max="2821" width="11.85546875" style="474" customWidth="1"/>
    <col min="2822" max="2822" width="12.42578125" style="474" bestFit="1" customWidth="1"/>
    <col min="2823" max="2824" width="13" style="474" bestFit="1" customWidth="1"/>
    <col min="2825" max="2825" width="12.7109375" style="474" bestFit="1" customWidth="1"/>
    <col min="2826" max="2826" width="13.42578125" style="474" bestFit="1" customWidth="1"/>
    <col min="2827" max="2827" width="13.7109375" style="474" bestFit="1" customWidth="1"/>
    <col min="2828" max="2828" width="14.5703125" style="474" bestFit="1" customWidth="1"/>
    <col min="2829" max="2829" width="14.85546875" style="474" bestFit="1" customWidth="1"/>
    <col min="2830" max="2830" width="17.140625" style="474" customWidth="1"/>
    <col min="2831" max="2831" width="16.42578125" style="474" bestFit="1" customWidth="1"/>
    <col min="2832" max="2832" width="17.140625" style="474" bestFit="1" customWidth="1"/>
    <col min="2833" max="2833" width="24.28515625" style="474" customWidth="1"/>
    <col min="2834" max="2834" width="18.28515625" style="474" bestFit="1" customWidth="1"/>
    <col min="2835" max="2835" width="18.5703125" style="474" bestFit="1" customWidth="1"/>
    <col min="2836" max="2836" width="19.28515625" style="474" bestFit="1" customWidth="1"/>
    <col min="2837" max="2837" width="20.42578125" style="474" bestFit="1" customWidth="1"/>
    <col min="2838" max="2838" width="20.85546875" style="474" bestFit="1" customWidth="1"/>
    <col min="2839" max="2839" width="21.42578125" style="474" bestFit="1" customWidth="1"/>
    <col min="2840" max="2841" width="22.28515625" style="474" bestFit="1" customWidth="1"/>
    <col min="2842" max="2843" width="23.85546875" style="474" bestFit="1" customWidth="1"/>
    <col min="2844" max="2845" width="24.85546875" style="474" bestFit="1" customWidth="1"/>
    <col min="2846" max="2850" width="11.28515625" style="474" bestFit="1" customWidth="1"/>
    <col min="2851" max="2855" width="12.28515625" style="474" bestFit="1" customWidth="1"/>
    <col min="2856" max="2856" width="12" style="474" bestFit="1" customWidth="1"/>
    <col min="2857" max="3072" width="8.85546875" style="474"/>
    <col min="3073" max="3073" width="7.28515625" style="474" customWidth="1"/>
    <col min="3074" max="3074" width="41" style="474" customWidth="1"/>
    <col min="3075" max="3075" width="16" style="474" customWidth="1"/>
    <col min="3076" max="3076" width="16.140625" style="474" bestFit="1" customWidth="1"/>
    <col min="3077" max="3077" width="11.85546875" style="474" customWidth="1"/>
    <col min="3078" max="3078" width="12.42578125" style="474" bestFit="1" customWidth="1"/>
    <col min="3079" max="3080" width="13" style="474" bestFit="1" customWidth="1"/>
    <col min="3081" max="3081" width="12.7109375" style="474" bestFit="1" customWidth="1"/>
    <col min="3082" max="3082" width="13.42578125" style="474" bestFit="1" customWidth="1"/>
    <col min="3083" max="3083" width="13.7109375" style="474" bestFit="1" customWidth="1"/>
    <col min="3084" max="3084" width="14.5703125" style="474" bestFit="1" customWidth="1"/>
    <col min="3085" max="3085" width="14.85546875" style="474" bestFit="1" customWidth="1"/>
    <col min="3086" max="3086" width="17.140625" style="474" customWidth="1"/>
    <col min="3087" max="3087" width="16.42578125" style="474" bestFit="1" customWidth="1"/>
    <col min="3088" max="3088" width="17.140625" style="474" bestFit="1" customWidth="1"/>
    <col min="3089" max="3089" width="24.28515625" style="474" customWidth="1"/>
    <col min="3090" max="3090" width="18.28515625" style="474" bestFit="1" customWidth="1"/>
    <col min="3091" max="3091" width="18.5703125" style="474" bestFit="1" customWidth="1"/>
    <col min="3092" max="3092" width="19.28515625" style="474" bestFit="1" customWidth="1"/>
    <col min="3093" max="3093" width="20.42578125" style="474" bestFit="1" customWidth="1"/>
    <col min="3094" max="3094" width="20.85546875" style="474" bestFit="1" customWidth="1"/>
    <col min="3095" max="3095" width="21.42578125" style="474" bestFit="1" customWidth="1"/>
    <col min="3096" max="3097" width="22.28515625" style="474" bestFit="1" customWidth="1"/>
    <col min="3098" max="3099" width="23.85546875" style="474" bestFit="1" customWidth="1"/>
    <col min="3100" max="3101" width="24.85546875" style="474" bestFit="1" customWidth="1"/>
    <col min="3102" max="3106" width="11.28515625" style="474" bestFit="1" customWidth="1"/>
    <col min="3107" max="3111" width="12.28515625" style="474" bestFit="1" customWidth="1"/>
    <col min="3112" max="3112" width="12" style="474" bestFit="1" customWidth="1"/>
    <col min="3113" max="3328" width="8.85546875" style="474"/>
    <col min="3329" max="3329" width="7.28515625" style="474" customWidth="1"/>
    <col min="3330" max="3330" width="41" style="474" customWidth="1"/>
    <col min="3331" max="3331" width="16" style="474" customWidth="1"/>
    <col min="3332" max="3332" width="16.140625" style="474" bestFit="1" customWidth="1"/>
    <col min="3333" max="3333" width="11.85546875" style="474" customWidth="1"/>
    <col min="3334" max="3334" width="12.42578125" style="474" bestFit="1" customWidth="1"/>
    <col min="3335" max="3336" width="13" style="474" bestFit="1" customWidth="1"/>
    <col min="3337" max="3337" width="12.7109375" style="474" bestFit="1" customWidth="1"/>
    <col min="3338" max="3338" width="13.42578125" style="474" bestFit="1" customWidth="1"/>
    <col min="3339" max="3339" width="13.7109375" style="474" bestFit="1" customWidth="1"/>
    <col min="3340" max="3340" width="14.5703125" style="474" bestFit="1" customWidth="1"/>
    <col min="3341" max="3341" width="14.85546875" style="474" bestFit="1" customWidth="1"/>
    <col min="3342" max="3342" width="17.140625" style="474" customWidth="1"/>
    <col min="3343" max="3343" width="16.42578125" style="474" bestFit="1" customWidth="1"/>
    <col min="3344" max="3344" width="17.140625" style="474" bestFit="1" customWidth="1"/>
    <col min="3345" max="3345" width="24.28515625" style="474" customWidth="1"/>
    <col min="3346" max="3346" width="18.28515625" style="474" bestFit="1" customWidth="1"/>
    <col min="3347" max="3347" width="18.5703125" style="474" bestFit="1" customWidth="1"/>
    <col min="3348" max="3348" width="19.28515625" style="474" bestFit="1" customWidth="1"/>
    <col min="3349" max="3349" width="20.42578125" style="474" bestFit="1" customWidth="1"/>
    <col min="3350" max="3350" width="20.85546875" style="474" bestFit="1" customWidth="1"/>
    <col min="3351" max="3351" width="21.42578125" style="474" bestFit="1" customWidth="1"/>
    <col min="3352" max="3353" width="22.28515625" style="474" bestFit="1" customWidth="1"/>
    <col min="3354" max="3355" width="23.85546875" style="474" bestFit="1" customWidth="1"/>
    <col min="3356" max="3357" width="24.85546875" style="474" bestFit="1" customWidth="1"/>
    <col min="3358" max="3362" width="11.28515625" style="474" bestFit="1" customWidth="1"/>
    <col min="3363" max="3367" width="12.28515625" style="474" bestFit="1" customWidth="1"/>
    <col min="3368" max="3368" width="12" style="474" bestFit="1" customWidth="1"/>
    <col min="3369" max="3584" width="8.85546875" style="474"/>
    <col min="3585" max="3585" width="7.28515625" style="474" customWidth="1"/>
    <col min="3586" max="3586" width="41" style="474" customWidth="1"/>
    <col min="3587" max="3587" width="16" style="474" customWidth="1"/>
    <col min="3588" max="3588" width="16.140625" style="474" bestFit="1" customWidth="1"/>
    <col min="3589" max="3589" width="11.85546875" style="474" customWidth="1"/>
    <col min="3590" max="3590" width="12.42578125" style="474" bestFit="1" customWidth="1"/>
    <col min="3591" max="3592" width="13" style="474" bestFit="1" customWidth="1"/>
    <col min="3593" max="3593" width="12.7109375" style="474" bestFit="1" customWidth="1"/>
    <col min="3594" max="3594" width="13.42578125" style="474" bestFit="1" customWidth="1"/>
    <col min="3595" max="3595" width="13.7109375" style="474" bestFit="1" customWidth="1"/>
    <col min="3596" max="3596" width="14.5703125" style="474" bestFit="1" customWidth="1"/>
    <col min="3597" max="3597" width="14.85546875" style="474" bestFit="1" customWidth="1"/>
    <col min="3598" max="3598" width="17.140625" style="474" customWidth="1"/>
    <col min="3599" max="3599" width="16.42578125" style="474" bestFit="1" customWidth="1"/>
    <col min="3600" max="3600" width="17.140625" style="474" bestFit="1" customWidth="1"/>
    <col min="3601" max="3601" width="24.28515625" style="474" customWidth="1"/>
    <col min="3602" max="3602" width="18.28515625" style="474" bestFit="1" customWidth="1"/>
    <col min="3603" max="3603" width="18.5703125" style="474" bestFit="1" customWidth="1"/>
    <col min="3604" max="3604" width="19.28515625" style="474" bestFit="1" customWidth="1"/>
    <col min="3605" max="3605" width="20.42578125" style="474" bestFit="1" customWidth="1"/>
    <col min="3606" max="3606" width="20.85546875" style="474" bestFit="1" customWidth="1"/>
    <col min="3607" max="3607" width="21.42578125" style="474" bestFit="1" customWidth="1"/>
    <col min="3608" max="3609" width="22.28515625" style="474" bestFit="1" customWidth="1"/>
    <col min="3610" max="3611" width="23.85546875" style="474" bestFit="1" customWidth="1"/>
    <col min="3612" max="3613" width="24.85546875" style="474" bestFit="1" customWidth="1"/>
    <col min="3614" max="3618" width="11.28515625" style="474" bestFit="1" customWidth="1"/>
    <col min="3619" max="3623" width="12.28515625" style="474" bestFit="1" customWidth="1"/>
    <col min="3624" max="3624" width="12" style="474" bestFit="1" customWidth="1"/>
    <col min="3625" max="3840" width="8.85546875" style="474"/>
    <col min="3841" max="3841" width="7.28515625" style="474" customWidth="1"/>
    <col min="3842" max="3842" width="41" style="474" customWidth="1"/>
    <col min="3843" max="3843" width="16" style="474" customWidth="1"/>
    <col min="3844" max="3844" width="16.140625" style="474" bestFit="1" customWidth="1"/>
    <col min="3845" max="3845" width="11.85546875" style="474" customWidth="1"/>
    <col min="3846" max="3846" width="12.42578125" style="474" bestFit="1" customWidth="1"/>
    <col min="3847" max="3848" width="13" style="474" bestFit="1" customWidth="1"/>
    <col min="3849" max="3849" width="12.7109375" style="474" bestFit="1" customWidth="1"/>
    <col min="3850" max="3850" width="13.42578125" style="474" bestFit="1" customWidth="1"/>
    <col min="3851" max="3851" width="13.7109375" style="474" bestFit="1" customWidth="1"/>
    <col min="3852" max="3852" width="14.5703125" style="474" bestFit="1" customWidth="1"/>
    <col min="3853" max="3853" width="14.85546875" style="474" bestFit="1" customWidth="1"/>
    <col min="3854" max="3854" width="17.140625" style="474" customWidth="1"/>
    <col min="3855" max="3855" width="16.42578125" style="474" bestFit="1" customWidth="1"/>
    <col min="3856" max="3856" width="17.140625" style="474" bestFit="1" customWidth="1"/>
    <col min="3857" max="3857" width="24.28515625" style="474" customWidth="1"/>
    <col min="3858" max="3858" width="18.28515625" style="474" bestFit="1" customWidth="1"/>
    <col min="3859" max="3859" width="18.5703125" style="474" bestFit="1" customWidth="1"/>
    <col min="3860" max="3860" width="19.28515625" style="474" bestFit="1" customWidth="1"/>
    <col min="3861" max="3861" width="20.42578125" style="474" bestFit="1" customWidth="1"/>
    <col min="3862" max="3862" width="20.85546875" style="474" bestFit="1" customWidth="1"/>
    <col min="3863" max="3863" width="21.42578125" style="474" bestFit="1" customWidth="1"/>
    <col min="3864" max="3865" width="22.28515625" style="474" bestFit="1" customWidth="1"/>
    <col min="3866" max="3867" width="23.85546875" style="474" bestFit="1" customWidth="1"/>
    <col min="3868" max="3869" width="24.85546875" style="474" bestFit="1" customWidth="1"/>
    <col min="3870" max="3874" width="11.28515625" style="474" bestFit="1" customWidth="1"/>
    <col min="3875" max="3879" width="12.28515625" style="474" bestFit="1" customWidth="1"/>
    <col min="3880" max="3880" width="12" style="474" bestFit="1" customWidth="1"/>
    <col min="3881" max="4096" width="8.85546875" style="474"/>
    <col min="4097" max="4097" width="7.28515625" style="474" customWidth="1"/>
    <col min="4098" max="4098" width="41" style="474" customWidth="1"/>
    <col min="4099" max="4099" width="16" style="474" customWidth="1"/>
    <col min="4100" max="4100" width="16.140625" style="474" bestFit="1" customWidth="1"/>
    <col min="4101" max="4101" width="11.85546875" style="474" customWidth="1"/>
    <col min="4102" max="4102" width="12.42578125" style="474" bestFit="1" customWidth="1"/>
    <col min="4103" max="4104" width="13" style="474" bestFit="1" customWidth="1"/>
    <col min="4105" max="4105" width="12.7109375" style="474" bestFit="1" customWidth="1"/>
    <col min="4106" max="4106" width="13.42578125" style="474" bestFit="1" customWidth="1"/>
    <col min="4107" max="4107" width="13.7109375" style="474" bestFit="1" customWidth="1"/>
    <col min="4108" max="4108" width="14.5703125" style="474" bestFit="1" customWidth="1"/>
    <col min="4109" max="4109" width="14.85546875" style="474" bestFit="1" customWidth="1"/>
    <col min="4110" max="4110" width="17.140625" style="474" customWidth="1"/>
    <col min="4111" max="4111" width="16.42578125" style="474" bestFit="1" customWidth="1"/>
    <col min="4112" max="4112" width="17.140625" style="474" bestFit="1" customWidth="1"/>
    <col min="4113" max="4113" width="24.28515625" style="474" customWidth="1"/>
    <col min="4114" max="4114" width="18.28515625" style="474" bestFit="1" customWidth="1"/>
    <col min="4115" max="4115" width="18.5703125" style="474" bestFit="1" customWidth="1"/>
    <col min="4116" max="4116" width="19.28515625" style="474" bestFit="1" customWidth="1"/>
    <col min="4117" max="4117" width="20.42578125" style="474" bestFit="1" customWidth="1"/>
    <col min="4118" max="4118" width="20.85546875" style="474" bestFit="1" customWidth="1"/>
    <col min="4119" max="4119" width="21.42578125" style="474" bestFit="1" customWidth="1"/>
    <col min="4120" max="4121" width="22.28515625" style="474" bestFit="1" customWidth="1"/>
    <col min="4122" max="4123" width="23.85546875" style="474" bestFit="1" customWidth="1"/>
    <col min="4124" max="4125" width="24.85546875" style="474" bestFit="1" customWidth="1"/>
    <col min="4126" max="4130" width="11.28515625" style="474" bestFit="1" customWidth="1"/>
    <col min="4131" max="4135" width="12.28515625" style="474" bestFit="1" customWidth="1"/>
    <col min="4136" max="4136" width="12" style="474" bestFit="1" customWidth="1"/>
    <col min="4137" max="4352" width="8.85546875" style="474"/>
    <col min="4353" max="4353" width="7.28515625" style="474" customWidth="1"/>
    <col min="4354" max="4354" width="41" style="474" customWidth="1"/>
    <col min="4355" max="4355" width="16" style="474" customWidth="1"/>
    <col min="4356" max="4356" width="16.140625" style="474" bestFit="1" customWidth="1"/>
    <col min="4357" max="4357" width="11.85546875" style="474" customWidth="1"/>
    <col min="4358" max="4358" width="12.42578125" style="474" bestFit="1" customWidth="1"/>
    <col min="4359" max="4360" width="13" style="474" bestFit="1" customWidth="1"/>
    <col min="4361" max="4361" width="12.7109375" style="474" bestFit="1" customWidth="1"/>
    <col min="4362" max="4362" width="13.42578125" style="474" bestFit="1" customWidth="1"/>
    <col min="4363" max="4363" width="13.7109375" style="474" bestFit="1" customWidth="1"/>
    <col min="4364" max="4364" width="14.5703125" style="474" bestFit="1" customWidth="1"/>
    <col min="4365" max="4365" width="14.85546875" style="474" bestFit="1" customWidth="1"/>
    <col min="4366" max="4366" width="17.140625" style="474" customWidth="1"/>
    <col min="4367" max="4367" width="16.42578125" style="474" bestFit="1" customWidth="1"/>
    <col min="4368" max="4368" width="17.140625" style="474" bestFit="1" customWidth="1"/>
    <col min="4369" max="4369" width="24.28515625" style="474" customWidth="1"/>
    <col min="4370" max="4370" width="18.28515625" style="474" bestFit="1" customWidth="1"/>
    <col min="4371" max="4371" width="18.5703125" style="474" bestFit="1" customWidth="1"/>
    <col min="4372" max="4372" width="19.28515625" style="474" bestFit="1" customWidth="1"/>
    <col min="4373" max="4373" width="20.42578125" style="474" bestFit="1" customWidth="1"/>
    <col min="4374" max="4374" width="20.85546875" style="474" bestFit="1" customWidth="1"/>
    <col min="4375" max="4375" width="21.42578125" style="474" bestFit="1" customWidth="1"/>
    <col min="4376" max="4377" width="22.28515625" style="474" bestFit="1" customWidth="1"/>
    <col min="4378" max="4379" width="23.85546875" style="474" bestFit="1" customWidth="1"/>
    <col min="4380" max="4381" width="24.85546875" style="474" bestFit="1" customWidth="1"/>
    <col min="4382" max="4386" width="11.28515625" style="474" bestFit="1" customWidth="1"/>
    <col min="4387" max="4391" width="12.28515625" style="474" bestFit="1" customWidth="1"/>
    <col min="4392" max="4392" width="12" style="474" bestFit="1" customWidth="1"/>
    <col min="4393" max="4608" width="8.85546875" style="474"/>
    <col min="4609" max="4609" width="7.28515625" style="474" customWidth="1"/>
    <col min="4610" max="4610" width="41" style="474" customWidth="1"/>
    <col min="4611" max="4611" width="16" style="474" customWidth="1"/>
    <col min="4612" max="4612" width="16.140625" style="474" bestFit="1" customWidth="1"/>
    <col min="4613" max="4613" width="11.85546875" style="474" customWidth="1"/>
    <col min="4614" max="4614" width="12.42578125" style="474" bestFit="1" customWidth="1"/>
    <col min="4615" max="4616" width="13" style="474" bestFit="1" customWidth="1"/>
    <col min="4617" max="4617" width="12.7109375" style="474" bestFit="1" customWidth="1"/>
    <col min="4618" max="4618" width="13.42578125" style="474" bestFit="1" customWidth="1"/>
    <col min="4619" max="4619" width="13.7109375" style="474" bestFit="1" customWidth="1"/>
    <col min="4620" max="4620" width="14.5703125" style="474" bestFit="1" customWidth="1"/>
    <col min="4621" max="4621" width="14.85546875" style="474" bestFit="1" customWidth="1"/>
    <col min="4622" max="4622" width="17.140625" style="474" customWidth="1"/>
    <col min="4623" max="4623" width="16.42578125" style="474" bestFit="1" customWidth="1"/>
    <col min="4624" max="4624" width="17.140625" style="474" bestFit="1" customWidth="1"/>
    <col min="4625" max="4625" width="24.28515625" style="474" customWidth="1"/>
    <col min="4626" max="4626" width="18.28515625" style="474" bestFit="1" customWidth="1"/>
    <col min="4627" max="4627" width="18.5703125" style="474" bestFit="1" customWidth="1"/>
    <col min="4628" max="4628" width="19.28515625" style="474" bestFit="1" customWidth="1"/>
    <col min="4629" max="4629" width="20.42578125" style="474" bestFit="1" customWidth="1"/>
    <col min="4630" max="4630" width="20.85546875" style="474" bestFit="1" customWidth="1"/>
    <col min="4631" max="4631" width="21.42578125" style="474" bestFit="1" customWidth="1"/>
    <col min="4632" max="4633" width="22.28515625" style="474" bestFit="1" customWidth="1"/>
    <col min="4634" max="4635" width="23.85546875" style="474" bestFit="1" customWidth="1"/>
    <col min="4636" max="4637" width="24.85546875" style="474" bestFit="1" customWidth="1"/>
    <col min="4638" max="4642" width="11.28515625" style="474" bestFit="1" customWidth="1"/>
    <col min="4643" max="4647" width="12.28515625" style="474" bestFit="1" customWidth="1"/>
    <col min="4648" max="4648" width="12" style="474" bestFit="1" customWidth="1"/>
    <col min="4649" max="4864" width="8.85546875" style="474"/>
    <col min="4865" max="4865" width="7.28515625" style="474" customWidth="1"/>
    <col min="4866" max="4866" width="41" style="474" customWidth="1"/>
    <col min="4867" max="4867" width="16" style="474" customWidth="1"/>
    <col min="4868" max="4868" width="16.140625" style="474" bestFit="1" customWidth="1"/>
    <col min="4869" max="4869" width="11.85546875" style="474" customWidth="1"/>
    <col min="4870" max="4870" width="12.42578125" style="474" bestFit="1" customWidth="1"/>
    <col min="4871" max="4872" width="13" style="474" bestFit="1" customWidth="1"/>
    <col min="4873" max="4873" width="12.7109375" style="474" bestFit="1" customWidth="1"/>
    <col min="4874" max="4874" width="13.42578125" style="474" bestFit="1" customWidth="1"/>
    <col min="4875" max="4875" width="13.7109375" style="474" bestFit="1" customWidth="1"/>
    <col min="4876" max="4876" width="14.5703125" style="474" bestFit="1" customWidth="1"/>
    <col min="4877" max="4877" width="14.85546875" style="474" bestFit="1" customWidth="1"/>
    <col min="4878" max="4878" width="17.140625" style="474" customWidth="1"/>
    <col min="4879" max="4879" width="16.42578125" style="474" bestFit="1" customWidth="1"/>
    <col min="4880" max="4880" width="17.140625" style="474" bestFit="1" customWidth="1"/>
    <col min="4881" max="4881" width="24.28515625" style="474" customWidth="1"/>
    <col min="4882" max="4882" width="18.28515625" style="474" bestFit="1" customWidth="1"/>
    <col min="4883" max="4883" width="18.5703125" style="474" bestFit="1" customWidth="1"/>
    <col min="4884" max="4884" width="19.28515625" style="474" bestFit="1" customWidth="1"/>
    <col min="4885" max="4885" width="20.42578125" style="474" bestFit="1" customWidth="1"/>
    <col min="4886" max="4886" width="20.85546875" style="474" bestFit="1" customWidth="1"/>
    <col min="4887" max="4887" width="21.42578125" style="474" bestFit="1" customWidth="1"/>
    <col min="4888" max="4889" width="22.28515625" style="474" bestFit="1" customWidth="1"/>
    <col min="4890" max="4891" width="23.85546875" style="474" bestFit="1" customWidth="1"/>
    <col min="4892" max="4893" width="24.85546875" style="474" bestFit="1" customWidth="1"/>
    <col min="4894" max="4898" width="11.28515625" style="474" bestFit="1" customWidth="1"/>
    <col min="4899" max="4903" width="12.28515625" style="474" bestFit="1" customWidth="1"/>
    <col min="4904" max="4904" width="12" style="474" bestFit="1" customWidth="1"/>
    <col min="4905" max="5120" width="8.85546875" style="474"/>
    <col min="5121" max="5121" width="7.28515625" style="474" customWidth="1"/>
    <col min="5122" max="5122" width="41" style="474" customWidth="1"/>
    <col min="5123" max="5123" width="16" style="474" customWidth="1"/>
    <col min="5124" max="5124" width="16.140625" style="474" bestFit="1" customWidth="1"/>
    <col min="5125" max="5125" width="11.85546875" style="474" customWidth="1"/>
    <col min="5126" max="5126" width="12.42578125" style="474" bestFit="1" customWidth="1"/>
    <col min="5127" max="5128" width="13" style="474" bestFit="1" customWidth="1"/>
    <col min="5129" max="5129" width="12.7109375" style="474" bestFit="1" customWidth="1"/>
    <col min="5130" max="5130" width="13.42578125" style="474" bestFit="1" customWidth="1"/>
    <col min="5131" max="5131" width="13.7109375" style="474" bestFit="1" customWidth="1"/>
    <col min="5132" max="5132" width="14.5703125" style="474" bestFit="1" customWidth="1"/>
    <col min="5133" max="5133" width="14.85546875" style="474" bestFit="1" customWidth="1"/>
    <col min="5134" max="5134" width="17.140625" style="474" customWidth="1"/>
    <col min="5135" max="5135" width="16.42578125" style="474" bestFit="1" customWidth="1"/>
    <col min="5136" max="5136" width="17.140625" style="474" bestFit="1" customWidth="1"/>
    <col min="5137" max="5137" width="24.28515625" style="474" customWidth="1"/>
    <col min="5138" max="5138" width="18.28515625" style="474" bestFit="1" customWidth="1"/>
    <col min="5139" max="5139" width="18.5703125" style="474" bestFit="1" customWidth="1"/>
    <col min="5140" max="5140" width="19.28515625" style="474" bestFit="1" customWidth="1"/>
    <col min="5141" max="5141" width="20.42578125" style="474" bestFit="1" customWidth="1"/>
    <col min="5142" max="5142" width="20.85546875" style="474" bestFit="1" customWidth="1"/>
    <col min="5143" max="5143" width="21.42578125" style="474" bestFit="1" customWidth="1"/>
    <col min="5144" max="5145" width="22.28515625" style="474" bestFit="1" customWidth="1"/>
    <col min="5146" max="5147" width="23.85546875" style="474" bestFit="1" customWidth="1"/>
    <col min="5148" max="5149" width="24.85546875" style="474" bestFit="1" customWidth="1"/>
    <col min="5150" max="5154" width="11.28515625" style="474" bestFit="1" customWidth="1"/>
    <col min="5155" max="5159" width="12.28515625" style="474" bestFit="1" customWidth="1"/>
    <col min="5160" max="5160" width="12" style="474" bestFit="1" customWidth="1"/>
    <col min="5161" max="5376" width="8.85546875" style="474"/>
    <col min="5377" max="5377" width="7.28515625" style="474" customWidth="1"/>
    <col min="5378" max="5378" width="41" style="474" customWidth="1"/>
    <col min="5379" max="5379" width="16" style="474" customWidth="1"/>
    <col min="5380" max="5380" width="16.140625" style="474" bestFit="1" customWidth="1"/>
    <col min="5381" max="5381" width="11.85546875" style="474" customWidth="1"/>
    <col min="5382" max="5382" width="12.42578125" style="474" bestFit="1" customWidth="1"/>
    <col min="5383" max="5384" width="13" style="474" bestFit="1" customWidth="1"/>
    <col min="5385" max="5385" width="12.7109375" style="474" bestFit="1" customWidth="1"/>
    <col min="5386" max="5386" width="13.42578125" style="474" bestFit="1" customWidth="1"/>
    <col min="5387" max="5387" width="13.7109375" style="474" bestFit="1" customWidth="1"/>
    <col min="5388" max="5388" width="14.5703125" style="474" bestFit="1" customWidth="1"/>
    <col min="5389" max="5389" width="14.85546875" style="474" bestFit="1" customWidth="1"/>
    <col min="5390" max="5390" width="17.140625" style="474" customWidth="1"/>
    <col min="5391" max="5391" width="16.42578125" style="474" bestFit="1" customWidth="1"/>
    <col min="5392" max="5392" width="17.140625" style="474" bestFit="1" customWidth="1"/>
    <col min="5393" max="5393" width="24.28515625" style="474" customWidth="1"/>
    <col min="5394" max="5394" width="18.28515625" style="474" bestFit="1" customWidth="1"/>
    <col min="5395" max="5395" width="18.5703125" style="474" bestFit="1" customWidth="1"/>
    <col min="5396" max="5396" width="19.28515625" style="474" bestFit="1" customWidth="1"/>
    <col min="5397" max="5397" width="20.42578125" style="474" bestFit="1" customWidth="1"/>
    <col min="5398" max="5398" width="20.85546875" style="474" bestFit="1" customWidth="1"/>
    <col min="5399" max="5399" width="21.42578125" style="474" bestFit="1" customWidth="1"/>
    <col min="5400" max="5401" width="22.28515625" style="474" bestFit="1" customWidth="1"/>
    <col min="5402" max="5403" width="23.85546875" style="474" bestFit="1" customWidth="1"/>
    <col min="5404" max="5405" width="24.85546875" style="474" bestFit="1" customWidth="1"/>
    <col min="5406" max="5410" width="11.28515625" style="474" bestFit="1" customWidth="1"/>
    <col min="5411" max="5415" width="12.28515625" style="474" bestFit="1" customWidth="1"/>
    <col min="5416" max="5416" width="12" style="474" bestFit="1" customWidth="1"/>
    <col min="5417" max="5632" width="8.85546875" style="474"/>
    <col min="5633" max="5633" width="7.28515625" style="474" customWidth="1"/>
    <col min="5634" max="5634" width="41" style="474" customWidth="1"/>
    <col min="5635" max="5635" width="16" style="474" customWidth="1"/>
    <col min="5636" max="5636" width="16.140625" style="474" bestFit="1" customWidth="1"/>
    <col min="5637" max="5637" width="11.85546875" style="474" customWidth="1"/>
    <col min="5638" max="5638" width="12.42578125" style="474" bestFit="1" customWidth="1"/>
    <col min="5639" max="5640" width="13" style="474" bestFit="1" customWidth="1"/>
    <col min="5641" max="5641" width="12.7109375" style="474" bestFit="1" customWidth="1"/>
    <col min="5642" max="5642" width="13.42578125" style="474" bestFit="1" customWidth="1"/>
    <col min="5643" max="5643" width="13.7109375" style="474" bestFit="1" customWidth="1"/>
    <col min="5644" max="5644" width="14.5703125" style="474" bestFit="1" customWidth="1"/>
    <col min="5645" max="5645" width="14.85546875" style="474" bestFit="1" customWidth="1"/>
    <col min="5646" max="5646" width="17.140625" style="474" customWidth="1"/>
    <col min="5647" max="5647" width="16.42578125" style="474" bestFit="1" customWidth="1"/>
    <col min="5648" max="5648" width="17.140625" style="474" bestFit="1" customWidth="1"/>
    <col min="5649" max="5649" width="24.28515625" style="474" customWidth="1"/>
    <col min="5650" max="5650" width="18.28515625" style="474" bestFit="1" customWidth="1"/>
    <col min="5651" max="5651" width="18.5703125" style="474" bestFit="1" customWidth="1"/>
    <col min="5652" max="5652" width="19.28515625" style="474" bestFit="1" customWidth="1"/>
    <col min="5653" max="5653" width="20.42578125" style="474" bestFit="1" customWidth="1"/>
    <col min="5654" max="5654" width="20.85546875" style="474" bestFit="1" customWidth="1"/>
    <col min="5655" max="5655" width="21.42578125" style="474" bestFit="1" customWidth="1"/>
    <col min="5656" max="5657" width="22.28515625" style="474" bestFit="1" customWidth="1"/>
    <col min="5658" max="5659" width="23.85546875" style="474" bestFit="1" customWidth="1"/>
    <col min="5660" max="5661" width="24.85546875" style="474" bestFit="1" customWidth="1"/>
    <col min="5662" max="5666" width="11.28515625" style="474" bestFit="1" customWidth="1"/>
    <col min="5667" max="5671" width="12.28515625" style="474" bestFit="1" customWidth="1"/>
    <col min="5672" max="5672" width="12" style="474" bestFit="1" customWidth="1"/>
    <col min="5673" max="5888" width="8.85546875" style="474"/>
    <col min="5889" max="5889" width="7.28515625" style="474" customWidth="1"/>
    <col min="5890" max="5890" width="41" style="474" customWidth="1"/>
    <col min="5891" max="5891" width="16" style="474" customWidth="1"/>
    <col min="5892" max="5892" width="16.140625" style="474" bestFit="1" customWidth="1"/>
    <col min="5893" max="5893" width="11.85546875" style="474" customWidth="1"/>
    <col min="5894" max="5894" width="12.42578125" style="474" bestFit="1" customWidth="1"/>
    <col min="5895" max="5896" width="13" style="474" bestFit="1" customWidth="1"/>
    <col min="5897" max="5897" width="12.7109375" style="474" bestFit="1" customWidth="1"/>
    <col min="5898" max="5898" width="13.42578125" style="474" bestFit="1" customWidth="1"/>
    <col min="5899" max="5899" width="13.7109375" style="474" bestFit="1" customWidth="1"/>
    <col min="5900" max="5900" width="14.5703125" style="474" bestFit="1" customWidth="1"/>
    <col min="5901" max="5901" width="14.85546875" style="474" bestFit="1" customWidth="1"/>
    <col min="5902" max="5902" width="17.140625" style="474" customWidth="1"/>
    <col min="5903" max="5903" width="16.42578125" style="474" bestFit="1" customWidth="1"/>
    <col min="5904" max="5904" width="17.140625" style="474" bestFit="1" customWidth="1"/>
    <col min="5905" max="5905" width="24.28515625" style="474" customWidth="1"/>
    <col min="5906" max="5906" width="18.28515625" style="474" bestFit="1" customWidth="1"/>
    <col min="5907" max="5907" width="18.5703125" style="474" bestFit="1" customWidth="1"/>
    <col min="5908" max="5908" width="19.28515625" style="474" bestFit="1" customWidth="1"/>
    <col min="5909" max="5909" width="20.42578125" style="474" bestFit="1" customWidth="1"/>
    <col min="5910" max="5910" width="20.85546875" style="474" bestFit="1" customWidth="1"/>
    <col min="5911" max="5911" width="21.42578125" style="474" bestFit="1" customWidth="1"/>
    <col min="5912" max="5913" width="22.28515625" style="474" bestFit="1" customWidth="1"/>
    <col min="5914" max="5915" width="23.85546875" style="474" bestFit="1" customWidth="1"/>
    <col min="5916" max="5917" width="24.85546875" style="474" bestFit="1" customWidth="1"/>
    <col min="5918" max="5922" width="11.28515625" style="474" bestFit="1" customWidth="1"/>
    <col min="5923" max="5927" width="12.28515625" style="474" bestFit="1" customWidth="1"/>
    <col min="5928" max="5928" width="12" style="474" bestFit="1" customWidth="1"/>
    <col min="5929" max="6144" width="8.85546875" style="474"/>
    <col min="6145" max="6145" width="7.28515625" style="474" customWidth="1"/>
    <col min="6146" max="6146" width="41" style="474" customWidth="1"/>
    <col min="6147" max="6147" width="16" style="474" customWidth="1"/>
    <col min="6148" max="6148" width="16.140625" style="474" bestFit="1" customWidth="1"/>
    <col min="6149" max="6149" width="11.85546875" style="474" customWidth="1"/>
    <col min="6150" max="6150" width="12.42578125" style="474" bestFit="1" customWidth="1"/>
    <col min="6151" max="6152" width="13" style="474" bestFit="1" customWidth="1"/>
    <col min="6153" max="6153" width="12.7109375" style="474" bestFit="1" customWidth="1"/>
    <col min="6154" max="6154" width="13.42578125" style="474" bestFit="1" customWidth="1"/>
    <col min="6155" max="6155" width="13.7109375" style="474" bestFit="1" customWidth="1"/>
    <col min="6156" max="6156" width="14.5703125" style="474" bestFit="1" customWidth="1"/>
    <col min="6157" max="6157" width="14.85546875" style="474" bestFit="1" customWidth="1"/>
    <col min="6158" max="6158" width="17.140625" style="474" customWidth="1"/>
    <col min="6159" max="6159" width="16.42578125" style="474" bestFit="1" customWidth="1"/>
    <col min="6160" max="6160" width="17.140625" style="474" bestFit="1" customWidth="1"/>
    <col min="6161" max="6161" width="24.28515625" style="474" customWidth="1"/>
    <col min="6162" max="6162" width="18.28515625" style="474" bestFit="1" customWidth="1"/>
    <col min="6163" max="6163" width="18.5703125" style="474" bestFit="1" customWidth="1"/>
    <col min="6164" max="6164" width="19.28515625" style="474" bestFit="1" customWidth="1"/>
    <col min="6165" max="6165" width="20.42578125" style="474" bestFit="1" customWidth="1"/>
    <col min="6166" max="6166" width="20.85546875" style="474" bestFit="1" customWidth="1"/>
    <col min="6167" max="6167" width="21.42578125" style="474" bestFit="1" customWidth="1"/>
    <col min="6168" max="6169" width="22.28515625" style="474" bestFit="1" customWidth="1"/>
    <col min="6170" max="6171" width="23.85546875" style="474" bestFit="1" customWidth="1"/>
    <col min="6172" max="6173" width="24.85546875" style="474" bestFit="1" customWidth="1"/>
    <col min="6174" max="6178" width="11.28515625" style="474" bestFit="1" customWidth="1"/>
    <col min="6179" max="6183" width="12.28515625" style="474" bestFit="1" customWidth="1"/>
    <col min="6184" max="6184" width="12" style="474" bestFit="1" customWidth="1"/>
    <col min="6185" max="6400" width="8.85546875" style="474"/>
    <col min="6401" max="6401" width="7.28515625" style="474" customWidth="1"/>
    <col min="6402" max="6402" width="41" style="474" customWidth="1"/>
    <col min="6403" max="6403" width="16" style="474" customWidth="1"/>
    <col min="6404" max="6404" width="16.140625" style="474" bestFit="1" customWidth="1"/>
    <col min="6405" max="6405" width="11.85546875" style="474" customWidth="1"/>
    <col min="6406" max="6406" width="12.42578125" style="474" bestFit="1" customWidth="1"/>
    <col min="6407" max="6408" width="13" style="474" bestFit="1" customWidth="1"/>
    <col min="6409" max="6409" width="12.7109375" style="474" bestFit="1" customWidth="1"/>
    <col min="6410" max="6410" width="13.42578125" style="474" bestFit="1" customWidth="1"/>
    <col min="6411" max="6411" width="13.7109375" style="474" bestFit="1" customWidth="1"/>
    <col min="6412" max="6412" width="14.5703125" style="474" bestFit="1" customWidth="1"/>
    <col min="6413" max="6413" width="14.85546875" style="474" bestFit="1" customWidth="1"/>
    <col min="6414" max="6414" width="17.140625" style="474" customWidth="1"/>
    <col min="6415" max="6415" width="16.42578125" style="474" bestFit="1" customWidth="1"/>
    <col min="6416" max="6416" width="17.140625" style="474" bestFit="1" customWidth="1"/>
    <col min="6417" max="6417" width="24.28515625" style="474" customWidth="1"/>
    <col min="6418" max="6418" width="18.28515625" style="474" bestFit="1" customWidth="1"/>
    <col min="6419" max="6419" width="18.5703125" style="474" bestFit="1" customWidth="1"/>
    <col min="6420" max="6420" width="19.28515625" style="474" bestFit="1" customWidth="1"/>
    <col min="6421" max="6421" width="20.42578125" style="474" bestFit="1" customWidth="1"/>
    <col min="6422" max="6422" width="20.85546875" style="474" bestFit="1" customWidth="1"/>
    <col min="6423" max="6423" width="21.42578125" style="474" bestFit="1" customWidth="1"/>
    <col min="6424" max="6425" width="22.28515625" style="474" bestFit="1" customWidth="1"/>
    <col min="6426" max="6427" width="23.85546875" style="474" bestFit="1" customWidth="1"/>
    <col min="6428" max="6429" width="24.85546875" style="474" bestFit="1" customWidth="1"/>
    <col min="6430" max="6434" width="11.28515625" style="474" bestFit="1" customWidth="1"/>
    <col min="6435" max="6439" width="12.28515625" style="474" bestFit="1" customWidth="1"/>
    <col min="6440" max="6440" width="12" style="474" bestFit="1" customWidth="1"/>
    <col min="6441" max="6656" width="8.85546875" style="474"/>
    <col min="6657" max="6657" width="7.28515625" style="474" customWidth="1"/>
    <col min="6658" max="6658" width="41" style="474" customWidth="1"/>
    <col min="6659" max="6659" width="16" style="474" customWidth="1"/>
    <col min="6660" max="6660" width="16.140625" style="474" bestFit="1" customWidth="1"/>
    <col min="6661" max="6661" width="11.85546875" style="474" customWidth="1"/>
    <col min="6662" max="6662" width="12.42578125" style="474" bestFit="1" customWidth="1"/>
    <col min="6663" max="6664" width="13" style="474" bestFit="1" customWidth="1"/>
    <col min="6665" max="6665" width="12.7109375" style="474" bestFit="1" customWidth="1"/>
    <col min="6666" max="6666" width="13.42578125" style="474" bestFit="1" customWidth="1"/>
    <col min="6667" max="6667" width="13.7109375" style="474" bestFit="1" customWidth="1"/>
    <col min="6668" max="6668" width="14.5703125" style="474" bestFit="1" customWidth="1"/>
    <col min="6669" max="6669" width="14.85546875" style="474" bestFit="1" customWidth="1"/>
    <col min="6670" max="6670" width="17.140625" style="474" customWidth="1"/>
    <col min="6671" max="6671" width="16.42578125" style="474" bestFit="1" customWidth="1"/>
    <col min="6672" max="6672" width="17.140625" style="474" bestFit="1" customWidth="1"/>
    <col min="6673" max="6673" width="24.28515625" style="474" customWidth="1"/>
    <col min="6674" max="6674" width="18.28515625" style="474" bestFit="1" customWidth="1"/>
    <col min="6675" max="6675" width="18.5703125" style="474" bestFit="1" customWidth="1"/>
    <col min="6676" max="6676" width="19.28515625" style="474" bestFit="1" customWidth="1"/>
    <col min="6677" max="6677" width="20.42578125" style="474" bestFit="1" customWidth="1"/>
    <col min="6678" max="6678" width="20.85546875" style="474" bestFit="1" customWidth="1"/>
    <col min="6679" max="6679" width="21.42578125" style="474" bestFit="1" customWidth="1"/>
    <col min="6680" max="6681" width="22.28515625" style="474" bestFit="1" customWidth="1"/>
    <col min="6682" max="6683" width="23.85546875" style="474" bestFit="1" customWidth="1"/>
    <col min="6684" max="6685" width="24.85546875" style="474" bestFit="1" customWidth="1"/>
    <col min="6686" max="6690" width="11.28515625" style="474" bestFit="1" customWidth="1"/>
    <col min="6691" max="6695" width="12.28515625" style="474" bestFit="1" customWidth="1"/>
    <col min="6696" max="6696" width="12" style="474" bestFit="1" customWidth="1"/>
    <col min="6697" max="6912" width="8.85546875" style="474"/>
    <col min="6913" max="6913" width="7.28515625" style="474" customWidth="1"/>
    <col min="6914" max="6914" width="41" style="474" customWidth="1"/>
    <col min="6915" max="6915" width="16" style="474" customWidth="1"/>
    <col min="6916" max="6916" width="16.140625" style="474" bestFit="1" customWidth="1"/>
    <col min="6917" max="6917" width="11.85546875" style="474" customWidth="1"/>
    <col min="6918" max="6918" width="12.42578125" style="474" bestFit="1" customWidth="1"/>
    <col min="6919" max="6920" width="13" style="474" bestFit="1" customWidth="1"/>
    <col min="6921" max="6921" width="12.7109375" style="474" bestFit="1" customWidth="1"/>
    <col min="6922" max="6922" width="13.42578125" style="474" bestFit="1" customWidth="1"/>
    <col min="6923" max="6923" width="13.7109375" style="474" bestFit="1" customWidth="1"/>
    <col min="6924" max="6924" width="14.5703125" style="474" bestFit="1" customWidth="1"/>
    <col min="6925" max="6925" width="14.85546875" style="474" bestFit="1" customWidth="1"/>
    <col min="6926" max="6926" width="17.140625" style="474" customWidth="1"/>
    <col min="6927" max="6927" width="16.42578125" style="474" bestFit="1" customWidth="1"/>
    <col min="6928" max="6928" width="17.140625" style="474" bestFit="1" customWidth="1"/>
    <col min="6929" max="6929" width="24.28515625" style="474" customWidth="1"/>
    <col min="6930" max="6930" width="18.28515625" style="474" bestFit="1" customWidth="1"/>
    <col min="6931" max="6931" width="18.5703125" style="474" bestFit="1" customWidth="1"/>
    <col min="6932" max="6932" width="19.28515625" style="474" bestFit="1" customWidth="1"/>
    <col min="6933" max="6933" width="20.42578125" style="474" bestFit="1" customWidth="1"/>
    <col min="6934" max="6934" width="20.85546875" style="474" bestFit="1" customWidth="1"/>
    <col min="6935" max="6935" width="21.42578125" style="474" bestFit="1" customWidth="1"/>
    <col min="6936" max="6937" width="22.28515625" style="474" bestFit="1" customWidth="1"/>
    <col min="6938" max="6939" width="23.85546875" style="474" bestFit="1" customWidth="1"/>
    <col min="6940" max="6941" width="24.85546875" style="474" bestFit="1" customWidth="1"/>
    <col min="6942" max="6946" width="11.28515625" style="474" bestFit="1" customWidth="1"/>
    <col min="6947" max="6951" width="12.28515625" style="474" bestFit="1" customWidth="1"/>
    <col min="6952" max="6952" width="12" style="474" bestFit="1" customWidth="1"/>
    <col min="6953" max="7168" width="8.85546875" style="474"/>
    <col min="7169" max="7169" width="7.28515625" style="474" customWidth="1"/>
    <col min="7170" max="7170" width="41" style="474" customWidth="1"/>
    <col min="7171" max="7171" width="16" style="474" customWidth="1"/>
    <col min="7172" max="7172" width="16.140625" style="474" bestFit="1" customWidth="1"/>
    <col min="7173" max="7173" width="11.85546875" style="474" customWidth="1"/>
    <col min="7174" max="7174" width="12.42578125" style="474" bestFit="1" customWidth="1"/>
    <col min="7175" max="7176" width="13" style="474" bestFit="1" customWidth="1"/>
    <col min="7177" max="7177" width="12.7109375" style="474" bestFit="1" customWidth="1"/>
    <col min="7178" max="7178" width="13.42578125" style="474" bestFit="1" customWidth="1"/>
    <col min="7179" max="7179" width="13.7109375" style="474" bestFit="1" customWidth="1"/>
    <col min="7180" max="7180" width="14.5703125" style="474" bestFit="1" customWidth="1"/>
    <col min="7181" max="7181" width="14.85546875" style="474" bestFit="1" customWidth="1"/>
    <col min="7182" max="7182" width="17.140625" style="474" customWidth="1"/>
    <col min="7183" max="7183" width="16.42578125" style="474" bestFit="1" customWidth="1"/>
    <col min="7184" max="7184" width="17.140625" style="474" bestFit="1" customWidth="1"/>
    <col min="7185" max="7185" width="24.28515625" style="474" customWidth="1"/>
    <col min="7186" max="7186" width="18.28515625" style="474" bestFit="1" customWidth="1"/>
    <col min="7187" max="7187" width="18.5703125" style="474" bestFit="1" customWidth="1"/>
    <col min="7188" max="7188" width="19.28515625" style="474" bestFit="1" customWidth="1"/>
    <col min="7189" max="7189" width="20.42578125" style="474" bestFit="1" customWidth="1"/>
    <col min="7190" max="7190" width="20.85546875" style="474" bestFit="1" customWidth="1"/>
    <col min="7191" max="7191" width="21.42578125" style="474" bestFit="1" customWidth="1"/>
    <col min="7192" max="7193" width="22.28515625" style="474" bestFit="1" customWidth="1"/>
    <col min="7194" max="7195" width="23.85546875" style="474" bestFit="1" customWidth="1"/>
    <col min="7196" max="7197" width="24.85546875" style="474" bestFit="1" customWidth="1"/>
    <col min="7198" max="7202" width="11.28515625" style="474" bestFit="1" customWidth="1"/>
    <col min="7203" max="7207" width="12.28515625" style="474" bestFit="1" customWidth="1"/>
    <col min="7208" max="7208" width="12" style="474" bestFit="1" customWidth="1"/>
    <col min="7209" max="7424" width="8.85546875" style="474"/>
    <col min="7425" max="7425" width="7.28515625" style="474" customWidth="1"/>
    <col min="7426" max="7426" width="41" style="474" customWidth="1"/>
    <col min="7427" max="7427" width="16" style="474" customWidth="1"/>
    <col min="7428" max="7428" width="16.140625" style="474" bestFit="1" customWidth="1"/>
    <col min="7429" max="7429" width="11.85546875" style="474" customWidth="1"/>
    <col min="7430" max="7430" width="12.42578125" style="474" bestFit="1" customWidth="1"/>
    <col min="7431" max="7432" width="13" style="474" bestFit="1" customWidth="1"/>
    <col min="7433" max="7433" width="12.7109375" style="474" bestFit="1" customWidth="1"/>
    <col min="7434" max="7434" width="13.42578125" style="474" bestFit="1" customWidth="1"/>
    <col min="7435" max="7435" width="13.7109375" style="474" bestFit="1" customWidth="1"/>
    <col min="7436" max="7436" width="14.5703125" style="474" bestFit="1" customWidth="1"/>
    <col min="7437" max="7437" width="14.85546875" style="474" bestFit="1" customWidth="1"/>
    <col min="7438" max="7438" width="17.140625" style="474" customWidth="1"/>
    <col min="7439" max="7439" width="16.42578125" style="474" bestFit="1" customWidth="1"/>
    <col min="7440" max="7440" width="17.140625" style="474" bestFit="1" customWidth="1"/>
    <col min="7441" max="7441" width="24.28515625" style="474" customWidth="1"/>
    <col min="7442" max="7442" width="18.28515625" style="474" bestFit="1" customWidth="1"/>
    <col min="7443" max="7443" width="18.5703125" style="474" bestFit="1" customWidth="1"/>
    <col min="7444" max="7444" width="19.28515625" style="474" bestFit="1" customWidth="1"/>
    <col min="7445" max="7445" width="20.42578125" style="474" bestFit="1" customWidth="1"/>
    <col min="7446" max="7446" width="20.85546875" style="474" bestFit="1" customWidth="1"/>
    <col min="7447" max="7447" width="21.42578125" style="474" bestFit="1" customWidth="1"/>
    <col min="7448" max="7449" width="22.28515625" style="474" bestFit="1" customWidth="1"/>
    <col min="7450" max="7451" width="23.85546875" style="474" bestFit="1" customWidth="1"/>
    <col min="7452" max="7453" width="24.85546875" style="474" bestFit="1" customWidth="1"/>
    <col min="7454" max="7458" width="11.28515625" style="474" bestFit="1" customWidth="1"/>
    <col min="7459" max="7463" width="12.28515625" style="474" bestFit="1" customWidth="1"/>
    <col min="7464" max="7464" width="12" style="474" bestFit="1" customWidth="1"/>
    <col min="7465" max="7680" width="8.85546875" style="474"/>
    <col min="7681" max="7681" width="7.28515625" style="474" customWidth="1"/>
    <col min="7682" max="7682" width="41" style="474" customWidth="1"/>
    <col min="7683" max="7683" width="16" style="474" customWidth="1"/>
    <col min="7684" max="7684" width="16.140625" style="474" bestFit="1" customWidth="1"/>
    <col min="7685" max="7685" width="11.85546875" style="474" customWidth="1"/>
    <col min="7686" max="7686" width="12.42578125" style="474" bestFit="1" customWidth="1"/>
    <col min="7687" max="7688" width="13" style="474" bestFit="1" customWidth="1"/>
    <col min="7689" max="7689" width="12.7109375" style="474" bestFit="1" customWidth="1"/>
    <col min="7690" max="7690" width="13.42578125" style="474" bestFit="1" customWidth="1"/>
    <col min="7691" max="7691" width="13.7109375" style="474" bestFit="1" customWidth="1"/>
    <col min="7692" max="7692" width="14.5703125" style="474" bestFit="1" customWidth="1"/>
    <col min="7693" max="7693" width="14.85546875" style="474" bestFit="1" customWidth="1"/>
    <col min="7694" max="7694" width="17.140625" style="474" customWidth="1"/>
    <col min="7695" max="7695" width="16.42578125" style="474" bestFit="1" customWidth="1"/>
    <col min="7696" max="7696" width="17.140625" style="474" bestFit="1" customWidth="1"/>
    <col min="7697" max="7697" width="24.28515625" style="474" customWidth="1"/>
    <col min="7698" max="7698" width="18.28515625" style="474" bestFit="1" customWidth="1"/>
    <col min="7699" max="7699" width="18.5703125" style="474" bestFit="1" customWidth="1"/>
    <col min="7700" max="7700" width="19.28515625" style="474" bestFit="1" customWidth="1"/>
    <col min="7701" max="7701" width="20.42578125" style="474" bestFit="1" customWidth="1"/>
    <col min="7702" max="7702" width="20.85546875" style="474" bestFit="1" customWidth="1"/>
    <col min="7703" max="7703" width="21.42578125" style="474" bestFit="1" customWidth="1"/>
    <col min="7704" max="7705" width="22.28515625" style="474" bestFit="1" customWidth="1"/>
    <col min="7706" max="7707" width="23.85546875" style="474" bestFit="1" customWidth="1"/>
    <col min="7708" max="7709" width="24.85546875" style="474" bestFit="1" customWidth="1"/>
    <col min="7710" max="7714" width="11.28515625" style="474" bestFit="1" customWidth="1"/>
    <col min="7715" max="7719" width="12.28515625" style="474" bestFit="1" customWidth="1"/>
    <col min="7720" max="7720" width="12" style="474" bestFit="1" customWidth="1"/>
    <col min="7721" max="7936" width="8.85546875" style="474"/>
    <col min="7937" max="7937" width="7.28515625" style="474" customWidth="1"/>
    <col min="7938" max="7938" width="41" style="474" customWidth="1"/>
    <col min="7939" max="7939" width="16" style="474" customWidth="1"/>
    <col min="7940" max="7940" width="16.140625" style="474" bestFit="1" customWidth="1"/>
    <col min="7941" max="7941" width="11.85546875" style="474" customWidth="1"/>
    <col min="7942" max="7942" width="12.42578125" style="474" bestFit="1" customWidth="1"/>
    <col min="7943" max="7944" width="13" style="474" bestFit="1" customWidth="1"/>
    <col min="7945" max="7945" width="12.7109375" style="474" bestFit="1" customWidth="1"/>
    <col min="7946" max="7946" width="13.42578125" style="474" bestFit="1" customWidth="1"/>
    <col min="7947" max="7947" width="13.7109375" style="474" bestFit="1" customWidth="1"/>
    <col min="7948" max="7948" width="14.5703125" style="474" bestFit="1" customWidth="1"/>
    <col min="7949" max="7949" width="14.85546875" style="474" bestFit="1" customWidth="1"/>
    <col min="7950" max="7950" width="17.140625" style="474" customWidth="1"/>
    <col min="7951" max="7951" width="16.42578125" style="474" bestFit="1" customWidth="1"/>
    <col min="7952" max="7952" width="17.140625" style="474" bestFit="1" customWidth="1"/>
    <col min="7953" max="7953" width="24.28515625" style="474" customWidth="1"/>
    <col min="7954" max="7954" width="18.28515625" style="474" bestFit="1" customWidth="1"/>
    <col min="7955" max="7955" width="18.5703125" style="474" bestFit="1" customWidth="1"/>
    <col min="7956" max="7956" width="19.28515625" style="474" bestFit="1" customWidth="1"/>
    <col min="7957" max="7957" width="20.42578125" style="474" bestFit="1" customWidth="1"/>
    <col min="7958" max="7958" width="20.85546875" style="474" bestFit="1" customWidth="1"/>
    <col min="7959" max="7959" width="21.42578125" style="474" bestFit="1" customWidth="1"/>
    <col min="7960" max="7961" width="22.28515625" style="474" bestFit="1" customWidth="1"/>
    <col min="7962" max="7963" width="23.85546875" style="474" bestFit="1" customWidth="1"/>
    <col min="7964" max="7965" width="24.85546875" style="474" bestFit="1" customWidth="1"/>
    <col min="7966" max="7970" width="11.28515625" style="474" bestFit="1" customWidth="1"/>
    <col min="7971" max="7975" width="12.28515625" style="474" bestFit="1" customWidth="1"/>
    <col min="7976" max="7976" width="12" style="474" bestFit="1" customWidth="1"/>
    <col min="7977" max="8192" width="8.85546875" style="474"/>
    <col min="8193" max="8193" width="7.28515625" style="474" customWidth="1"/>
    <col min="8194" max="8194" width="41" style="474" customWidth="1"/>
    <col min="8195" max="8195" width="16" style="474" customWidth="1"/>
    <col min="8196" max="8196" width="16.140625" style="474" bestFit="1" customWidth="1"/>
    <col min="8197" max="8197" width="11.85546875" style="474" customWidth="1"/>
    <col min="8198" max="8198" width="12.42578125" style="474" bestFit="1" customWidth="1"/>
    <col min="8199" max="8200" width="13" style="474" bestFit="1" customWidth="1"/>
    <col min="8201" max="8201" width="12.7109375" style="474" bestFit="1" customWidth="1"/>
    <col min="8202" max="8202" width="13.42578125" style="474" bestFit="1" customWidth="1"/>
    <col min="8203" max="8203" width="13.7109375" style="474" bestFit="1" customWidth="1"/>
    <col min="8204" max="8204" width="14.5703125" style="474" bestFit="1" customWidth="1"/>
    <col min="8205" max="8205" width="14.85546875" style="474" bestFit="1" customWidth="1"/>
    <col min="8206" max="8206" width="17.140625" style="474" customWidth="1"/>
    <col min="8207" max="8207" width="16.42578125" style="474" bestFit="1" customWidth="1"/>
    <col min="8208" max="8208" width="17.140625" style="474" bestFit="1" customWidth="1"/>
    <col min="8209" max="8209" width="24.28515625" style="474" customWidth="1"/>
    <col min="8210" max="8210" width="18.28515625" style="474" bestFit="1" customWidth="1"/>
    <col min="8211" max="8211" width="18.5703125" style="474" bestFit="1" customWidth="1"/>
    <col min="8212" max="8212" width="19.28515625" style="474" bestFit="1" customWidth="1"/>
    <col min="8213" max="8213" width="20.42578125" style="474" bestFit="1" customWidth="1"/>
    <col min="8214" max="8214" width="20.85546875" style="474" bestFit="1" customWidth="1"/>
    <col min="8215" max="8215" width="21.42578125" style="474" bestFit="1" customWidth="1"/>
    <col min="8216" max="8217" width="22.28515625" style="474" bestFit="1" customWidth="1"/>
    <col min="8218" max="8219" width="23.85546875" style="474" bestFit="1" customWidth="1"/>
    <col min="8220" max="8221" width="24.85546875" style="474" bestFit="1" customWidth="1"/>
    <col min="8222" max="8226" width="11.28515625" style="474" bestFit="1" customWidth="1"/>
    <col min="8227" max="8231" width="12.28515625" style="474" bestFit="1" customWidth="1"/>
    <col min="8232" max="8232" width="12" style="474" bestFit="1" customWidth="1"/>
    <col min="8233" max="8448" width="8.85546875" style="474"/>
    <col min="8449" max="8449" width="7.28515625" style="474" customWidth="1"/>
    <col min="8450" max="8450" width="41" style="474" customWidth="1"/>
    <col min="8451" max="8451" width="16" style="474" customWidth="1"/>
    <col min="8452" max="8452" width="16.140625" style="474" bestFit="1" customWidth="1"/>
    <col min="8453" max="8453" width="11.85546875" style="474" customWidth="1"/>
    <col min="8454" max="8454" width="12.42578125" style="474" bestFit="1" customWidth="1"/>
    <col min="8455" max="8456" width="13" style="474" bestFit="1" customWidth="1"/>
    <col min="8457" max="8457" width="12.7109375" style="474" bestFit="1" customWidth="1"/>
    <col min="8458" max="8458" width="13.42578125" style="474" bestFit="1" customWidth="1"/>
    <col min="8459" max="8459" width="13.7109375" style="474" bestFit="1" customWidth="1"/>
    <col min="8460" max="8460" width="14.5703125" style="474" bestFit="1" customWidth="1"/>
    <col min="8461" max="8461" width="14.85546875" style="474" bestFit="1" customWidth="1"/>
    <col min="8462" max="8462" width="17.140625" style="474" customWidth="1"/>
    <col min="8463" max="8463" width="16.42578125" style="474" bestFit="1" customWidth="1"/>
    <col min="8464" max="8464" width="17.140625" style="474" bestFit="1" customWidth="1"/>
    <col min="8465" max="8465" width="24.28515625" style="474" customWidth="1"/>
    <col min="8466" max="8466" width="18.28515625" style="474" bestFit="1" customWidth="1"/>
    <col min="8467" max="8467" width="18.5703125" style="474" bestFit="1" customWidth="1"/>
    <col min="8468" max="8468" width="19.28515625" style="474" bestFit="1" customWidth="1"/>
    <col min="8469" max="8469" width="20.42578125" style="474" bestFit="1" customWidth="1"/>
    <col min="8470" max="8470" width="20.85546875" style="474" bestFit="1" customWidth="1"/>
    <col min="8471" max="8471" width="21.42578125" style="474" bestFit="1" customWidth="1"/>
    <col min="8472" max="8473" width="22.28515625" style="474" bestFit="1" customWidth="1"/>
    <col min="8474" max="8475" width="23.85546875" style="474" bestFit="1" customWidth="1"/>
    <col min="8476" max="8477" width="24.85546875" style="474" bestFit="1" customWidth="1"/>
    <col min="8478" max="8482" width="11.28515625" style="474" bestFit="1" customWidth="1"/>
    <col min="8483" max="8487" width="12.28515625" style="474" bestFit="1" customWidth="1"/>
    <col min="8488" max="8488" width="12" style="474" bestFit="1" customWidth="1"/>
    <col min="8489" max="8704" width="8.85546875" style="474"/>
    <col min="8705" max="8705" width="7.28515625" style="474" customWidth="1"/>
    <col min="8706" max="8706" width="41" style="474" customWidth="1"/>
    <col min="8707" max="8707" width="16" style="474" customWidth="1"/>
    <col min="8708" max="8708" width="16.140625" style="474" bestFit="1" customWidth="1"/>
    <col min="8709" max="8709" width="11.85546875" style="474" customWidth="1"/>
    <col min="8710" max="8710" width="12.42578125" style="474" bestFit="1" customWidth="1"/>
    <col min="8711" max="8712" width="13" style="474" bestFit="1" customWidth="1"/>
    <col min="8713" max="8713" width="12.7109375" style="474" bestFit="1" customWidth="1"/>
    <col min="8714" max="8714" width="13.42578125" style="474" bestFit="1" customWidth="1"/>
    <col min="8715" max="8715" width="13.7109375" style="474" bestFit="1" customWidth="1"/>
    <col min="8716" max="8716" width="14.5703125" style="474" bestFit="1" customWidth="1"/>
    <col min="8717" max="8717" width="14.85546875" style="474" bestFit="1" customWidth="1"/>
    <col min="8718" max="8718" width="17.140625" style="474" customWidth="1"/>
    <col min="8719" max="8719" width="16.42578125" style="474" bestFit="1" customWidth="1"/>
    <col min="8720" max="8720" width="17.140625" style="474" bestFit="1" customWidth="1"/>
    <col min="8721" max="8721" width="24.28515625" style="474" customWidth="1"/>
    <col min="8722" max="8722" width="18.28515625" style="474" bestFit="1" customWidth="1"/>
    <col min="8723" max="8723" width="18.5703125" style="474" bestFit="1" customWidth="1"/>
    <col min="8724" max="8724" width="19.28515625" style="474" bestFit="1" customWidth="1"/>
    <col min="8725" max="8725" width="20.42578125" style="474" bestFit="1" customWidth="1"/>
    <col min="8726" max="8726" width="20.85546875" style="474" bestFit="1" customWidth="1"/>
    <col min="8727" max="8727" width="21.42578125" style="474" bestFit="1" customWidth="1"/>
    <col min="8728" max="8729" width="22.28515625" style="474" bestFit="1" customWidth="1"/>
    <col min="8730" max="8731" width="23.85546875" style="474" bestFit="1" customWidth="1"/>
    <col min="8732" max="8733" width="24.85546875" style="474" bestFit="1" customWidth="1"/>
    <col min="8734" max="8738" width="11.28515625" style="474" bestFit="1" customWidth="1"/>
    <col min="8739" max="8743" width="12.28515625" style="474" bestFit="1" customWidth="1"/>
    <col min="8744" max="8744" width="12" style="474" bestFit="1" customWidth="1"/>
    <col min="8745" max="8960" width="8.85546875" style="474"/>
    <col min="8961" max="8961" width="7.28515625" style="474" customWidth="1"/>
    <col min="8962" max="8962" width="41" style="474" customWidth="1"/>
    <col min="8963" max="8963" width="16" style="474" customWidth="1"/>
    <col min="8964" max="8964" width="16.140625" style="474" bestFit="1" customWidth="1"/>
    <col min="8965" max="8965" width="11.85546875" style="474" customWidth="1"/>
    <col min="8966" max="8966" width="12.42578125" style="474" bestFit="1" customWidth="1"/>
    <col min="8967" max="8968" width="13" style="474" bestFit="1" customWidth="1"/>
    <col min="8969" max="8969" width="12.7109375" style="474" bestFit="1" customWidth="1"/>
    <col min="8970" max="8970" width="13.42578125" style="474" bestFit="1" customWidth="1"/>
    <col min="8971" max="8971" width="13.7109375" style="474" bestFit="1" customWidth="1"/>
    <col min="8972" max="8972" width="14.5703125" style="474" bestFit="1" customWidth="1"/>
    <col min="8973" max="8973" width="14.85546875" style="474" bestFit="1" customWidth="1"/>
    <col min="8974" max="8974" width="17.140625" style="474" customWidth="1"/>
    <col min="8975" max="8975" width="16.42578125" style="474" bestFit="1" customWidth="1"/>
    <col min="8976" max="8976" width="17.140625" style="474" bestFit="1" customWidth="1"/>
    <col min="8977" max="8977" width="24.28515625" style="474" customWidth="1"/>
    <col min="8978" max="8978" width="18.28515625" style="474" bestFit="1" customWidth="1"/>
    <col min="8979" max="8979" width="18.5703125" style="474" bestFit="1" customWidth="1"/>
    <col min="8980" max="8980" width="19.28515625" style="474" bestFit="1" customWidth="1"/>
    <col min="8981" max="8981" width="20.42578125" style="474" bestFit="1" customWidth="1"/>
    <col min="8982" max="8982" width="20.85546875" style="474" bestFit="1" customWidth="1"/>
    <col min="8983" max="8983" width="21.42578125" style="474" bestFit="1" customWidth="1"/>
    <col min="8984" max="8985" width="22.28515625" style="474" bestFit="1" customWidth="1"/>
    <col min="8986" max="8987" width="23.85546875" style="474" bestFit="1" customWidth="1"/>
    <col min="8988" max="8989" width="24.85546875" style="474" bestFit="1" customWidth="1"/>
    <col min="8990" max="8994" width="11.28515625" style="474" bestFit="1" customWidth="1"/>
    <col min="8995" max="8999" width="12.28515625" style="474" bestFit="1" customWidth="1"/>
    <col min="9000" max="9000" width="12" style="474" bestFit="1" customWidth="1"/>
    <col min="9001" max="9216" width="8.85546875" style="474"/>
    <col min="9217" max="9217" width="7.28515625" style="474" customWidth="1"/>
    <col min="9218" max="9218" width="41" style="474" customWidth="1"/>
    <col min="9219" max="9219" width="16" style="474" customWidth="1"/>
    <col min="9220" max="9220" width="16.140625" style="474" bestFit="1" customWidth="1"/>
    <col min="9221" max="9221" width="11.85546875" style="474" customWidth="1"/>
    <col min="9222" max="9222" width="12.42578125" style="474" bestFit="1" customWidth="1"/>
    <col min="9223" max="9224" width="13" style="474" bestFit="1" customWidth="1"/>
    <col min="9225" max="9225" width="12.7109375" style="474" bestFit="1" customWidth="1"/>
    <col min="9226" max="9226" width="13.42578125" style="474" bestFit="1" customWidth="1"/>
    <col min="9227" max="9227" width="13.7109375" style="474" bestFit="1" customWidth="1"/>
    <col min="9228" max="9228" width="14.5703125" style="474" bestFit="1" customWidth="1"/>
    <col min="9229" max="9229" width="14.85546875" style="474" bestFit="1" customWidth="1"/>
    <col min="9230" max="9230" width="17.140625" style="474" customWidth="1"/>
    <col min="9231" max="9231" width="16.42578125" style="474" bestFit="1" customWidth="1"/>
    <col min="9232" max="9232" width="17.140625" style="474" bestFit="1" customWidth="1"/>
    <col min="9233" max="9233" width="24.28515625" style="474" customWidth="1"/>
    <col min="9234" max="9234" width="18.28515625" style="474" bestFit="1" customWidth="1"/>
    <col min="9235" max="9235" width="18.5703125" style="474" bestFit="1" customWidth="1"/>
    <col min="9236" max="9236" width="19.28515625" style="474" bestFit="1" customWidth="1"/>
    <col min="9237" max="9237" width="20.42578125" style="474" bestFit="1" customWidth="1"/>
    <col min="9238" max="9238" width="20.85546875" style="474" bestFit="1" customWidth="1"/>
    <col min="9239" max="9239" width="21.42578125" style="474" bestFit="1" customWidth="1"/>
    <col min="9240" max="9241" width="22.28515625" style="474" bestFit="1" customWidth="1"/>
    <col min="9242" max="9243" width="23.85546875" style="474" bestFit="1" customWidth="1"/>
    <col min="9244" max="9245" width="24.85546875" style="474" bestFit="1" customWidth="1"/>
    <col min="9246" max="9250" width="11.28515625" style="474" bestFit="1" customWidth="1"/>
    <col min="9251" max="9255" width="12.28515625" style="474" bestFit="1" customWidth="1"/>
    <col min="9256" max="9256" width="12" style="474" bestFit="1" customWidth="1"/>
    <col min="9257" max="9472" width="8.85546875" style="474"/>
    <col min="9473" max="9473" width="7.28515625" style="474" customWidth="1"/>
    <col min="9474" max="9474" width="41" style="474" customWidth="1"/>
    <col min="9475" max="9475" width="16" style="474" customWidth="1"/>
    <col min="9476" max="9476" width="16.140625" style="474" bestFit="1" customWidth="1"/>
    <col min="9477" max="9477" width="11.85546875" style="474" customWidth="1"/>
    <col min="9478" max="9478" width="12.42578125" style="474" bestFit="1" customWidth="1"/>
    <col min="9479" max="9480" width="13" style="474" bestFit="1" customWidth="1"/>
    <col min="9481" max="9481" width="12.7109375" style="474" bestFit="1" customWidth="1"/>
    <col min="9482" max="9482" width="13.42578125" style="474" bestFit="1" customWidth="1"/>
    <col min="9483" max="9483" width="13.7109375" style="474" bestFit="1" customWidth="1"/>
    <col min="9484" max="9484" width="14.5703125" style="474" bestFit="1" customWidth="1"/>
    <col min="9485" max="9485" width="14.85546875" style="474" bestFit="1" customWidth="1"/>
    <col min="9486" max="9486" width="17.140625" style="474" customWidth="1"/>
    <col min="9487" max="9487" width="16.42578125" style="474" bestFit="1" customWidth="1"/>
    <col min="9488" max="9488" width="17.140625" style="474" bestFit="1" customWidth="1"/>
    <col min="9489" max="9489" width="24.28515625" style="474" customWidth="1"/>
    <col min="9490" max="9490" width="18.28515625" style="474" bestFit="1" customWidth="1"/>
    <col min="9491" max="9491" width="18.5703125" style="474" bestFit="1" customWidth="1"/>
    <col min="9492" max="9492" width="19.28515625" style="474" bestFit="1" customWidth="1"/>
    <col min="9493" max="9493" width="20.42578125" style="474" bestFit="1" customWidth="1"/>
    <col min="9494" max="9494" width="20.85546875" style="474" bestFit="1" customWidth="1"/>
    <col min="9495" max="9495" width="21.42578125" style="474" bestFit="1" customWidth="1"/>
    <col min="9496" max="9497" width="22.28515625" style="474" bestFit="1" customWidth="1"/>
    <col min="9498" max="9499" width="23.85546875" style="474" bestFit="1" customWidth="1"/>
    <col min="9500" max="9501" width="24.85546875" style="474" bestFit="1" customWidth="1"/>
    <col min="9502" max="9506" width="11.28515625" style="474" bestFit="1" customWidth="1"/>
    <col min="9507" max="9511" width="12.28515625" style="474" bestFit="1" customWidth="1"/>
    <col min="9512" max="9512" width="12" style="474" bestFit="1" customWidth="1"/>
    <col min="9513" max="9728" width="8.85546875" style="474"/>
    <col min="9729" max="9729" width="7.28515625" style="474" customWidth="1"/>
    <col min="9730" max="9730" width="41" style="474" customWidth="1"/>
    <col min="9731" max="9731" width="16" style="474" customWidth="1"/>
    <col min="9732" max="9732" width="16.140625" style="474" bestFit="1" customWidth="1"/>
    <col min="9733" max="9733" width="11.85546875" style="474" customWidth="1"/>
    <col min="9734" max="9734" width="12.42578125" style="474" bestFit="1" customWidth="1"/>
    <col min="9735" max="9736" width="13" style="474" bestFit="1" customWidth="1"/>
    <col min="9737" max="9737" width="12.7109375" style="474" bestFit="1" customWidth="1"/>
    <col min="9738" max="9738" width="13.42578125" style="474" bestFit="1" customWidth="1"/>
    <col min="9739" max="9739" width="13.7109375" style="474" bestFit="1" customWidth="1"/>
    <col min="9740" max="9740" width="14.5703125" style="474" bestFit="1" customWidth="1"/>
    <col min="9741" max="9741" width="14.85546875" style="474" bestFit="1" customWidth="1"/>
    <col min="9742" max="9742" width="17.140625" style="474" customWidth="1"/>
    <col min="9743" max="9743" width="16.42578125" style="474" bestFit="1" customWidth="1"/>
    <col min="9744" max="9744" width="17.140625" style="474" bestFit="1" customWidth="1"/>
    <col min="9745" max="9745" width="24.28515625" style="474" customWidth="1"/>
    <col min="9746" max="9746" width="18.28515625" style="474" bestFit="1" customWidth="1"/>
    <col min="9747" max="9747" width="18.5703125" style="474" bestFit="1" customWidth="1"/>
    <col min="9748" max="9748" width="19.28515625" style="474" bestFit="1" customWidth="1"/>
    <col min="9749" max="9749" width="20.42578125" style="474" bestFit="1" customWidth="1"/>
    <col min="9750" max="9750" width="20.85546875" style="474" bestFit="1" customWidth="1"/>
    <col min="9751" max="9751" width="21.42578125" style="474" bestFit="1" customWidth="1"/>
    <col min="9752" max="9753" width="22.28515625" style="474" bestFit="1" customWidth="1"/>
    <col min="9754" max="9755" width="23.85546875" style="474" bestFit="1" customWidth="1"/>
    <col min="9756" max="9757" width="24.85546875" style="474" bestFit="1" customWidth="1"/>
    <col min="9758" max="9762" width="11.28515625" style="474" bestFit="1" customWidth="1"/>
    <col min="9763" max="9767" width="12.28515625" style="474" bestFit="1" customWidth="1"/>
    <col min="9768" max="9768" width="12" style="474" bestFit="1" customWidth="1"/>
    <col min="9769" max="9984" width="8.85546875" style="474"/>
    <col min="9985" max="9985" width="7.28515625" style="474" customWidth="1"/>
    <col min="9986" max="9986" width="41" style="474" customWidth="1"/>
    <col min="9987" max="9987" width="16" style="474" customWidth="1"/>
    <col min="9988" max="9988" width="16.140625" style="474" bestFit="1" customWidth="1"/>
    <col min="9989" max="9989" width="11.85546875" style="474" customWidth="1"/>
    <col min="9990" max="9990" width="12.42578125" style="474" bestFit="1" customWidth="1"/>
    <col min="9991" max="9992" width="13" style="474" bestFit="1" customWidth="1"/>
    <col min="9993" max="9993" width="12.7109375" style="474" bestFit="1" customWidth="1"/>
    <col min="9994" max="9994" width="13.42578125" style="474" bestFit="1" customWidth="1"/>
    <col min="9995" max="9995" width="13.7109375" style="474" bestFit="1" customWidth="1"/>
    <col min="9996" max="9996" width="14.5703125" style="474" bestFit="1" customWidth="1"/>
    <col min="9997" max="9997" width="14.85546875" style="474" bestFit="1" customWidth="1"/>
    <col min="9998" max="9998" width="17.140625" style="474" customWidth="1"/>
    <col min="9999" max="9999" width="16.42578125" style="474" bestFit="1" customWidth="1"/>
    <col min="10000" max="10000" width="17.140625" style="474" bestFit="1" customWidth="1"/>
    <col min="10001" max="10001" width="24.28515625" style="474" customWidth="1"/>
    <col min="10002" max="10002" width="18.28515625" style="474" bestFit="1" customWidth="1"/>
    <col min="10003" max="10003" width="18.5703125" style="474" bestFit="1" customWidth="1"/>
    <col min="10004" max="10004" width="19.28515625" style="474" bestFit="1" customWidth="1"/>
    <col min="10005" max="10005" width="20.42578125" style="474" bestFit="1" customWidth="1"/>
    <col min="10006" max="10006" width="20.85546875" style="474" bestFit="1" customWidth="1"/>
    <col min="10007" max="10007" width="21.42578125" style="474" bestFit="1" customWidth="1"/>
    <col min="10008" max="10009" width="22.28515625" style="474" bestFit="1" customWidth="1"/>
    <col min="10010" max="10011" width="23.85546875" style="474" bestFit="1" customWidth="1"/>
    <col min="10012" max="10013" width="24.85546875" style="474" bestFit="1" customWidth="1"/>
    <col min="10014" max="10018" width="11.28515625" style="474" bestFit="1" customWidth="1"/>
    <col min="10019" max="10023" width="12.28515625" style="474" bestFit="1" customWidth="1"/>
    <col min="10024" max="10024" width="12" style="474" bestFit="1" customWidth="1"/>
    <col min="10025" max="10240" width="8.85546875" style="474"/>
    <col min="10241" max="10241" width="7.28515625" style="474" customWidth="1"/>
    <col min="10242" max="10242" width="41" style="474" customWidth="1"/>
    <col min="10243" max="10243" width="16" style="474" customWidth="1"/>
    <col min="10244" max="10244" width="16.140625" style="474" bestFit="1" customWidth="1"/>
    <col min="10245" max="10245" width="11.85546875" style="474" customWidth="1"/>
    <col min="10246" max="10246" width="12.42578125" style="474" bestFit="1" customWidth="1"/>
    <col min="10247" max="10248" width="13" style="474" bestFit="1" customWidth="1"/>
    <col min="10249" max="10249" width="12.7109375" style="474" bestFit="1" customWidth="1"/>
    <col min="10250" max="10250" width="13.42578125" style="474" bestFit="1" customWidth="1"/>
    <col min="10251" max="10251" width="13.7109375" style="474" bestFit="1" customWidth="1"/>
    <col min="10252" max="10252" width="14.5703125" style="474" bestFit="1" customWidth="1"/>
    <col min="10253" max="10253" width="14.85546875" style="474" bestFit="1" customWidth="1"/>
    <col min="10254" max="10254" width="17.140625" style="474" customWidth="1"/>
    <col min="10255" max="10255" width="16.42578125" style="474" bestFit="1" customWidth="1"/>
    <col min="10256" max="10256" width="17.140625" style="474" bestFit="1" customWidth="1"/>
    <col min="10257" max="10257" width="24.28515625" style="474" customWidth="1"/>
    <col min="10258" max="10258" width="18.28515625" style="474" bestFit="1" customWidth="1"/>
    <col min="10259" max="10259" width="18.5703125" style="474" bestFit="1" customWidth="1"/>
    <col min="10260" max="10260" width="19.28515625" style="474" bestFit="1" customWidth="1"/>
    <col min="10261" max="10261" width="20.42578125" style="474" bestFit="1" customWidth="1"/>
    <col min="10262" max="10262" width="20.85546875" style="474" bestFit="1" customWidth="1"/>
    <col min="10263" max="10263" width="21.42578125" style="474" bestFit="1" customWidth="1"/>
    <col min="10264" max="10265" width="22.28515625" style="474" bestFit="1" customWidth="1"/>
    <col min="10266" max="10267" width="23.85546875" style="474" bestFit="1" customWidth="1"/>
    <col min="10268" max="10269" width="24.85546875" style="474" bestFit="1" customWidth="1"/>
    <col min="10270" max="10274" width="11.28515625" style="474" bestFit="1" customWidth="1"/>
    <col min="10275" max="10279" width="12.28515625" style="474" bestFit="1" customWidth="1"/>
    <col min="10280" max="10280" width="12" style="474" bestFit="1" customWidth="1"/>
    <col min="10281" max="10496" width="8.85546875" style="474"/>
    <col min="10497" max="10497" width="7.28515625" style="474" customWidth="1"/>
    <col min="10498" max="10498" width="41" style="474" customWidth="1"/>
    <col min="10499" max="10499" width="16" style="474" customWidth="1"/>
    <col min="10500" max="10500" width="16.140625" style="474" bestFit="1" customWidth="1"/>
    <col min="10501" max="10501" width="11.85546875" style="474" customWidth="1"/>
    <col min="10502" max="10502" width="12.42578125" style="474" bestFit="1" customWidth="1"/>
    <col min="10503" max="10504" width="13" style="474" bestFit="1" customWidth="1"/>
    <col min="10505" max="10505" width="12.7109375" style="474" bestFit="1" customWidth="1"/>
    <col min="10506" max="10506" width="13.42578125" style="474" bestFit="1" customWidth="1"/>
    <col min="10507" max="10507" width="13.7109375" style="474" bestFit="1" customWidth="1"/>
    <col min="10508" max="10508" width="14.5703125" style="474" bestFit="1" customWidth="1"/>
    <col min="10509" max="10509" width="14.85546875" style="474" bestFit="1" customWidth="1"/>
    <col min="10510" max="10510" width="17.140625" style="474" customWidth="1"/>
    <col min="10511" max="10511" width="16.42578125" style="474" bestFit="1" customWidth="1"/>
    <col min="10512" max="10512" width="17.140625" style="474" bestFit="1" customWidth="1"/>
    <col min="10513" max="10513" width="24.28515625" style="474" customWidth="1"/>
    <col min="10514" max="10514" width="18.28515625" style="474" bestFit="1" customWidth="1"/>
    <col min="10515" max="10515" width="18.5703125" style="474" bestFit="1" customWidth="1"/>
    <col min="10516" max="10516" width="19.28515625" style="474" bestFit="1" customWidth="1"/>
    <col min="10517" max="10517" width="20.42578125" style="474" bestFit="1" customWidth="1"/>
    <col min="10518" max="10518" width="20.85546875" style="474" bestFit="1" customWidth="1"/>
    <col min="10519" max="10519" width="21.42578125" style="474" bestFit="1" customWidth="1"/>
    <col min="10520" max="10521" width="22.28515625" style="474" bestFit="1" customWidth="1"/>
    <col min="10522" max="10523" width="23.85546875" style="474" bestFit="1" customWidth="1"/>
    <col min="10524" max="10525" width="24.85546875" style="474" bestFit="1" customWidth="1"/>
    <col min="10526" max="10530" width="11.28515625" style="474" bestFit="1" customWidth="1"/>
    <col min="10531" max="10535" width="12.28515625" style="474" bestFit="1" customWidth="1"/>
    <col min="10536" max="10536" width="12" style="474" bestFit="1" customWidth="1"/>
    <col min="10537" max="10752" width="8.85546875" style="474"/>
    <col min="10753" max="10753" width="7.28515625" style="474" customWidth="1"/>
    <col min="10754" max="10754" width="41" style="474" customWidth="1"/>
    <col min="10755" max="10755" width="16" style="474" customWidth="1"/>
    <col min="10756" max="10756" width="16.140625" style="474" bestFit="1" customWidth="1"/>
    <col min="10757" max="10757" width="11.85546875" style="474" customWidth="1"/>
    <col min="10758" max="10758" width="12.42578125" style="474" bestFit="1" customWidth="1"/>
    <col min="10759" max="10760" width="13" style="474" bestFit="1" customWidth="1"/>
    <col min="10761" max="10761" width="12.7109375" style="474" bestFit="1" customWidth="1"/>
    <col min="10762" max="10762" width="13.42578125" style="474" bestFit="1" customWidth="1"/>
    <col min="10763" max="10763" width="13.7109375" style="474" bestFit="1" customWidth="1"/>
    <col min="10764" max="10764" width="14.5703125" style="474" bestFit="1" customWidth="1"/>
    <col min="10765" max="10765" width="14.85546875" style="474" bestFit="1" customWidth="1"/>
    <col min="10766" max="10766" width="17.140625" style="474" customWidth="1"/>
    <col min="10767" max="10767" width="16.42578125" style="474" bestFit="1" customWidth="1"/>
    <col min="10768" max="10768" width="17.140625" style="474" bestFit="1" customWidth="1"/>
    <col min="10769" max="10769" width="24.28515625" style="474" customWidth="1"/>
    <col min="10770" max="10770" width="18.28515625" style="474" bestFit="1" customWidth="1"/>
    <col min="10771" max="10771" width="18.5703125" style="474" bestFit="1" customWidth="1"/>
    <col min="10772" max="10772" width="19.28515625" style="474" bestFit="1" customWidth="1"/>
    <col min="10773" max="10773" width="20.42578125" style="474" bestFit="1" customWidth="1"/>
    <col min="10774" max="10774" width="20.85546875" style="474" bestFit="1" customWidth="1"/>
    <col min="10775" max="10775" width="21.42578125" style="474" bestFit="1" customWidth="1"/>
    <col min="10776" max="10777" width="22.28515625" style="474" bestFit="1" customWidth="1"/>
    <col min="10778" max="10779" width="23.85546875" style="474" bestFit="1" customWidth="1"/>
    <col min="10780" max="10781" width="24.85546875" style="474" bestFit="1" customWidth="1"/>
    <col min="10782" max="10786" width="11.28515625" style="474" bestFit="1" customWidth="1"/>
    <col min="10787" max="10791" width="12.28515625" style="474" bestFit="1" customWidth="1"/>
    <col min="10792" max="10792" width="12" style="474" bestFit="1" customWidth="1"/>
    <col min="10793" max="11008" width="8.85546875" style="474"/>
    <col min="11009" max="11009" width="7.28515625" style="474" customWidth="1"/>
    <col min="11010" max="11010" width="41" style="474" customWidth="1"/>
    <col min="11011" max="11011" width="16" style="474" customWidth="1"/>
    <col min="11012" max="11012" width="16.140625" style="474" bestFit="1" customWidth="1"/>
    <col min="11013" max="11013" width="11.85546875" style="474" customWidth="1"/>
    <col min="11014" max="11014" width="12.42578125" style="474" bestFit="1" customWidth="1"/>
    <col min="11015" max="11016" width="13" style="474" bestFit="1" customWidth="1"/>
    <col min="11017" max="11017" width="12.7109375" style="474" bestFit="1" customWidth="1"/>
    <col min="11018" max="11018" width="13.42578125" style="474" bestFit="1" customWidth="1"/>
    <col min="11019" max="11019" width="13.7109375" style="474" bestFit="1" customWidth="1"/>
    <col min="11020" max="11020" width="14.5703125" style="474" bestFit="1" customWidth="1"/>
    <col min="11021" max="11021" width="14.85546875" style="474" bestFit="1" customWidth="1"/>
    <col min="11022" max="11022" width="17.140625" style="474" customWidth="1"/>
    <col min="11023" max="11023" width="16.42578125" style="474" bestFit="1" customWidth="1"/>
    <col min="11024" max="11024" width="17.140625" style="474" bestFit="1" customWidth="1"/>
    <col min="11025" max="11025" width="24.28515625" style="474" customWidth="1"/>
    <col min="11026" max="11026" width="18.28515625" style="474" bestFit="1" customWidth="1"/>
    <col min="11027" max="11027" width="18.5703125" style="474" bestFit="1" customWidth="1"/>
    <col min="11028" max="11028" width="19.28515625" style="474" bestFit="1" customWidth="1"/>
    <col min="11029" max="11029" width="20.42578125" style="474" bestFit="1" customWidth="1"/>
    <col min="11030" max="11030" width="20.85546875" style="474" bestFit="1" customWidth="1"/>
    <col min="11031" max="11031" width="21.42578125" style="474" bestFit="1" customWidth="1"/>
    <col min="11032" max="11033" width="22.28515625" style="474" bestFit="1" customWidth="1"/>
    <col min="11034" max="11035" width="23.85546875" style="474" bestFit="1" customWidth="1"/>
    <col min="11036" max="11037" width="24.85546875" style="474" bestFit="1" customWidth="1"/>
    <col min="11038" max="11042" width="11.28515625" style="474" bestFit="1" customWidth="1"/>
    <col min="11043" max="11047" width="12.28515625" style="474" bestFit="1" customWidth="1"/>
    <col min="11048" max="11048" width="12" style="474" bestFit="1" customWidth="1"/>
    <col min="11049" max="11264" width="8.85546875" style="474"/>
    <col min="11265" max="11265" width="7.28515625" style="474" customWidth="1"/>
    <col min="11266" max="11266" width="41" style="474" customWidth="1"/>
    <col min="11267" max="11267" width="16" style="474" customWidth="1"/>
    <col min="11268" max="11268" width="16.140625" style="474" bestFit="1" customWidth="1"/>
    <col min="11269" max="11269" width="11.85546875" style="474" customWidth="1"/>
    <col min="11270" max="11270" width="12.42578125" style="474" bestFit="1" customWidth="1"/>
    <col min="11271" max="11272" width="13" style="474" bestFit="1" customWidth="1"/>
    <col min="11273" max="11273" width="12.7109375" style="474" bestFit="1" customWidth="1"/>
    <col min="11274" max="11274" width="13.42578125" style="474" bestFit="1" customWidth="1"/>
    <col min="11275" max="11275" width="13.7109375" style="474" bestFit="1" customWidth="1"/>
    <col min="11276" max="11276" width="14.5703125" style="474" bestFit="1" customWidth="1"/>
    <col min="11277" max="11277" width="14.85546875" style="474" bestFit="1" customWidth="1"/>
    <col min="11278" max="11278" width="17.140625" style="474" customWidth="1"/>
    <col min="11279" max="11279" width="16.42578125" style="474" bestFit="1" customWidth="1"/>
    <col min="11280" max="11280" width="17.140625" style="474" bestFit="1" customWidth="1"/>
    <col min="11281" max="11281" width="24.28515625" style="474" customWidth="1"/>
    <col min="11282" max="11282" width="18.28515625" style="474" bestFit="1" customWidth="1"/>
    <col min="11283" max="11283" width="18.5703125" style="474" bestFit="1" customWidth="1"/>
    <col min="11284" max="11284" width="19.28515625" style="474" bestFit="1" customWidth="1"/>
    <col min="11285" max="11285" width="20.42578125" style="474" bestFit="1" customWidth="1"/>
    <col min="11286" max="11286" width="20.85546875" style="474" bestFit="1" customWidth="1"/>
    <col min="11287" max="11287" width="21.42578125" style="474" bestFit="1" customWidth="1"/>
    <col min="11288" max="11289" width="22.28515625" style="474" bestFit="1" customWidth="1"/>
    <col min="11290" max="11291" width="23.85546875" style="474" bestFit="1" customWidth="1"/>
    <col min="11292" max="11293" width="24.85546875" style="474" bestFit="1" customWidth="1"/>
    <col min="11294" max="11298" width="11.28515625" style="474" bestFit="1" customWidth="1"/>
    <col min="11299" max="11303" width="12.28515625" style="474" bestFit="1" customWidth="1"/>
    <col min="11304" max="11304" width="12" style="474" bestFit="1" customWidth="1"/>
    <col min="11305" max="11520" width="8.85546875" style="474"/>
    <col min="11521" max="11521" width="7.28515625" style="474" customWidth="1"/>
    <col min="11522" max="11522" width="41" style="474" customWidth="1"/>
    <col min="11523" max="11523" width="16" style="474" customWidth="1"/>
    <col min="11524" max="11524" width="16.140625" style="474" bestFit="1" customWidth="1"/>
    <col min="11525" max="11525" width="11.85546875" style="474" customWidth="1"/>
    <col min="11526" max="11526" width="12.42578125" style="474" bestFit="1" customWidth="1"/>
    <col min="11527" max="11528" width="13" style="474" bestFit="1" customWidth="1"/>
    <col min="11529" max="11529" width="12.7109375" style="474" bestFit="1" customWidth="1"/>
    <col min="11530" max="11530" width="13.42578125" style="474" bestFit="1" customWidth="1"/>
    <col min="11531" max="11531" width="13.7109375" style="474" bestFit="1" customWidth="1"/>
    <col min="11532" max="11532" width="14.5703125" style="474" bestFit="1" customWidth="1"/>
    <col min="11533" max="11533" width="14.85546875" style="474" bestFit="1" customWidth="1"/>
    <col min="11534" max="11534" width="17.140625" style="474" customWidth="1"/>
    <col min="11535" max="11535" width="16.42578125" style="474" bestFit="1" customWidth="1"/>
    <col min="11536" max="11536" width="17.140625" style="474" bestFit="1" customWidth="1"/>
    <col min="11537" max="11537" width="24.28515625" style="474" customWidth="1"/>
    <col min="11538" max="11538" width="18.28515625" style="474" bestFit="1" customWidth="1"/>
    <col min="11539" max="11539" width="18.5703125" style="474" bestFit="1" customWidth="1"/>
    <col min="11540" max="11540" width="19.28515625" style="474" bestFit="1" customWidth="1"/>
    <col min="11541" max="11541" width="20.42578125" style="474" bestFit="1" customWidth="1"/>
    <col min="11542" max="11542" width="20.85546875" style="474" bestFit="1" customWidth="1"/>
    <col min="11543" max="11543" width="21.42578125" style="474" bestFit="1" customWidth="1"/>
    <col min="11544" max="11545" width="22.28515625" style="474" bestFit="1" customWidth="1"/>
    <col min="11546" max="11547" width="23.85546875" style="474" bestFit="1" customWidth="1"/>
    <col min="11548" max="11549" width="24.85546875" style="474" bestFit="1" customWidth="1"/>
    <col min="11550" max="11554" width="11.28515625" style="474" bestFit="1" customWidth="1"/>
    <col min="11555" max="11559" width="12.28515625" style="474" bestFit="1" customWidth="1"/>
    <col min="11560" max="11560" width="12" style="474" bestFit="1" customWidth="1"/>
    <col min="11561" max="11776" width="8.85546875" style="474"/>
    <col min="11777" max="11777" width="7.28515625" style="474" customWidth="1"/>
    <col min="11778" max="11778" width="41" style="474" customWidth="1"/>
    <col min="11779" max="11779" width="16" style="474" customWidth="1"/>
    <col min="11780" max="11780" width="16.140625" style="474" bestFit="1" customWidth="1"/>
    <col min="11781" max="11781" width="11.85546875" style="474" customWidth="1"/>
    <col min="11782" max="11782" width="12.42578125" style="474" bestFit="1" customWidth="1"/>
    <col min="11783" max="11784" width="13" style="474" bestFit="1" customWidth="1"/>
    <col min="11785" max="11785" width="12.7109375" style="474" bestFit="1" customWidth="1"/>
    <col min="11786" max="11786" width="13.42578125" style="474" bestFit="1" customWidth="1"/>
    <col min="11787" max="11787" width="13.7109375" style="474" bestFit="1" customWidth="1"/>
    <col min="11788" max="11788" width="14.5703125" style="474" bestFit="1" customWidth="1"/>
    <col min="11789" max="11789" width="14.85546875" style="474" bestFit="1" customWidth="1"/>
    <col min="11790" max="11790" width="17.140625" style="474" customWidth="1"/>
    <col min="11791" max="11791" width="16.42578125" style="474" bestFit="1" customWidth="1"/>
    <col min="11792" max="11792" width="17.140625" style="474" bestFit="1" customWidth="1"/>
    <col min="11793" max="11793" width="24.28515625" style="474" customWidth="1"/>
    <col min="11794" max="11794" width="18.28515625" style="474" bestFit="1" customWidth="1"/>
    <col min="11795" max="11795" width="18.5703125" style="474" bestFit="1" customWidth="1"/>
    <col min="11796" max="11796" width="19.28515625" style="474" bestFit="1" customWidth="1"/>
    <col min="11797" max="11797" width="20.42578125" style="474" bestFit="1" customWidth="1"/>
    <col min="11798" max="11798" width="20.85546875" style="474" bestFit="1" customWidth="1"/>
    <col min="11799" max="11799" width="21.42578125" style="474" bestFit="1" customWidth="1"/>
    <col min="11800" max="11801" width="22.28515625" style="474" bestFit="1" customWidth="1"/>
    <col min="11802" max="11803" width="23.85546875" style="474" bestFit="1" customWidth="1"/>
    <col min="11804" max="11805" width="24.85546875" style="474" bestFit="1" customWidth="1"/>
    <col min="11806" max="11810" width="11.28515625" style="474" bestFit="1" customWidth="1"/>
    <col min="11811" max="11815" width="12.28515625" style="474" bestFit="1" customWidth="1"/>
    <col min="11816" max="11816" width="12" style="474" bestFit="1" customWidth="1"/>
    <col min="11817" max="12032" width="8.85546875" style="474"/>
    <col min="12033" max="12033" width="7.28515625" style="474" customWidth="1"/>
    <col min="12034" max="12034" width="41" style="474" customWidth="1"/>
    <col min="12035" max="12035" width="16" style="474" customWidth="1"/>
    <col min="12036" max="12036" width="16.140625" style="474" bestFit="1" customWidth="1"/>
    <col min="12037" max="12037" width="11.85546875" style="474" customWidth="1"/>
    <col min="12038" max="12038" width="12.42578125" style="474" bestFit="1" customWidth="1"/>
    <col min="12039" max="12040" width="13" style="474" bestFit="1" customWidth="1"/>
    <col min="12041" max="12041" width="12.7109375" style="474" bestFit="1" customWidth="1"/>
    <col min="12042" max="12042" width="13.42578125" style="474" bestFit="1" customWidth="1"/>
    <col min="12043" max="12043" width="13.7109375" style="474" bestFit="1" customWidth="1"/>
    <col min="12044" max="12044" width="14.5703125" style="474" bestFit="1" customWidth="1"/>
    <col min="12045" max="12045" width="14.85546875" style="474" bestFit="1" customWidth="1"/>
    <col min="12046" max="12046" width="17.140625" style="474" customWidth="1"/>
    <col min="12047" max="12047" width="16.42578125" style="474" bestFit="1" customWidth="1"/>
    <col min="12048" max="12048" width="17.140625" style="474" bestFit="1" customWidth="1"/>
    <col min="12049" max="12049" width="24.28515625" style="474" customWidth="1"/>
    <col min="12050" max="12050" width="18.28515625" style="474" bestFit="1" customWidth="1"/>
    <col min="12051" max="12051" width="18.5703125" style="474" bestFit="1" customWidth="1"/>
    <col min="12052" max="12052" width="19.28515625" style="474" bestFit="1" customWidth="1"/>
    <col min="12053" max="12053" width="20.42578125" style="474" bestFit="1" customWidth="1"/>
    <col min="12054" max="12054" width="20.85546875" style="474" bestFit="1" customWidth="1"/>
    <col min="12055" max="12055" width="21.42578125" style="474" bestFit="1" customWidth="1"/>
    <col min="12056" max="12057" width="22.28515625" style="474" bestFit="1" customWidth="1"/>
    <col min="12058" max="12059" width="23.85546875" style="474" bestFit="1" customWidth="1"/>
    <col min="12060" max="12061" width="24.85546875" style="474" bestFit="1" customWidth="1"/>
    <col min="12062" max="12066" width="11.28515625" style="474" bestFit="1" customWidth="1"/>
    <col min="12067" max="12071" width="12.28515625" style="474" bestFit="1" customWidth="1"/>
    <col min="12072" max="12072" width="12" style="474" bestFit="1" customWidth="1"/>
    <col min="12073" max="12288" width="8.85546875" style="474"/>
    <col min="12289" max="12289" width="7.28515625" style="474" customWidth="1"/>
    <col min="12290" max="12290" width="41" style="474" customWidth="1"/>
    <col min="12291" max="12291" width="16" style="474" customWidth="1"/>
    <col min="12292" max="12292" width="16.140625" style="474" bestFit="1" customWidth="1"/>
    <col min="12293" max="12293" width="11.85546875" style="474" customWidth="1"/>
    <col min="12294" max="12294" width="12.42578125" style="474" bestFit="1" customWidth="1"/>
    <col min="12295" max="12296" width="13" style="474" bestFit="1" customWidth="1"/>
    <col min="12297" max="12297" width="12.7109375" style="474" bestFit="1" customWidth="1"/>
    <col min="12298" max="12298" width="13.42578125" style="474" bestFit="1" customWidth="1"/>
    <col min="12299" max="12299" width="13.7109375" style="474" bestFit="1" customWidth="1"/>
    <col min="12300" max="12300" width="14.5703125" style="474" bestFit="1" customWidth="1"/>
    <col min="12301" max="12301" width="14.85546875" style="474" bestFit="1" customWidth="1"/>
    <col min="12302" max="12302" width="17.140625" style="474" customWidth="1"/>
    <col min="12303" max="12303" width="16.42578125" style="474" bestFit="1" customWidth="1"/>
    <col min="12304" max="12304" width="17.140625" style="474" bestFit="1" customWidth="1"/>
    <col min="12305" max="12305" width="24.28515625" style="474" customWidth="1"/>
    <col min="12306" max="12306" width="18.28515625" style="474" bestFit="1" customWidth="1"/>
    <col min="12307" max="12307" width="18.5703125" style="474" bestFit="1" customWidth="1"/>
    <col min="12308" max="12308" width="19.28515625" style="474" bestFit="1" customWidth="1"/>
    <col min="12309" max="12309" width="20.42578125" style="474" bestFit="1" customWidth="1"/>
    <col min="12310" max="12310" width="20.85546875" style="474" bestFit="1" customWidth="1"/>
    <col min="12311" max="12311" width="21.42578125" style="474" bestFit="1" customWidth="1"/>
    <col min="12312" max="12313" width="22.28515625" style="474" bestFit="1" customWidth="1"/>
    <col min="12314" max="12315" width="23.85546875" style="474" bestFit="1" customWidth="1"/>
    <col min="12316" max="12317" width="24.85546875" style="474" bestFit="1" customWidth="1"/>
    <col min="12318" max="12322" width="11.28515625" style="474" bestFit="1" customWidth="1"/>
    <col min="12323" max="12327" width="12.28515625" style="474" bestFit="1" customWidth="1"/>
    <col min="12328" max="12328" width="12" style="474" bestFit="1" customWidth="1"/>
    <col min="12329" max="12544" width="8.85546875" style="474"/>
    <col min="12545" max="12545" width="7.28515625" style="474" customWidth="1"/>
    <col min="12546" max="12546" width="41" style="474" customWidth="1"/>
    <col min="12547" max="12547" width="16" style="474" customWidth="1"/>
    <col min="12548" max="12548" width="16.140625" style="474" bestFit="1" customWidth="1"/>
    <col min="12549" max="12549" width="11.85546875" style="474" customWidth="1"/>
    <col min="12550" max="12550" width="12.42578125" style="474" bestFit="1" customWidth="1"/>
    <col min="12551" max="12552" width="13" style="474" bestFit="1" customWidth="1"/>
    <col min="12553" max="12553" width="12.7109375" style="474" bestFit="1" customWidth="1"/>
    <col min="12554" max="12554" width="13.42578125" style="474" bestFit="1" customWidth="1"/>
    <col min="12555" max="12555" width="13.7109375" style="474" bestFit="1" customWidth="1"/>
    <col min="12556" max="12556" width="14.5703125" style="474" bestFit="1" customWidth="1"/>
    <col min="12557" max="12557" width="14.85546875" style="474" bestFit="1" customWidth="1"/>
    <col min="12558" max="12558" width="17.140625" style="474" customWidth="1"/>
    <col min="12559" max="12559" width="16.42578125" style="474" bestFit="1" customWidth="1"/>
    <col min="12560" max="12560" width="17.140625" style="474" bestFit="1" customWidth="1"/>
    <col min="12561" max="12561" width="24.28515625" style="474" customWidth="1"/>
    <col min="12562" max="12562" width="18.28515625" style="474" bestFit="1" customWidth="1"/>
    <col min="12563" max="12563" width="18.5703125" style="474" bestFit="1" customWidth="1"/>
    <col min="12564" max="12564" width="19.28515625" style="474" bestFit="1" customWidth="1"/>
    <col min="12565" max="12565" width="20.42578125" style="474" bestFit="1" customWidth="1"/>
    <col min="12566" max="12566" width="20.85546875" style="474" bestFit="1" customWidth="1"/>
    <col min="12567" max="12567" width="21.42578125" style="474" bestFit="1" customWidth="1"/>
    <col min="12568" max="12569" width="22.28515625" style="474" bestFit="1" customWidth="1"/>
    <col min="12570" max="12571" width="23.85546875" style="474" bestFit="1" customWidth="1"/>
    <col min="12572" max="12573" width="24.85546875" style="474" bestFit="1" customWidth="1"/>
    <col min="12574" max="12578" width="11.28515625" style="474" bestFit="1" customWidth="1"/>
    <col min="12579" max="12583" width="12.28515625" style="474" bestFit="1" customWidth="1"/>
    <col min="12584" max="12584" width="12" style="474" bestFit="1" customWidth="1"/>
    <col min="12585" max="12800" width="8.85546875" style="474"/>
    <col min="12801" max="12801" width="7.28515625" style="474" customWidth="1"/>
    <col min="12802" max="12802" width="41" style="474" customWidth="1"/>
    <col min="12803" max="12803" width="16" style="474" customWidth="1"/>
    <col min="12804" max="12804" width="16.140625" style="474" bestFit="1" customWidth="1"/>
    <col min="12805" max="12805" width="11.85546875" style="474" customWidth="1"/>
    <col min="12806" max="12806" width="12.42578125" style="474" bestFit="1" customWidth="1"/>
    <col min="12807" max="12808" width="13" style="474" bestFit="1" customWidth="1"/>
    <col min="12809" max="12809" width="12.7109375" style="474" bestFit="1" customWidth="1"/>
    <col min="12810" max="12810" width="13.42578125" style="474" bestFit="1" customWidth="1"/>
    <col min="12811" max="12811" width="13.7109375" style="474" bestFit="1" customWidth="1"/>
    <col min="12812" max="12812" width="14.5703125" style="474" bestFit="1" customWidth="1"/>
    <col min="12813" max="12813" width="14.85546875" style="474" bestFit="1" customWidth="1"/>
    <col min="12814" max="12814" width="17.140625" style="474" customWidth="1"/>
    <col min="12815" max="12815" width="16.42578125" style="474" bestFit="1" customWidth="1"/>
    <col min="12816" max="12816" width="17.140625" style="474" bestFit="1" customWidth="1"/>
    <col min="12817" max="12817" width="24.28515625" style="474" customWidth="1"/>
    <col min="12818" max="12818" width="18.28515625" style="474" bestFit="1" customWidth="1"/>
    <col min="12819" max="12819" width="18.5703125" style="474" bestFit="1" customWidth="1"/>
    <col min="12820" max="12820" width="19.28515625" style="474" bestFit="1" customWidth="1"/>
    <col min="12821" max="12821" width="20.42578125" style="474" bestFit="1" customWidth="1"/>
    <col min="12822" max="12822" width="20.85546875" style="474" bestFit="1" customWidth="1"/>
    <col min="12823" max="12823" width="21.42578125" style="474" bestFit="1" customWidth="1"/>
    <col min="12824" max="12825" width="22.28515625" style="474" bestFit="1" customWidth="1"/>
    <col min="12826" max="12827" width="23.85546875" style="474" bestFit="1" customWidth="1"/>
    <col min="12828" max="12829" width="24.85546875" style="474" bestFit="1" customWidth="1"/>
    <col min="12830" max="12834" width="11.28515625" style="474" bestFit="1" customWidth="1"/>
    <col min="12835" max="12839" width="12.28515625" style="474" bestFit="1" customWidth="1"/>
    <col min="12840" max="12840" width="12" style="474" bestFit="1" customWidth="1"/>
    <col min="12841" max="13056" width="8.85546875" style="474"/>
    <col min="13057" max="13057" width="7.28515625" style="474" customWidth="1"/>
    <col min="13058" max="13058" width="41" style="474" customWidth="1"/>
    <col min="13059" max="13059" width="16" style="474" customWidth="1"/>
    <col min="13060" max="13060" width="16.140625" style="474" bestFit="1" customWidth="1"/>
    <col min="13061" max="13061" width="11.85546875" style="474" customWidth="1"/>
    <col min="13062" max="13062" width="12.42578125" style="474" bestFit="1" customWidth="1"/>
    <col min="13063" max="13064" width="13" style="474" bestFit="1" customWidth="1"/>
    <col min="13065" max="13065" width="12.7109375" style="474" bestFit="1" customWidth="1"/>
    <col min="13066" max="13066" width="13.42578125" style="474" bestFit="1" customWidth="1"/>
    <col min="13067" max="13067" width="13.7109375" style="474" bestFit="1" customWidth="1"/>
    <col min="13068" max="13068" width="14.5703125" style="474" bestFit="1" customWidth="1"/>
    <col min="13069" max="13069" width="14.85546875" style="474" bestFit="1" customWidth="1"/>
    <col min="13070" max="13070" width="17.140625" style="474" customWidth="1"/>
    <col min="13071" max="13071" width="16.42578125" style="474" bestFit="1" customWidth="1"/>
    <col min="13072" max="13072" width="17.140625" style="474" bestFit="1" customWidth="1"/>
    <col min="13073" max="13073" width="24.28515625" style="474" customWidth="1"/>
    <col min="13074" max="13074" width="18.28515625" style="474" bestFit="1" customWidth="1"/>
    <col min="13075" max="13075" width="18.5703125" style="474" bestFit="1" customWidth="1"/>
    <col min="13076" max="13076" width="19.28515625" style="474" bestFit="1" customWidth="1"/>
    <col min="13077" max="13077" width="20.42578125" style="474" bestFit="1" customWidth="1"/>
    <col min="13078" max="13078" width="20.85546875" style="474" bestFit="1" customWidth="1"/>
    <col min="13079" max="13079" width="21.42578125" style="474" bestFit="1" customWidth="1"/>
    <col min="13080" max="13081" width="22.28515625" style="474" bestFit="1" customWidth="1"/>
    <col min="13082" max="13083" width="23.85546875" style="474" bestFit="1" customWidth="1"/>
    <col min="13084" max="13085" width="24.85546875" style="474" bestFit="1" customWidth="1"/>
    <col min="13086" max="13090" width="11.28515625" style="474" bestFit="1" customWidth="1"/>
    <col min="13091" max="13095" width="12.28515625" style="474" bestFit="1" customWidth="1"/>
    <col min="13096" max="13096" width="12" style="474" bestFit="1" customWidth="1"/>
    <col min="13097" max="13312" width="8.85546875" style="474"/>
    <col min="13313" max="13313" width="7.28515625" style="474" customWidth="1"/>
    <col min="13314" max="13314" width="41" style="474" customWidth="1"/>
    <col min="13315" max="13315" width="16" style="474" customWidth="1"/>
    <col min="13316" max="13316" width="16.140625" style="474" bestFit="1" customWidth="1"/>
    <col min="13317" max="13317" width="11.85546875" style="474" customWidth="1"/>
    <col min="13318" max="13318" width="12.42578125" style="474" bestFit="1" customWidth="1"/>
    <col min="13319" max="13320" width="13" style="474" bestFit="1" customWidth="1"/>
    <col min="13321" max="13321" width="12.7109375" style="474" bestFit="1" customWidth="1"/>
    <col min="13322" max="13322" width="13.42578125" style="474" bestFit="1" customWidth="1"/>
    <col min="13323" max="13323" width="13.7109375" style="474" bestFit="1" customWidth="1"/>
    <col min="13324" max="13324" width="14.5703125" style="474" bestFit="1" customWidth="1"/>
    <col min="13325" max="13325" width="14.85546875" style="474" bestFit="1" customWidth="1"/>
    <col min="13326" max="13326" width="17.140625" style="474" customWidth="1"/>
    <col min="13327" max="13327" width="16.42578125" style="474" bestFit="1" customWidth="1"/>
    <col min="13328" max="13328" width="17.140625" style="474" bestFit="1" customWidth="1"/>
    <col min="13329" max="13329" width="24.28515625" style="474" customWidth="1"/>
    <col min="13330" max="13330" width="18.28515625" style="474" bestFit="1" customWidth="1"/>
    <col min="13331" max="13331" width="18.5703125" style="474" bestFit="1" customWidth="1"/>
    <col min="13332" max="13332" width="19.28515625" style="474" bestFit="1" customWidth="1"/>
    <col min="13333" max="13333" width="20.42578125" style="474" bestFit="1" customWidth="1"/>
    <col min="13334" max="13334" width="20.85546875" style="474" bestFit="1" customWidth="1"/>
    <col min="13335" max="13335" width="21.42578125" style="474" bestFit="1" customWidth="1"/>
    <col min="13336" max="13337" width="22.28515625" style="474" bestFit="1" customWidth="1"/>
    <col min="13338" max="13339" width="23.85546875" style="474" bestFit="1" customWidth="1"/>
    <col min="13340" max="13341" width="24.85546875" style="474" bestFit="1" customWidth="1"/>
    <col min="13342" max="13346" width="11.28515625" style="474" bestFit="1" customWidth="1"/>
    <col min="13347" max="13351" width="12.28515625" style="474" bestFit="1" customWidth="1"/>
    <col min="13352" max="13352" width="12" style="474" bestFit="1" customWidth="1"/>
    <col min="13353" max="13568" width="8.85546875" style="474"/>
    <col min="13569" max="13569" width="7.28515625" style="474" customWidth="1"/>
    <col min="13570" max="13570" width="41" style="474" customWidth="1"/>
    <col min="13571" max="13571" width="16" style="474" customWidth="1"/>
    <col min="13572" max="13572" width="16.140625" style="474" bestFit="1" customWidth="1"/>
    <col min="13573" max="13573" width="11.85546875" style="474" customWidth="1"/>
    <col min="13574" max="13574" width="12.42578125" style="474" bestFit="1" customWidth="1"/>
    <col min="13575" max="13576" width="13" style="474" bestFit="1" customWidth="1"/>
    <col min="13577" max="13577" width="12.7109375" style="474" bestFit="1" customWidth="1"/>
    <col min="13578" max="13578" width="13.42578125" style="474" bestFit="1" customWidth="1"/>
    <col min="13579" max="13579" width="13.7109375" style="474" bestFit="1" customWidth="1"/>
    <col min="13580" max="13580" width="14.5703125" style="474" bestFit="1" customWidth="1"/>
    <col min="13581" max="13581" width="14.85546875" style="474" bestFit="1" customWidth="1"/>
    <col min="13582" max="13582" width="17.140625" style="474" customWidth="1"/>
    <col min="13583" max="13583" width="16.42578125" style="474" bestFit="1" customWidth="1"/>
    <col min="13584" max="13584" width="17.140625" style="474" bestFit="1" customWidth="1"/>
    <col min="13585" max="13585" width="24.28515625" style="474" customWidth="1"/>
    <col min="13586" max="13586" width="18.28515625" style="474" bestFit="1" customWidth="1"/>
    <col min="13587" max="13587" width="18.5703125" style="474" bestFit="1" customWidth="1"/>
    <col min="13588" max="13588" width="19.28515625" style="474" bestFit="1" customWidth="1"/>
    <col min="13589" max="13589" width="20.42578125" style="474" bestFit="1" customWidth="1"/>
    <col min="13590" max="13590" width="20.85546875" style="474" bestFit="1" customWidth="1"/>
    <col min="13591" max="13591" width="21.42578125" style="474" bestFit="1" customWidth="1"/>
    <col min="13592" max="13593" width="22.28515625" style="474" bestFit="1" customWidth="1"/>
    <col min="13594" max="13595" width="23.85546875" style="474" bestFit="1" customWidth="1"/>
    <col min="13596" max="13597" width="24.85546875" style="474" bestFit="1" customWidth="1"/>
    <col min="13598" max="13602" width="11.28515625" style="474" bestFit="1" customWidth="1"/>
    <col min="13603" max="13607" width="12.28515625" style="474" bestFit="1" customWidth="1"/>
    <col min="13608" max="13608" width="12" style="474" bestFit="1" customWidth="1"/>
    <col min="13609" max="13824" width="8.85546875" style="474"/>
    <col min="13825" max="13825" width="7.28515625" style="474" customWidth="1"/>
    <col min="13826" max="13826" width="41" style="474" customWidth="1"/>
    <col min="13827" max="13827" width="16" style="474" customWidth="1"/>
    <col min="13828" max="13828" width="16.140625" style="474" bestFit="1" customWidth="1"/>
    <col min="13829" max="13829" width="11.85546875" style="474" customWidth="1"/>
    <col min="13830" max="13830" width="12.42578125" style="474" bestFit="1" customWidth="1"/>
    <col min="13831" max="13832" width="13" style="474" bestFit="1" customWidth="1"/>
    <col min="13833" max="13833" width="12.7109375" style="474" bestFit="1" customWidth="1"/>
    <col min="13834" max="13834" width="13.42578125" style="474" bestFit="1" customWidth="1"/>
    <col min="13835" max="13835" width="13.7109375" style="474" bestFit="1" customWidth="1"/>
    <col min="13836" max="13836" width="14.5703125" style="474" bestFit="1" customWidth="1"/>
    <col min="13837" max="13837" width="14.85546875" style="474" bestFit="1" customWidth="1"/>
    <col min="13838" max="13838" width="17.140625" style="474" customWidth="1"/>
    <col min="13839" max="13839" width="16.42578125" style="474" bestFit="1" customWidth="1"/>
    <col min="13840" max="13840" width="17.140625" style="474" bestFit="1" customWidth="1"/>
    <col min="13841" max="13841" width="24.28515625" style="474" customWidth="1"/>
    <col min="13842" max="13842" width="18.28515625" style="474" bestFit="1" customWidth="1"/>
    <col min="13843" max="13843" width="18.5703125" style="474" bestFit="1" customWidth="1"/>
    <col min="13844" max="13844" width="19.28515625" style="474" bestFit="1" customWidth="1"/>
    <col min="13845" max="13845" width="20.42578125" style="474" bestFit="1" customWidth="1"/>
    <col min="13846" max="13846" width="20.85546875" style="474" bestFit="1" customWidth="1"/>
    <col min="13847" max="13847" width="21.42578125" style="474" bestFit="1" customWidth="1"/>
    <col min="13848" max="13849" width="22.28515625" style="474" bestFit="1" customWidth="1"/>
    <col min="13850" max="13851" width="23.85546875" style="474" bestFit="1" customWidth="1"/>
    <col min="13852" max="13853" width="24.85546875" style="474" bestFit="1" customWidth="1"/>
    <col min="13854" max="13858" width="11.28515625" style="474" bestFit="1" customWidth="1"/>
    <col min="13859" max="13863" width="12.28515625" style="474" bestFit="1" customWidth="1"/>
    <col min="13864" max="13864" width="12" style="474" bestFit="1" customWidth="1"/>
    <col min="13865" max="14080" width="8.85546875" style="474"/>
    <col min="14081" max="14081" width="7.28515625" style="474" customWidth="1"/>
    <col min="14082" max="14082" width="41" style="474" customWidth="1"/>
    <col min="14083" max="14083" width="16" style="474" customWidth="1"/>
    <col min="14084" max="14084" width="16.140625" style="474" bestFit="1" customWidth="1"/>
    <col min="14085" max="14085" width="11.85546875" style="474" customWidth="1"/>
    <col min="14086" max="14086" width="12.42578125" style="474" bestFit="1" customWidth="1"/>
    <col min="14087" max="14088" width="13" style="474" bestFit="1" customWidth="1"/>
    <col min="14089" max="14089" width="12.7109375" style="474" bestFit="1" customWidth="1"/>
    <col min="14090" max="14090" width="13.42578125" style="474" bestFit="1" customWidth="1"/>
    <col min="14091" max="14091" width="13.7109375" style="474" bestFit="1" customWidth="1"/>
    <col min="14092" max="14092" width="14.5703125" style="474" bestFit="1" customWidth="1"/>
    <col min="14093" max="14093" width="14.85546875" style="474" bestFit="1" customWidth="1"/>
    <col min="14094" max="14094" width="17.140625" style="474" customWidth="1"/>
    <col min="14095" max="14095" width="16.42578125" style="474" bestFit="1" customWidth="1"/>
    <col min="14096" max="14096" width="17.140625" style="474" bestFit="1" customWidth="1"/>
    <col min="14097" max="14097" width="24.28515625" style="474" customWidth="1"/>
    <col min="14098" max="14098" width="18.28515625" style="474" bestFit="1" customWidth="1"/>
    <col min="14099" max="14099" width="18.5703125" style="474" bestFit="1" customWidth="1"/>
    <col min="14100" max="14100" width="19.28515625" style="474" bestFit="1" customWidth="1"/>
    <col min="14101" max="14101" width="20.42578125" style="474" bestFit="1" customWidth="1"/>
    <col min="14102" max="14102" width="20.85546875" style="474" bestFit="1" customWidth="1"/>
    <col min="14103" max="14103" width="21.42578125" style="474" bestFit="1" customWidth="1"/>
    <col min="14104" max="14105" width="22.28515625" style="474" bestFit="1" customWidth="1"/>
    <col min="14106" max="14107" width="23.85546875" style="474" bestFit="1" customWidth="1"/>
    <col min="14108" max="14109" width="24.85546875" style="474" bestFit="1" customWidth="1"/>
    <col min="14110" max="14114" width="11.28515625" style="474" bestFit="1" customWidth="1"/>
    <col min="14115" max="14119" width="12.28515625" style="474" bestFit="1" customWidth="1"/>
    <col min="14120" max="14120" width="12" style="474" bestFit="1" customWidth="1"/>
    <col min="14121" max="14336" width="8.85546875" style="474"/>
    <col min="14337" max="14337" width="7.28515625" style="474" customWidth="1"/>
    <col min="14338" max="14338" width="41" style="474" customWidth="1"/>
    <col min="14339" max="14339" width="16" style="474" customWidth="1"/>
    <col min="14340" max="14340" width="16.140625" style="474" bestFit="1" customWidth="1"/>
    <col min="14341" max="14341" width="11.85546875" style="474" customWidth="1"/>
    <col min="14342" max="14342" width="12.42578125" style="474" bestFit="1" customWidth="1"/>
    <col min="14343" max="14344" width="13" style="474" bestFit="1" customWidth="1"/>
    <col min="14345" max="14345" width="12.7109375" style="474" bestFit="1" customWidth="1"/>
    <col min="14346" max="14346" width="13.42578125" style="474" bestFit="1" customWidth="1"/>
    <col min="14347" max="14347" width="13.7109375" style="474" bestFit="1" customWidth="1"/>
    <col min="14348" max="14348" width="14.5703125" style="474" bestFit="1" customWidth="1"/>
    <col min="14349" max="14349" width="14.85546875" style="474" bestFit="1" customWidth="1"/>
    <col min="14350" max="14350" width="17.140625" style="474" customWidth="1"/>
    <col min="14351" max="14351" width="16.42578125" style="474" bestFit="1" customWidth="1"/>
    <col min="14352" max="14352" width="17.140625" style="474" bestFit="1" customWidth="1"/>
    <col min="14353" max="14353" width="24.28515625" style="474" customWidth="1"/>
    <col min="14354" max="14354" width="18.28515625" style="474" bestFit="1" customWidth="1"/>
    <col min="14355" max="14355" width="18.5703125" style="474" bestFit="1" customWidth="1"/>
    <col min="14356" max="14356" width="19.28515625" style="474" bestFit="1" customWidth="1"/>
    <col min="14357" max="14357" width="20.42578125" style="474" bestFit="1" customWidth="1"/>
    <col min="14358" max="14358" width="20.85546875" style="474" bestFit="1" customWidth="1"/>
    <col min="14359" max="14359" width="21.42578125" style="474" bestFit="1" customWidth="1"/>
    <col min="14360" max="14361" width="22.28515625" style="474" bestFit="1" customWidth="1"/>
    <col min="14362" max="14363" width="23.85546875" style="474" bestFit="1" customWidth="1"/>
    <col min="14364" max="14365" width="24.85546875" style="474" bestFit="1" customWidth="1"/>
    <col min="14366" max="14370" width="11.28515625" style="474" bestFit="1" customWidth="1"/>
    <col min="14371" max="14375" width="12.28515625" style="474" bestFit="1" customWidth="1"/>
    <col min="14376" max="14376" width="12" style="474" bestFit="1" customWidth="1"/>
    <col min="14377" max="14592" width="8.85546875" style="474"/>
    <col min="14593" max="14593" width="7.28515625" style="474" customWidth="1"/>
    <col min="14594" max="14594" width="41" style="474" customWidth="1"/>
    <col min="14595" max="14595" width="16" style="474" customWidth="1"/>
    <col min="14596" max="14596" width="16.140625" style="474" bestFit="1" customWidth="1"/>
    <col min="14597" max="14597" width="11.85546875" style="474" customWidth="1"/>
    <col min="14598" max="14598" width="12.42578125" style="474" bestFit="1" customWidth="1"/>
    <col min="14599" max="14600" width="13" style="474" bestFit="1" customWidth="1"/>
    <col min="14601" max="14601" width="12.7109375" style="474" bestFit="1" customWidth="1"/>
    <col min="14602" max="14602" width="13.42578125" style="474" bestFit="1" customWidth="1"/>
    <col min="14603" max="14603" width="13.7109375" style="474" bestFit="1" customWidth="1"/>
    <col min="14604" max="14604" width="14.5703125" style="474" bestFit="1" customWidth="1"/>
    <col min="14605" max="14605" width="14.85546875" style="474" bestFit="1" customWidth="1"/>
    <col min="14606" max="14606" width="17.140625" style="474" customWidth="1"/>
    <col min="14607" max="14607" width="16.42578125" style="474" bestFit="1" customWidth="1"/>
    <col min="14608" max="14608" width="17.140625" style="474" bestFit="1" customWidth="1"/>
    <col min="14609" max="14609" width="24.28515625" style="474" customWidth="1"/>
    <col min="14610" max="14610" width="18.28515625" style="474" bestFit="1" customWidth="1"/>
    <col min="14611" max="14611" width="18.5703125" style="474" bestFit="1" customWidth="1"/>
    <col min="14612" max="14612" width="19.28515625" style="474" bestFit="1" customWidth="1"/>
    <col min="14613" max="14613" width="20.42578125" style="474" bestFit="1" customWidth="1"/>
    <col min="14614" max="14614" width="20.85546875" style="474" bestFit="1" customWidth="1"/>
    <col min="14615" max="14615" width="21.42578125" style="474" bestFit="1" customWidth="1"/>
    <col min="14616" max="14617" width="22.28515625" style="474" bestFit="1" customWidth="1"/>
    <col min="14618" max="14619" width="23.85546875" style="474" bestFit="1" customWidth="1"/>
    <col min="14620" max="14621" width="24.85546875" style="474" bestFit="1" customWidth="1"/>
    <col min="14622" max="14626" width="11.28515625" style="474" bestFit="1" customWidth="1"/>
    <col min="14627" max="14631" width="12.28515625" style="474" bestFit="1" customWidth="1"/>
    <col min="14632" max="14632" width="12" style="474" bestFit="1" customWidth="1"/>
    <col min="14633" max="14848" width="8.85546875" style="474"/>
    <col min="14849" max="14849" width="7.28515625" style="474" customWidth="1"/>
    <col min="14850" max="14850" width="41" style="474" customWidth="1"/>
    <col min="14851" max="14851" width="16" style="474" customWidth="1"/>
    <col min="14852" max="14852" width="16.140625" style="474" bestFit="1" customWidth="1"/>
    <col min="14853" max="14853" width="11.85546875" style="474" customWidth="1"/>
    <col min="14854" max="14854" width="12.42578125" style="474" bestFit="1" customWidth="1"/>
    <col min="14855" max="14856" width="13" style="474" bestFit="1" customWidth="1"/>
    <col min="14857" max="14857" width="12.7109375" style="474" bestFit="1" customWidth="1"/>
    <col min="14858" max="14858" width="13.42578125" style="474" bestFit="1" customWidth="1"/>
    <col min="14859" max="14859" width="13.7109375" style="474" bestFit="1" customWidth="1"/>
    <col min="14860" max="14860" width="14.5703125" style="474" bestFit="1" customWidth="1"/>
    <col min="14861" max="14861" width="14.85546875" style="474" bestFit="1" customWidth="1"/>
    <col min="14862" max="14862" width="17.140625" style="474" customWidth="1"/>
    <col min="14863" max="14863" width="16.42578125" style="474" bestFit="1" customWidth="1"/>
    <col min="14864" max="14864" width="17.140625" style="474" bestFit="1" customWidth="1"/>
    <col min="14865" max="14865" width="24.28515625" style="474" customWidth="1"/>
    <col min="14866" max="14866" width="18.28515625" style="474" bestFit="1" customWidth="1"/>
    <col min="14867" max="14867" width="18.5703125" style="474" bestFit="1" customWidth="1"/>
    <col min="14868" max="14868" width="19.28515625" style="474" bestFit="1" customWidth="1"/>
    <col min="14869" max="14869" width="20.42578125" style="474" bestFit="1" customWidth="1"/>
    <col min="14870" max="14870" width="20.85546875" style="474" bestFit="1" customWidth="1"/>
    <col min="14871" max="14871" width="21.42578125" style="474" bestFit="1" customWidth="1"/>
    <col min="14872" max="14873" width="22.28515625" style="474" bestFit="1" customWidth="1"/>
    <col min="14874" max="14875" width="23.85546875" style="474" bestFit="1" customWidth="1"/>
    <col min="14876" max="14877" width="24.85546875" style="474" bestFit="1" customWidth="1"/>
    <col min="14878" max="14882" width="11.28515625" style="474" bestFit="1" customWidth="1"/>
    <col min="14883" max="14887" width="12.28515625" style="474" bestFit="1" customWidth="1"/>
    <col min="14888" max="14888" width="12" style="474" bestFit="1" customWidth="1"/>
    <col min="14889" max="15104" width="8.85546875" style="474"/>
    <col min="15105" max="15105" width="7.28515625" style="474" customWidth="1"/>
    <col min="15106" max="15106" width="41" style="474" customWidth="1"/>
    <col min="15107" max="15107" width="16" style="474" customWidth="1"/>
    <col min="15108" max="15108" width="16.140625" style="474" bestFit="1" customWidth="1"/>
    <col min="15109" max="15109" width="11.85546875" style="474" customWidth="1"/>
    <col min="15110" max="15110" width="12.42578125" style="474" bestFit="1" customWidth="1"/>
    <col min="15111" max="15112" width="13" style="474" bestFit="1" customWidth="1"/>
    <col min="15113" max="15113" width="12.7109375" style="474" bestFit="1" customWidth="1"/>
    <col min="15114" max="15114" width="13.42578125" style="474" bestFit="1" customWidth="1"/>
    <col min="15115" max="15115" width="13.7109375" style="474" bestFit="1" customWidth="1"/>
    <col min="15116" max="15116" width="14.5703125" style="474" bestFit="1" customWidth="1"/>
    <col min="15117" max="15117" width="14.85546875" style="474" bestFit="1" customWidth="1"/>
    <col min="15118" max="15118" width="17.140625" style="474" customWidth="1"/>
    <col min="15119" max="15119" width="16.42578125" style="474" bestFit="1" customWidth="1"/>
    <col min="15120" max="15120" width="17.140625" style="474" bestFit="1" customWidth="1"/>
    <col min="15121" max="15121" width="24.28515625" style="474" customWidth="1"/>
    <col min="15122" max="15122" width="18.28515625" style="474" bestFit="1" customWidth="1"/>
    <col min="15123" max="15123" width="18.5703125" style="474" bestFit="1" customWidth="1"/>
    <col min="15124" max="15124" width="19.28515625" style="474" bestFit="1" customWidth="1"/>
    <col min="15125" max="15125" width="20.42578125" style="474" bestFit="1" customWidth="1"/>
    <col min="15126" max="15126" width="20.85546875" style="474" bestFit="1" customWidth="1"/>
    <col min="15127" max="15127" width="21.42578125" style="474" bestFit="1" customWidth="1"/>
    <col min="15128" max="15129" width="22.28515625" style="474" bestFit="1" customWidth="1"/>
    <col min="15130" max="15131" width="23.85546875" style="474" bestFit="1" customWidth="1"/>
    <col min="15132" max="15133" width="24.85546875" style="474" bestFit="1" customWidth="1"/>
    <col min="15134" max="15138" width="11.28515625" style="474" bestFit="1" customWidth="1"/>
    <col min="15139" max="15143" width="12.28515625" style="474" bestFit="1" customWidth="1"/>
    <col min="15144" max="15144" width="12" style="474" bestFit="1" customWidth="1"/>
    <col min="15145" max="15360" width="8.85546875" style="474"/>
    <col min="15361" max="15361" width="7.28515625" style="474" customWidth="1"/>
    <col min="15362" max="15362" width="41" style="474" customWidth="1"/>
    <col min="15363" max="15363" width="16" style="474" customWidth="1"/>
    <col min="15364" max="15364" width="16.140625" style="474" bestFit="1" customWidth="1"/>
    <col min="15365" max="15365" width="11.85546875" style="474" customWidth="1"/>
    <col min="15366" max="15366" width="12.42578125" style="474" bestFit="1" customWidth="1"/>
    <col min="15367" max="15368" width="13" style="474" bestFit="1" customWidth="1"/>
    <col min="15369" max="15369" width="12.7109375" style="474" bestFit="1" customWidth="1"/>
    <col min="15370" max="15370" width="13.42578125" style="474" bestFit="1" customWidth="1"/>
    <col min="15371" max="15371" width="13.7109375" style="474" bestFit="1" customWidth="1"/>
    <col min="15372" max="15372" width="14.5703125" style="474" bestFit="1" customWidth="1"/>
    <col min="15373" max="15373" width="14.85546875" style="474" bestFit="1" customWidth="1"/>
    <col min="15374" max="15374" width="17.140625" style="474" customWidth="1"/>
    <col min="15375" max="15375" width="16.42578125" style="474" bestFit="1" customWidth="1"/>
    <col min="15376" max="15376" width="17.140625" style="474" bestFit="1" customWidth="1"/>
    <col min="15377" max="15377" width="24.28515625" style="474" customWidth="1"/>
    <col min="15378" max="15378" width="18.28515625" style="474" bestFit="1" customWidth="1"/>
    <col min="15379" max="15379" width="18.5703125" style="474" bestFit="1" customWidth="1"/>
    <col min="15380" max="15380" width="19.28515625" style="474" bestFit="1" customWidth="1"/>
    <col min="15381" max="15381" width="20.42578125" style="474" bestFit="1" customWidth="1"/>
    <col min="15382" max="15382" width="20.85546875" style="474" bestFit="1" customWidth="1"/>
    <col min="15383" max="15383" width="21.42578125" style="474" bestFit="1" customWidth="1"/>
    <col min="15384" max="15385" width="22.28515625" style="474" bestFit="1" customWidth="1"/>
    <col min="15386" max="15387" width="23.85546875" style="474" bestFit="1" customWidth="1"/>
    <col min="15388" max="15389" width="24.85546875" style="474" bestFit="1" customWidth="1"/>
    <col min="15390" max="15394" width="11.28515625" style="474" bestFit="1" customWidth="1"/>
    <col min="15395" max="15399" width="12.28515625" style="474" bestFit="1" customWidth="1"/>
    <col min="15400" max="15400" width="12" style="474" bestFit="1" customWidth="1"/>
    <col min="15401" max="15616" width="8.85546875" style="474"/>
    <col min="15617" max="15617" width="7.28515625" style="474" customWidth="1"/>
    <col min="15618" max="15618" width="41" style="474" customWidth="1"/>
    <col min="15619" max="15619" width="16" style="474" customWidth="1"/>
    <col min="15620" max="15620" width="16.140625" style="474" bestFit="1" customWidth="1"/>
    <col min="15621" max="15621" width="11.85546875" style="474" customWidth="1"/>
    <col min="15622" max="15622" width="12.42578125" style="474" bestFit="1" customWidth="1"/>
    <col min="15623" max="15624" width="13" style="474" bestFit="1" customWidth="1"/>
    <col min="15625" max="15625" width="12.7109375" style="474" bestFit="1" customWidth="1"/>
    <col min="15626" max="15626" width="13.42578125" style="474" bestFit="1" customWidth="1"/>
    <col min="15627" max="15627" width="13.7109375" style="474" bestFit="1" customWidth="1"/>
    <col min="15628" max="15628" width="14.5703125" style="474" bestFit="1" customWidth="1"/>
    <col min="15629" max="15629" width="14.85546875" style="474" bestFit="1" customWidth="1"/>
    <col min="15630" max="15630" width="17.140625" style="474" customWidth="1"/>
    <col min="15631" max="15631" width="16.42578125" style="474" bestFit="1" customWidth="1"/>
    <col min="15632" max="15632" width="17.140625" style="474" bestFit="1" customWidth="1"/>
    <col min="15633" max="15633" width="24.28515625" style="474" customWidth="1"/>
    <col min="15634" max="15634" width="18.28515625" style="474" bestFit="1" customWidth="1"/>
    <col min="15635" max="15635" width="18.5703125" style="474" bestFit="1" customWidth="1"/>
    <col min="15636" max="15636" width="19.28515625" style="474" bestFit="1" customWidth="1"/>
    <col min="15637" max="15637" width="20.42578125" style="474" bestFit="1" customWidth="1"/>
    <col min="15638" max="15638" width="20.85546875" style="474" bestFit="1" customWidth="1"/>
    <col min="15639" max="15639" width="21.42578125" style="474" bestFit="1" customWidth="1"/>
    <col min="15640" max="15641" width="22.28515625" style="474" bestFit="1" customWidth="1"/>
    <col min="15642" max="15643" width="23.85546875" style="474" bestFit="1" customWidth="1"/>
    <col min="15644" max="15645" width="24.85546875" style="474" bestFit="1" customWidth="1"/>
    <col min="15646" max="15650" width="11.28515625" style="474" bestFit="1" customWidth="1"/>
    <col min="15651" max="15655" width="12.28515625" style="474" bestFit="1" customWidth="1"/>
    <col min="15656" max="15656" width="12" style="474" bestFit="1" customWidth="1"/>
    <col min="15657" max="15872" width="8.85546875" style="474"/>
    <col min="15873" max="15873" width="7.28515625" style="474" customWidth="1"/>
    <col min="15874" max="15874" width="41" style="474" customWidth="1"/>
    <col min="15875" max="15875" width="16" style="474" customWidth="1"/>
    <col min="15876" max="15876" width="16.140625" style="474" bestFit="1" customWidth="1"/>
    <col min="15877" max="15877" width="11.85546875" style="474" customWidth="1"/>
    <col min="15878" max="15878" width="12.42578125" style="474" bestFit="1" customWidth="1"/>
    <col min="15879" max="15880" width="13" style="474" bestFit="1" customWidth="1"/>
    <col min="15881" max="15881" width="12.7109375" style="474" bestFit="1" customWidth="1"/>
    <col min="15882" max="15882" width="13.42578125" style="474" bestFit="1" customWidth="1"/>
    <col min="15883" max="15883" width="13.7109375" style="474" bestFit="1" customWidth="1"/>
    <col min="15884" max="15884" width="14.5703125" style="474" bestFit="1" customWidth="1"/>
    <col min="15885" max="15885" width="14.85546875" style="474" bestFit="1" customWidth="1"/>
    <col min="15886" max="15886" width="17.140625" style="474" customWidth="1"/>
    <col min="15887" max="15887" width="16.42578125" style="474" bestFit="1" customWidth="1"/>
    <col min="15888" max="15888" width="17.140625" style="474" bestFit="1" customWidth="1"/>
    <col min="15889" max="15889" width="24.28515625" style="474" customWidth="1"/>
    <col min="15890" max="15890" width="18.28515625" style="474" bestFit="1" customWidth="1"/>
    <col min="15891" max="15891" width="18.5703125" style="474" bestFit="1" customWidth="1"/>
    <col min="15892" max="15892" width="19.28515625" style="474" bestFit="1" customWidth="1"/>
    <col min="15893" max="15893" width="20.42578125" style="474" bestFit="1" customWidth="1"/>
    <col min="15894" max="15894" width="20.85546875" style="474" bestFit="1" customWidth="1"/>
    <col min="15895" max="15895" width="21.42578125" style="474" bestFit="1" customWidth="1"/>
    <col min="15896" max="15897" width="22.28515625" style="474" bestFit="1" customWidth="1"/>
    <col min="15898" max="15899" width="23.85546875" style="474" bestFit="1" customWidth="1"/>
    <col min="15900" max="15901" width="24.85546875" style="474" bestFit="1" customWidth="1"/>
    <col min="15902" max="15906" width="11.28515625" style="474" bestFit="1" customWidth="1"/>
    <col min="15907" max="15911" width="12.28515625" style="474" bestFit="1" customWidth="1"/>
    <col min="15912" max="15912" width="12" style="474" bestFit="1" customWidth="1"/>
    <col min="15913" max="16128" width="8.85546875" style="474"/>
    <col min="16129" max="16129" width="7.28515625" style="474" customWidth="1"/>
    <col min="16130" max="16130" width="41" style="474" customWidth="1"/>
    <col min="16131" max="16131" width="16" style="474" customWidth="1"/>
    <col min="16132" max="16132" width="16.140625" style="474" bestFit="1" customWidth="1"/>
    <col min="16133" max="16133" width="11.85546875" style="474" customWidth="1"/>
    <col min="16134" max="16134" width="12.42578125" style="474" bestFit="1" customWidth="1"/>
    <col min="16135" max="16136" width="13" style="474" bestFit="1" customWidth="1"/>
    <col min="16137" max="16137" width="12.7109375" style="474" bestFit="1" customWidth="1"/>
    <col min="16138" max="16138" width="13.42578125" style="474" bestFit="1" customWidth="1"/>
    <col min="16139" max="16139" width="13.7109375" style="474" bestFit="1" customWidth="1"/>
    <col min="16140" max="16140" width="14.5703125" style="474" bestFit="1" customWidth="1"/>
    <col min="16141" max="16141" width="14.85546875" style="474" bestFit="1" customWidth="1"/>
    <col min="16142" max="16142" width="17.140625" style="474" customWidth="1"/>
    <col min="16143" max="16143" width="16.42578125" style="474" bestFit="1" customWidth="1"/>
    <col min="16144" max="16144" width="17.140625" style="474" bestFit="1" customWidth="1"/>
    <col min="16145" max="16145" width="24.28515625" style="474" customWidth="1"/>
    <col min="16146" max="16146" width="18.28515625" style="474" bestFit="1" customWidth="1"/>
    <col min="16147" max="16147" width="18.5703125" style="474" bestFit="1" customWidth="1"/>
    <col min="16148" max="16148" width="19.28515625" style="474" bestFit="1" customWidth="1"/>
    <col min="16149" max="16149" width="20.42578125" style="474" bestFit="1" customWidth="1"/>
    <col min="16150" max="16150" width="20.85546875" style="474" bestFit="1" customWidth="1"/>
    <col min="16151" max="16151" width="21.42578125" style="474" bestFit="1" customWidth="1"/>
    <col min="16152" max="16153" width="22.28515625" style="474" bestFit="1" customWidth="1"/>
    <col min="16154" max="16155" width="23.85546875" style="474" bestFit="1" customWidth="1"/>
    <col min="16156" max="16157" width="24.85546875" style="474" bestFit="1" customWidth="1"/>
    <col min="16158" max="16162" width="11.28515625" style="474" bestFit="1" customWidth="1"/>
    <col min="16163" max="16167" width="12.28515625" style="474" bestFit="1" customWidth="1"/>
    <col min="16168" max="16168" width="12" style="474" bestFit="1" customWidth="1"/>
    <col min="16169" max="16384" width="8.85546875" style="474"/>
  </cols>
  <sheetData>
    <row r="1" spans="2:14" ht="12.95">
      <c r="B1" s="505" t="s">
        <v>293</v>
      </c>
      <c r="C1" s="506"/>
      <c r="D1" s="507"/>
      <c r="E1" s="474" t="s">
        <v>294</v>
      </c>
    </row>
    <row r="2" spans="2:14">
      <c r="B2" s="508"/>
      <c r="C2" s="509"/>
      <c r="D2" s="510"/>
    </row>
    <row r="3" spans="2:14">
      <c r="B3" s="508" t="s">
        <v>96</v>
      </c>
      <c r="C3" s="509"/>
      <c r="D3" s="511">
        <f>SenegalDigesterAnaly!B69</f>
        <v>2175.1250415711365</v>
      </c>
    </row>
    <row r="4" spans="2:14">
      <c r="B4" s="508" t="s">
        <v>295</v>
      </c>
      <c r="C4" s="509"/>
      <c r="D4" s="708">
        <v>2570</v>
      </c>
      <c r="E4" s="474" t="s">
        <v>296</v>
      </c>
    </row>
    <row r="5" spans="2:14">
      <c r="B5" s="508" t="s">
        <v>297</v>
      </c>
      <c r="C5" s="509"/>
      <c r="D5" s="512">
        <f>D3*CapitalCostperKW</f>
        <v>5590071.3568378212</v>
      </c>
      <c r="F5" s="709" t="s">
        <v>298</v>
      </c>
      <c r="G5" s="710" t="s">
        <v>299</v>
      </c>
    </row>
    <row r="6" spans="2:14">
      <c r="B6" s="508"/>
      <c r="C6" s="509"/>
      <c r="D6" s="510"/>
      <c r="F6" s="709"/>
      <c r="G6" s="711"/>
    </row>
    <row r="7" spans="2:14">
      <c r="B7" s="508" t="s">
        <v>300</v>
      </c>
      <c r="C7" s="509" t="s">
        <v>301</v>
      </c>
      <c r="D7" s="513">
        <v>0</v>
      </c>
      <c r="F7" s="709" t="s">
        <v>10</v>
      </c>
      <c r="G7" s="711">
        <v>677</v>
      </c>
    </row>
    <row r="8" spans="2:14">
      <c r="B8" s="508" t="s">
        <v>302</v>
      </c>
      <c r="C8" s="509" t="s">
        <v>301</v>
      </c>
      <c r="D8" s="514">
        <v>0</v>
      </c>
      <c r="F8" s="709" t="s">
        <v>8</v>
      </c>
      <c r="G8" s="711">
        <v>674</v>
      </c>
    </row>
    <row r="9" spans="2:14">
      <c r="B9" s="508" t="s">
        <v>303</v>
      </c>
      <c r="C9" s="509" t="s">
        <v>304</v>
      </c>
      <c r="D9" s="514">
        <v>0</v>
      </c>
      <c r="F9" s="709" t="s">
        <v>6</v>
      </c>
      <c r="G9" s="711">
        <v>527</v>
      </c>
    </row>
    <row r="10" spans="2:14">
      <c r="B10" s="508" t="s">
        <v>305</v>
      </c>
      <c r="C10" s="509" t="s">
        <v>304</v>
      </c>
      <c r="D10" s="515">
        <f>0.9/100</f>
        <v>9.0000000000000011E-3</v>
      </c>
      <c r="F10" s="709"/>
      <c r="G10" s="711">
        <f>SUM(G6:G9)</f>
        <v>1878</v>
      </c>
    </row>
    <row r="11" spans="2:14">
      <c r="B11" s="508"/>
      <c r="C11" s="509"/>
      <c r="D11" s="510"/>
      <c r="F11" s="709"/>
      <c r="G11" s="709"/>
    </row>
    <row r="12" spans="2:14">
      <c r="B12" s="508" t="s">
        <v>306</v>
      </c>
      <c r="C12" s="516" t="s">
        <v>307</v>
      </c>
      <c r="D12" s="517">
        <v>0.3</v>
      </c>
      <c r="E12" s="474" t="s">
        <v>308</v>
      </c>
      <c r="F12" s="709"/>
      <c r="G12" s="709">
        <f>G10/4</f>
        <v>469.5</v>
      </c>
      <c r="H12" s="474">
        <f>(G7+G8+G9)/3</f>
        <v>626</v>
      </c>
      <c r="I12" s="474" t="s">
        <v>309</v>
      </c>
    </row>
    <row r="13" spans="2:14">
      <c r="B13" s="508" t="s">
        <v>310</v>
      </c>
      <c r="C13" s="516" t="s">
        <v>307</v>
      </c>
      <c r="D13" s="518">
        <v>0.44</v>
      </c>
      <c r="E13" s="474" t="s">
        <v>308</v>
      </c>
      <c r="F13" t="s">
        <v>311</v>
      </c>
    </row>
    <row r="14" spans="2:14" ht="17.25" customHeight="1">
      <c r="B14" s="508" t="s">
        <v>312</v>
      </c>
      <c r="C14" s="516" t="s">
        <v>313</v>
      </c>
      <c r="D14" s="519">
        <f>12*365</f>
        <v>4380</v>
      </c>
      <c r="F14" s="474" t="s">
        <v>314</v>
      </c>
      <c r="N14" s="477"/>
    </row>
    <row r="15" spans="2:14">
      <c r="B15" s="508"/>
      <c r="C15" s="509"/>
      <c r="D15" s="510"/>
      <c r="F15" s="474" t="s">
        <v>315</v>
      </c>
      <c r="N15" s="477"/>
    </row>
    <row r="16" spans="2:14">
      <c r="B16" s="508" t="s">
        <v>316</v>
      </c>
      <c r="C16" s="509" t="s">
        <v>304</v>
      </c>
      <c r="D16" s="520">
        <v>0.08</v>
      </c>
      <c r="E16" s="474" t="s">
        <v>317</v>
      </c>
    </row>
    <row r="17" spans="2:27" s="478" customFormat="1" ht="12.95">
      <c r="B17" s="508" t="s">
        <v>318</v>
      </c>
      <c r="C17" s="509" t="s">
        <v>304</v>
      </c>
      <c r="D17" s="521">
        <v>0.23</v>
      </c>
      <c r="E17" s="478" t="s">
        <v>319</v>
      </c>
      <c r="O17" s="479"/>
      <c r="R17" s="480"/>
    </row>
    <row r="18" spans="2:27">
      <c r="B18" s="508"/>
      <c r="C18" s="509"/>
      <c r="D18" s="510"/>
      <c r="U18" s="481"/>
      <c r="V18" s="481"/>
      <c r="Z18" s="482"/>
    </row>
    <row r="19" spans="2:27">
      <c r="B19" s="508"/>
      <c r="C19" s="509"/>
      <c r="D19" s="510"/>
      <c r="Q19" s="483"/>
      <c r="U19" s="481"/>
      <c r="V19" s="481"/>
      <c r="Z19" s="482"/>
    </row>
    <row r="20" spans="2:27">
      <c r="B20" s="508"/>
      <c r="C20" s="509"/>
      <c r="D20" s="510"/>
      <c r="U20" s="481"/>
      <c r="V20" s="481"/>
      <c r="Z20" s="482"/>
    </row>
    <row r="21" spans="2:27">
      <c r="B21" s="508" t="s">
        <v>320</v>
      </c>
      <c r="C21" s="516" t="s">
        <v>321</v>
      </c>
      <c r="D21" s="522">
        <f>G8/1000</f>
        <v>0.67400000000000004</v>
      </c>
      <c r="E21" s="707" t="s">
        <v>322</v>
      </c>
      <c r="U21" s="481"/>
      <c r="V21" s="481"/>
      <c r="Z21" s="482"/>
    </row>
    <row r="22" spans="2:27">
      <c r="B22" s="508" t="s">
        <v>323</v>
      </c>
      <c r="C22" s="516" t="s">
        <v>321</v>
      </c>
      <c r="D22" s="523">
        <f>H12/1000</f>
        <v>0.626</v>
      </c>
      <c r="E22" s="707"/>
      <c r="U22" s="481"/>
      <c r="V22" s="481"/>
      <c r="Z22" s="482"/>
    </row>
    <row r="23" spans="2:27">
      <c r="B23" s="508" t="s">
        <v>327</v>
      </c>
      <c r="C23" s="516" t="s">
        <v>321</v>
      </c>
      <c r="D23" s="523">
        <v>0.64</v>
      </c>
      <c r="E23" s="474" t="s">
        <v>328</v>
      </c>
      <c r="P23" s="481"/>
      <c r="V23" s="481"/>
      <c r="Z23" s="482"/>
    </row>
    <row r="24" spans="2:27">
      <c r="B24" s="508" t="s">
        <v>329</v>
      </c>
      <c r="C24" s="516" t="s">
        <v>307</v>
      </c>
      <c r="D24" s="524">
        <v>0</v>
      </c>
      <c r="U24" s="481"/>
      <c r="V24" s="481"/>
      <c r="Z24" s="482"/>
    </row>
    <row r="25" spans="2:27">
      <c r="B25" s="508"/>
      <c r="C25" s="509"/>
      <c r="D25" s="510"/>
      <c r="U25" s="481"/>
      <c r="V25" s="481"/>
      <c r="Z25" s="482"/>
    </row>
    <row r="26" spans="2:27">
      <c r="B26" s="508"/>
      <c r="C26" s="509"/>
      <c r="D26" s="510"/>
      <c r="U26" s="481"/>
      <c r="V26" s="481"/>
      <c r="Z26" s="482"/>
    </row>
    <row r="27" spans="2:27">
      <c r="B27" s="525" t="s">
        <v>330</v>
      </c>
      <c r="C27" s="526" t="s">
        <v>331</v>
      </c>
      <c r="D27" s="527">
        <f>D5</f>
        <v>5590071.3568378212</v>
      </c>
      <c r="U27" s="481"/>
      <c r="V27" s="481"/>
      <c r="Z27" s="482"/>
    </row>
    <row r="28" spans="2:27">
      <c r="U28" s="481"/>
      <c r="V28" s="481"/>
      <c r="Z28" s="482"/>
    </row>
    <row r="29" spans="2:27">
      <c r="B29" s="528" t="s">
        <v>332</v>
      </c>
      <c r="C29" s="529">
        <v>1</v>
      </c>
      <c r="D29" s="530" t="s">
        <v>333</v>
      </c>
      <c r="M29" s="481"/>
      <c r="U29" s="481"/>
      <c r="V29" s="481"/>
      <c r="Z29" s="482"/>
    </row>
    <row r="30" spans="2:27">
      <c r="B30" s="531" t="s">
        <v>334</v>
      </c>
      <c r="C30" s="532">
        <v>1000</v>
      </c>
      <c r="D30" s="533" t="s">
        <v>335</v>
      </c>
      <c r="O30" s="481"/>
      <c r="P30" s="481"/>
      <c r="V30" s="481"/>
      <c r="W30" s="481"/>
      <c r="AA30" s="482"/>
    </row>
    <row r="31" spans="2:27">
      <c r="B31" s="531" t="s">
        <v>336</v>
      </c>
      <c r="C31" s="534">
        <v>3.5999999999999999E-3</v>
      </c>
      <c r="D31" s="533" t="s">
        <v>337</v>
      </c>
      <c r="O31" s="481"/>
      <c r="P31" s="481"/>
      <c r="V31" s="481"/>
      <c r="W31" s="481"/>
      <c r="AA31" s="482"/>
    </row>
    <row r="33" spans="2:5" ht="12.95">
      <c r="B33" s="880" t="s">
        <v>338</v>
      </c>
      <c r="C33" s="881"/>
      <c r="D33" s="882"/>
    </row>
    <row r="34" spans="2:5">
      <c r="B34" s="535" t="s">
        <v>339</v>
      </c>
      <c r="C34" s="536" t="s">
        <v>307</v>
      </c>
      <c r="D34" s="517">
        <v>1</v>
      </c>
    </row>
    <row r="35" spans="2:5">
      <c r="B35" s="531" t="s">
        <v>340</v>
      </c>
      <c r="C35" s="533" t="s">
        <v>307</v>
      </c>
      <c r="D35" s="524">
        <v>0</v>
      </c>
    </row>
    <row r="36" spans="2:5">
      <c r="B36" s="537" t="s">
        <v>341</v>
      </c>
      <c r="C36" s="538" t="s">
        <v>342</v>
      </c>
      <c r="D36" s="539">
        <v>25</v>
      </c>
    </row>
    <row r="37" spans="2:5">
      <c r="B37" s="531" t="s">
        <v>343</v>
      </c>
      <c r="C37" s="533" t="s">
        <v>342</v>
      </c>
      <c r="D37" s="540">
        <v>25</v>
      </c>
    </row>
    <row r="38" spans="2:5">
      <c r="B38" s="537" t="s">
        <v>344</v>
      </c>
      <c r="C38" s="538" t="s">
        <v>307</v>
      </c>
      <c r="D38" s="518">
        <v>0.14699999999999999</v>
      </c>
      <c r="E38" s="474" t="s">
        <v>308</v>
      </c>
    </row>
    <row r="39" spans="2:5">
      <c r="B39" s="537" t="s">
        <v>345</v>
      </c>
      <c r="C39" s="538" t="s">
        <v>307</v>
      </c>
      <c r="D39" s="518">
        <f>0.0075</f>
        <v>7.4999999999999997E-3</v>
      </c>
    </row>
    <row r="40" spans="2:5">
      <c r="B40" s="537" t="s">
        <v>346</v>
      </c>
      <c r="C40" s="538" t="s">
        <v>307</v>
      </c>
      <c r="D40" s="518">
        <v>0.12</v>
      </c>
      <c r="E40" s="474" t="s">
        <v>347</v>
      </c>
    </row>
    <row r="41" spans="2:5">
      <c r="B41" s="531" t="s">
        <v>348</v>
      </c>
      <c r="C41" s="533" t="s">
        <v>307</v>
      </c>
      <c r="D41" s="524">
        <v>0.2</v>
      </c>
      <c r="E41" s="474" t="s">
        <v>349</v>
      </c>
    </row>
    <row r="43" spans="2:5" ht="13.5" thickBot="1">
      <c r="B43" s="883" t="s">
        <v>350</v>
      </c>
      <c r="C43" s="883"/>
      <c r="D43" s="883"/>
    </row>
    <row r="44" spans="2:5" ht="12.95" thickTop="1">
      <c r="B44" s="509" t="s">
        <v>351</v>
      </c>
      <c r="C44" s="541">
        <f>D101</f>
        <v>5590071.3568378212</v>
      </c>
      <c r="D44" s="516" t="s">
        <v>331</v>
      </c>
    </row>
    <row r="45" spans="2:5">
      <c r="B45" s="509" t="s">
        <v>352</v>
      </c>
      <c r="C45" s="541">
        <f>SUM(D83:AB84)</f>
        <v>2143585.7284683557</v>
      </c>
      <c r="D45" s="516" t="s">
        <v>331</v>
      </c>
    </row>
    <row r="46" spans="2:5" ht="13.5" thickBot="1">
      <c r="B46" s="542" t="s">
        <v>97</v>
      </c>
      <c r="C46" s="543">
        <f>C45+C44</f>
        <v>7733657.0853061769</v>
      </c>
      <c r="D46" s="544" t="s">
        <v>331</v>
      </c>
    </row>
    <row r="47" spans="2:5">
      <c r="B47" s="509" t="s">
        <v>353</v>
      </c>
      <c r="C47" s="541">
        <f>D125</f>
        <v>-11757723.052860459</v>
      </c>
      <c r="D47" s="516" t="s">
        <v>331</v>
      </c>
    </row>
    <row r="48" spans="2:5">
      <c r="B48" s="509" t="s">
        <v>354</v>
      </c>
      <c r="C48" s="541">
        <f>D131</f>
        <v>-4924473.7845818754</v>
      </c>
      <c r="D48" s="516" t="s">
        <v>331</v>
      </c>
    </row>
    <row r="49" spans="2:4" ht="13.5" thickBot="1">
      <c r="B49" s="542" t="s">
        <v>355</v>
      </c>
      <c r="C49" s="543">
        <f>C46-C47-C48</f>
        <v>24415853.922748514</v>
      </c>
      <c r="D49" s="544" t="s">
        <v>331</v>
      </c>
    </row>
    <row r="51" spans="2:4" ht="13.5" thickBot="1">
      <c r="B51" s="883" t="s">
        <v>356</v>
      </c>
      <c r="C51" s="883"/>
      <c r="D51" s="883"/>
    </row>
    <row r="52" spans="2:4" ht="12.95" thickTop="1">
      <c r="B52" s="509" t="s">
        <v>351</v>
      </c>
      <c r="C52" s="541">
        <f>C44/D79</f>
        <v>2.3470319634703196E-2</v>
      </c>
      <c r="D52" s="516" t="s">
        <v>331</v>
      </c>
    </row>
    <row r="53" spans="2:4">
      <c r="B53" s="509" t="s">
        <v>352</v>
      </c>
      <c r="C53" s="541">
        <f>C45/D79</f>
        <v>9.0000000000000011E-3</v>
      </c>
      <c r="D53" s="516" t="s">
        <v>331</v>
      </c>
    </row>
    <row r="54" spans="2:4" ht="13.5" thickBot="1">
      <c r="B54" s="542" t="s">
        <v>97</v>
      </c>
      <c r="C54" s="543">
        <f>C53+C52</f>
        <v>3.2470319634703197E-2</v>
      </c>
      <c r="D54" s="544" t="s">
        <v>331</v>
      </c>
    </row>
    <row r="55" spans="2:4">
      <c r="B55" s="509" t="s">
        <v>353</v>
      </c>
      <c r="C55" s="541">
        <f>C47/D79</f>
        <v>-4.9365652173545105E-2</v>
      </c>
      <c r="D55" s="516" t="s">
        <v>331</v>
      </c>
    </row>
    <row r="56" spans="2:4">
      <c r="B56" s="509" t="s">
        <v>354</v>
      </c>
      <c r="C56" s="541">
        <f>C48/D79</f>
        <v>-2.0675759999999998E-2</v>
      </c>
      <c r="D56" s="516" t="s">
        <v>331</v>
      </c>
    </row>
    <row r="57" spans="2:4" ht="13.5" thickBot="1">
      <c r="B57" s="542" t="s">
        <v>355</v>
      </c>
      <c r="C57" s="543">
        <f>C54-C55-C56</f>
        <v>0.10251173180824831</v>
      </c>
      <c r="D57" s="544" t="s">
        <v>331</v>
      </c>
    </row>
    <row r="59" spans="2:4" ht="12.95">
      <c r="B59" s="880" t="s">
        <v>357</v>
      </c>
      <c r="C59" s="881"/>
      <c r="D59" s="882"/>
    </row>
    <row r="60" spans="2:4" ht="12.95">
      <c r="B60" s="528" t="s">
        <v>358</v>
      </c>
      <c r="C60" s="545" t="s">
        <v>359</v>
      </c>
      <c r="D60" s="521">
        <f>SUM(D111:AM111)/SUM(D110:AM110)</f>
        <v>0.12746697324379339</v>
      </c>
    </row>
    <row r="61" spans="2:4" ht="12.95">
      <c r="B61" s="528" t="s">
        <v>360</v>
      </c>
      <c r="C61" s="545" t="s">
        <v>359</v>
      </c>
      <c r="D61" s="521">
        <f>SUM(D112:AM112)/SUM(D110:AM110)</f>
        <v>0.14730883091416591</v>
      </c>
    </row>
    <row r="62" spans="2:4" ht="12.95">
      <c r="B62" s="528" t="s">
        <v>358</v>
      </c>
      <c r="C62" s="545" t="s">
        <v>361</v>
      </c>
      <c r="D62" s="546">
        <f>D60/$C$31</f>
        <v>35.407492567720389</v>
      </c>
    </row>
    <row r="63" spans="2:4" ht="12.95">
      <c r="B63" s="528" t="s">
        <v>362</v>
      </c>
      <c r="C63" s="545" t="s">
        <v>361</v>
      </c>
      <c r="D63" s="546">
        <f>D61/C31</f>
        <v>40.919119698379419</v>
      </c>
    </row>
    <row r="65" spans="1:39" ht="13.5" thickBot="1">
      <c r="B65" s="547" t="s">
        <v>363</v>
      </c>
      <c r="C65" s="548" t="s">
        <v>364</v>
      </c>
      <c r="D65" s="547"/>
    </row>
    <row r="66" spans="1:39" ht="12.95" thickTop="1">
      <c r="B66" s="549" t="s">
        <v>365</v>
      </c>
      <c r="C66" s="516" t="s">
        <v>331</v>
      </c>
      <c r="D66" s="550">
        <f>(D16-D60)*SUM(D78:AB78)</f>
        <v>-11305502.935442751</v>
      </c>
    </row>
    <row r="67" spans="1:39">
      <c r="B67" s="549" t="s">
        <v>366</v>
      </c>
      <c r="C67" s="516" t="s">
        <v>331</v>
      </c>
      <c r="D67" s="550">
        <f>(D17-D60)*SUM(D78:AB78)</f>
        <v>24420925.872363172</v>
      </c>
    </row>
    <row r="68" spans="1:39">
      <c r="B68" s="549" t="s">
        <v>367</v>
      </c>
      <c r="C68" s="516" t="s">
        <v>368</v>
      </c>
      <c r="D68" s="551">
        <f>D21*SUM(D78:AB78)</f>
        <v>160530753.44307461</v>
      </c>
      <c r="E68" s="484"/>
    </row>
    <row r="69" spans="1:39">
      <c r="B69" s="549" t="s">
        <v>369</v>
      </c>
      <c r="C69" s="516" t="s">
        <v>368</v>
      </c>
      <c r="D69" s="551">
        <f>D23*SUM(D78:AB78)</f>
        <v>152432762.91330525</v>
      </c>
      <c r="E69" s="484"/>
    </row>
    <row r="71" spans="1:39">
      <c r="B71" s="509" t="s">
        <v>370</v>
      </c>
      <c r="C71" s="516" t="s">
        <v>371</v>
      </c>
      <c r="D71" s="551">
        <f>SUM(D78:AB78)</f>
        <v>238176192.05203947</v>
      </c>
    </row>
    <row r="72" spans="1:39">
      <c r="B72" s="509" t="s">
        <v>372</v>
      </c>
      <c r="C72" s="552" t="s">
        <v>373</v>
      </c>
      <c r="D72" s="553">
        <f>D120</f>
        <v>-152432.76291330525</v>
      </c>
    </row>
    <row r="75" spans="1:39" ht="12.95">
      <c r="B75" s="554" t="s">
        <v>67</v>
      </c>
      <c r="C75" s="555"/>
      <c r="D75" s="556" t="s">
        <v>374</v>
      </c>
      <c r="E75" s="556" t="s">
        <v>375</v>
      </c>
      <c r="F75" s="556" t="s">
        <v>376</v>
      </c>
      <c r="G75" s="556" t="s">
        <v>377</v>
      </c>
      <c r="H75" s="556" t="s">
        <v>378</v>
      </c>
      <c r="I75" s="556" t="s">
        <v>379</v>
      </c>
      <c r="J75" s="556" t="s">
        <v>380</v>
      </c>
      <c r="K75" s="556" t="s">
        <v>381</v>
      </c>
      <c r="L75" s="556" t="s">
        <v>382</v>
      </c>
      <c r="M75" s="556" t="s">
        <v>383</v>
      </c>
      <c r="N75" s="556" t="s">
        <v>384</v>
      </c>
      <c r="O75" s="556" t="s">
        <v>385</v>
      </c>
      <c r="P75" s="556" t="s">
        <v>386</v>
      </c>
      <c r="Q75" s="556" t="s">
        <v>387</v>
      </c>
      <c r="R75" s="556" t="s">
        <v>388</v>
      </c>
      <c r="S75" s="556" t="s">
        <v>389</v>
      </c>
      <c r="T75" s="556" t="s">
        <v>390</v>
      </c>
      <c r="U75" s="556" t="s">
        <v>391</v>
      </c>
      <c r="V75" s="556" t="s">
        <v>392</v>
      </c>
      <c r="W75" s="556" t="s">
        <v>393</v>
      </c>
      <c r="X75" s="556" t="s">
        <v>394</v>
      </c>
      <c r="Y75" s="556" t="s">
        <v>395</v>
      </c>
      <c r="Z75" s="556" t="s">
        <v>396</v>
      </c>
      <c r="AA75" s="556" t="s">
        <v>397</v>
      </c>
      <c r="AB75" s="556" t="s">
        <v>398</v>
      </c>
      <c r="AC75" s="556" t="s">
        <v>399</v>
      </c>
      <c r="AD75" s="556" t="s">
        <v>400</v>
      </c>
      <c r="AE75" s="556" t="s">
        <v>401</v>
      </c>
      <c r="AF75" s="556" t="s">
        <v>402</v>
      </c>
      <c r="AG75" s="556" t="s">
        <v>403</v>
      </c>
      <c r="AH75" s="556" t="s">
        <v>404</v>
      </c>
      <c r="AI75" s="556" t="s">
        <v>405</v>
      </c>
      <c r="AJ75" s="556" t="s">
        <v>406</v>
      </c>
      <c r="AK75" s="556" t="s">
        <v>407</v>
      </c>
      <c r="AL75" s="556" t="s">
        <v>408</v>
      </c>
      <c r="AM75" s="556" t="s">
        <v>409</v>
      </c>
    </row>
    <row r="76" spans="1:39">
      <c r="B76" s="557" t="s">
        <v>410</v>
      </c>
      <c r="C76" s="558"/>
      <c r="D76" s="559">
        <v>0</v>
      </c>
      <c r="E76" s="559">
        <v>1</v>
      </c>
      <c r="F76" s="559">
        <v>2</v>
      </c>
      <c r="G76" s="559">
        <v>3</v>
      </c>
      <c r="H76" s="559">
        <v>4</v>
      </c>
      <c r="I76" s="559">
        <v>5</v>
      </c>
      <c r="J76" s="559">
        <v>6</v>
      </c>
      <c r="K76" s="559">
        <v>7</v>
      </c>
      <c r="L76" s="559">
        <v>8</v>
      </c>
      <c r="M76" s="559">
        <v>9</v>
      </c>
      <c r="N76" s="559">
        <v>10</v>
      </c>
      <c r="O76" s="559">
        <v>11</v>
      </c>
      <c r="P76" s="559">
        <v>12</v>
      </c>
      <c r="Q76" s="559">
        <v>13</v>
      </c>
      <c r="R76" s="559">
        <v>14</v>
      </c>
      <c r="S76" s="559">
        <v>15</v>
      </c>
      <c r="T76" s="559">
        <v>16</v>
      </c>
      <c r="U76" s="559">
        <v>17</v>
      </c>
      <c r="V76" s="559">
        <v>18</v>
      </c>
      <c r="W76" s="559">
        <v>19</v>
      </c>
      <c r="X76" s="559">
        <v>20</v>
      </c>
      <c r="Y76" s="559">
        <v>21</v>
      </c>
      <c r="Z76" s="559">
        <v>22</v>
      </c>
      <c r="AA76" s="559">
        <v>23</v>
      </c>
      <c r="AB76" s="559">
        <v>24</v>
      </c>
      <c r="AC76" s="559">
        <v>25</v>
      </c>
      <c r="AD76" s="559">
        <v>26</v>
      </c>
      <c r="AE76" s="559">
        <v>27</v>
      </c>
      <c r="AF76" s="559">
        <v>28</v>
      </c>
      <c r="AG76" s="559">
        <v>29</v>
      </c>
      <c r="AH76" s="559">
        <v>30</v>
      </c>
      <c r="AI76" s="559">
        <v>31</v>
      </c>
      <c r="AJ76" s="559">
        <v>32</v>
      </c>
      <c r="AK76" s="559">
        <v>33</v>
      </c>
      <c r="AL76" s="559">
        <v>34</v>
      </c>
      <c r="AM76" s="560">
        <v>35</v>
      </c>
    </row>
    <row r="77" spans="1:39" ht="18" customHeight="1">
      <c r="B77" s="478"/>
      <c r="C77" s="485"/>
      <c r="D77" s="485"/>
    </row>
    <row r="78" spans="1:39">
      <c r="B78" s="561" t="s">
        <v>411</v>
      </c>
      <c r="C78" s="545" t="s">
        <v>412</v>
      </c>
      <c r="D78" s="562">
        <f>SenegalDigesterAnaly!B68</f>
        <v>9527047.6820815783</v>
      </c>
      <c r="E78" s="532">
        <f>'SenBiogas Electricity Fin Sen'!$D$78</f>
        <v>9527047.6820815783</v>
      </c>
      <c r="F78" s="532">
        <f>'SenBiogas Electricity Fin Sen'!$D$78</f>
        <v>9527047.6820815783</v>
      </c>
      <c r="G78" s="532">
        <f>'SenBiogas Electricity Fin Sen'!$D$78</f>
        <v>9527047.6820815783</v>
      </c>
      <c r="H78" s="532">
        <f>'SenBiogas Electricity Fin Sen'!$D$78</f>
        <v>9527047.6820815783</v>
      </c>
      <c r="I78" s="532">
        <f>'SenBiogas Electricity Fin Sen'!$D$78</f>
        <v>9527047.6820815783</v>
      </c>
      <c r="J78" s="532">
        <f>'SenBiogas Electricity Fin Sen'!$D$78</f>
        <v>9527047.6820815783</v>
      </c>
      <c r="K78" s="532">
        <f>'SenBiogas Electricity Fin Sen'!$D$78</f>
        <v>9527047.6820815783</v>
      </c>
      <c r="L78" s="532">
        <f>'SenBiogas Electricity Fin Sen'!$D$78</f>
        <v>9527047.6820815783</v>
      </c>
      <c r="M78" s="532">
        <f>'SenBiogas Electricity Fin Sen'!$D$78</f>
        <v>9527047.6820815783</v>
      </c>
      <c r="N78" s="532">
        <f>'SenBiogas Electricity Fin Sen'!$D$78</f>
        <v>9527047.6820815783</v>
      </c>
      <c r="O78" s="532">
        <f>'SenBiogas Electricity Fin Sen'!$D$78</f>
        <v>9527047.6820815783</v>
      </c>
      <c r="P78" s="532">
        <f>'SenBiogas Electricity Fin Sen'!$D$78</f>
        <v>9527047.6820815783</v>
      </c>
      <c r="Q78" s="532">
        <f>'SenBiogas Electricity Fin Sen'!$D$78</f>
        <v>9527047.6820815783</v>
      </c>
      <c r="R78" s="719">
        <f>'SenBiogas Electricity Fin Sen'!$D$78</f>
        <v>9527047.6820815783</v>
      </c>
      <c r="S78" s="532">
        <f>'SenBiogas Electricity Fin Sen'!$D$78</f>
        <v>9527047.6820815783</v>
      </c>
      <c r="T78" s="532">
        <f>'SenBiogas Electricity Fin Sen'!$D$78</f>
        <v>9527047.6820815783</v>
      </c>
      <c r="U78" s="532">
        <f>'SenBiogas Electricity Fin Sen'!$D$78</f>
        <v>9527047.6820815783</v>
      </c>
      <c r="V78" s="532">
        <f>'SenBiogas Electricity Fin Sen'!$D$78</f>
        <v>9527047.6820815783</v>
      </c>
      <c r="W78" s="532">
        <f>'SenBiogas Electricity Fin Sen'!$D$78</f>
        <v>9527047.6820815783</v>
      </c>
      <c r="X78" s="532">
        <f>'SenBiogas Electricity Fin Sen'!$D$78</f>
        <v>9527047.6820815783</v>
      </c>
      <c r="Y78" s="532">
        <f>'SenBiogas Electricity Fin Sen'!$D$78</f>
        <v>9527047.6820815783</v>
      </c>
      <c r="Z78" s="532">
        <f>'SenBiogas Electricity Fin Sen'!$D$78</f>
        <v>9527047.6820815783</v>
      </c>
      <c r="AA78" s="532">
        <f>'SenBiogas Electricity Fin Sen'!$D$78</f>
        <v>9527047.6820815783</v>
      </c>
      <c r="AB78" s="532">
        <f>'SenBiogas Electricity Fin Sen'!$D$78</f>
        <v>9527047.6820815783</v>
      </c>
      <c r="AC78" s="532">
        <f>AB78</f>
        <v>9527047.6820815783</v>
      </c>
      <c r="AD78" s="532">
        <f>IF(AD76&lt;=$D$37,AC78*(1-'SenBiogas Electricity Fin Sen'!$D$24),0)</f>
        <v>0</v>
      </c>
      <c r="AE78" s="532">
        <f>IF(AE76&lt;=$D$37,AD78*(1-'SenBiogas Electricity Fin Sen'!$D$24),0)</f>
        <v>0</v>
      </c>
      <c r="AF78" s="532">
        <f>IF(AF76&lt;=$D$37,AE78*(1-'SenBiogas Electricity Fin Sen'!$D$24),0)</f>
        <v>0</v>
      </c>
      <c r="AG78" s="532">
        <f>IF(AG76&lt;=$D$37,AF78*(1-'SenBiogas Electricity Fin Sen'!$D$24),0)</f>
        <v>0</v>
      </c>
      <c r="AH78" s="532">
        <f>IF(AH76&lt;=$D$37,AG78*(1-'SenBiogas Electricity Fin Sen'!$D$24),0)</f>
        <v>0</v>
      </c>
      <c r="AI78" s="532">
        <f>IF(AI76&lt;=$D$37,AH78*(1-'SenBiogas Electricity Fin Sen'!$D$24),0)</f>
        <v>0</v>
      </c>
      <c r="AJ78" s="532">
        <f>IF(AJ76&lt;=$D$37,AI78*(1-'SenBiogas Electricity Fin Sen'!$D$24),0)</f>
        <v>0</v>
      </c>
      <c r="AK78" s="532">
        <f>IF(AK76&lt;=$D$37,AJ78*(1-'SenBiogas Electricity Fin Sen'!$D$24),0)</f>
        <v>0</v>
      </c>
      <c r="AL78" s="532">
        <f>IF(AL76&lt;=$D$37,AK78*(1-'SenBiogas Electricity Fin Sen'!$D$24),0)</f>
        <v>0</v>
      </c>
      <c r="AM78" s="563">
        <f>IF(AM76&lt;=$D$37,AL78*(1-'SenBiogas Electricity Fin Sen'!$D$24),0)</f>
        <v>0</v>
      </c>
    </row>
    <row r="79" spans="1:39" s="487" customFormat="1">
      <c r="A79" s="474"/>
      <c r="B79" s="564" t="s">
        <v>413</v>
      </c>
      <c r="C79" s="545" t="s">
        <v>371</v>
      </c>
      <c r="D79" s="563">
        <f>SUM(D78:AB78)</f>
        <v>238176192.05203947</v>
      </c>
      <c r="E79" s="486"/>
      <c r="F79" s="486"/>
      <c r="G79" s="486"/>
      <c r="H79" s="486"/>
      <c r="I79" s="486"/>
      <c r="J79" s="486"/>
      <c r="K79" s="486"/>
      <c r="L79" s="486"/>
      <c r="M79" s="486"/>
      <c r="N79" s="486"/>
      <c r="O79" s="486"/>
      <c r="P79" s="486"/>
      <c r="Q79" s="486"/>
      <c r="R79" s="720"/>
      <c r="S79" s="486"/>
      <c r="T79" s="486"/>
      <c r="U79" s="486"/>
      <c r="V79" s="486"/>
      <c r="W79" s="486"/>
      <c r="X79" s="486"/>
      <c r="Y79" s="486"/>
      <c r="Z79" s="486"/>
      <c r="AA79" s="486"/>
      <c r="AB79" s="486"/>
      <c r="AC79" s="486"/>
      <c r="AD79" s="486"/>
      <c r="AE79" s="486"/>
      <c r="AF79" s="486"/>
      <c r="AG79" s="486"/>
      <c r="AH79" s="486"/>
      <c r="AI79" s="486"/>
      <c r="AJ79" s="486"/>
      <c r="AK79" s="486"/>
      <c r="AL79" s="486"/>
      <c r="AM79" s="486"/>
    </row>
    <row r="80" spans="1:39">
      <c r="B80" s="478"/>
      <c r="C80" s="485"/>
      <c r="D80" s="488"/>
      <c r="E80" s="488"/>
      <c r="F80" s="488"/>
      <c r="G80" s="488"/>
      <c r="H80" s="488"/>
      <c r="I80" s="488"/>
      <c r="J80" s="488"/>
      <c r="K80" s="488"/>
      <c r="L80" s="488"/>
      <c r="M80" s="488"/>
      <c r="N80" s="488"/>
      <c r="O80" s="488"/>
      <c r="P80" s="488"/>
      <c r="Q80" s="488"/>
      <c r="R80" s="488"/>
      <c r="S80" s="488"/>
      <c r="T80" s="488"/>
      <c r="U80" s="488"/>
      <c r="V80" s="488"/>
      <c r="W80" s="488"/>
      <c r="X80" s="488"/>
      <c r="Y80" s="488"/>
      <c r="Z80" s="488"/>
      <c r="AA80" s="488"/>
      <c r="AB80" s="488"/>
      <c r="AC80" s="488"/>
      <c r="AD80" s="488"/>
      <c r="AE80" s="488"/>
      <c r="AF80" s="488"/>
      <c r="AG80" s="488"/>
      <c r="AH80" s="488"/>
      <c r="AI80" s="488"/>
      <c r="AJ80" s="488"/>
      <c r="AK80" s="488"/>
      <c r="AL80" s="488"/>
      <c r="AM80" s="488"/>
    </row>
    <row r="81" spans="2:39" ht="12.95">
      <c r="B81" s="565" t="s">
        <v>414</v>
      </c>
      <c r="C81" s="566" t="s">
        <v>364</v>
      </c>
      <c r="D81" s="485"/>
      <c r="E81" s="489"/>
      <c r="F81" s="489"/>
      <c r="G81" s="489"/>
      <c r="H81" s="489"/>
      <c r="I81" s="489"/>
      <c r="J81" s="489"/>
      <c r="K81" s="489"/>
      <c r="L81" s="489"/>
      <c r="M81" s="489"/>
      <c r="N81" s="489"/>
      <c r="O81" s="489"/>
      <c r="P81" s="489"/>
      <c r="Q81" s="489"/>
      <c r="R81" s="489"/>
      <c r="S81" s="489"/>
      <c r="T81" s="489"/>
      <c r="U81" s="489"/>
      <c r="V81" s="489"/>
      <c r="W81" s="489"/>
      <c r="X81" s="489"/>
      <c r="Y81" s="489"/>
      <c r="Z81" s="489"/>
      <c r="AA81" s="489"/>
      <c r="AB81" s="489"/>
      <c r="AC81" s="489"/>
      <c r="AD81" s="489"/>
      <c r="AE81" s="489"/>
      <c r="AF81" s="489"/>
      <c r="AG81" s="489"/>
      <c r="AH81" s="489"/>
      <c r="AI81" s="489"/>
      <c r="AJ81" s="489"/>
      <c r="AK81" s="489"/>
      <c r="AL81" s="489"/>
      <c r="AM81" s="489"/>
    </row>
    <row r="82" spans="2:39" ht="12.95">
      <c r="B82" s="505" t="s">
        <v>415</v>
      </c>
      <c r="C82" s="567">
        <f>0.9/100</f>
        <v>9.0000000000000011E-3</v>
      </c>
      <c r="D82" s="485"/>
      <c r="E82" s="489"/>
      <c r="F82" s="489"/>
      <c r="G82" s="489"/>
      <c r="H82" s="489"/>
      <c r="I82" s="489"/>
      <c r="J82" s="489"/>
      <c r="K82" s="489"/>
      <c r="L82" s="489"/>
      <c r="M82" s="489"/>
      <c r="N82" s="489"/>
      <c r="O82" s="489"/>
      <c r="P82" s="489"/>
      <c r="Q82" s="489"/>
      <c r="R82" s="489"/>
      <c r="S82" s="489"/>
      <c r="T82" s="489"/>
      <c r="U82" s="489"/>
      <c r="V82" s="489"/>
      <c r="W82" s="489"/>
      <c r="X82" s="489"/>
      <c r="Y82" s="489"/>
      <c r="Z82" s="489"/>
      <c r="AA82" s="489"/>
      <c r="AB82" s="489"/>
      <c r="AC82" s="489"/>
      <c r="AD82" s="489"/>
      <c r="AE82" s="489"/>
      <c r="AF82" s="489"/>
      <c r="AG82" s="489"/>
      <c r="AH82" s="489"/>
      <c r="AI82" s="489"/>
      <c r="AJ82" s="489"/>
      <c r="AK82" s="489"/>
      <c r="AL82" s="489"/>
      <c r="AM82" s="489"/>
    </row>
    <row r="83" spans="2:39">
      <c r="B83" s="568" t="s">
        <v>416</v>
      </c>
      <c r="C83" s="569" t="s">
        <v>417</v>
      </c>
      <c r="D83" s="570">
        <f>D78*C82</f>
        <v>85743.429138734209</v>
      </c>
      <c r="E83" s="571">
        <f>'SenBiogas Electricity Fin Sen'!$D$83</f>
        <v>85743.429138734209</v>
      </c>
      <c r="F83" s="571">
        <f>'SenBiogas Electricity Fin Sen'!$D$83</f>
        <v>85743.429138734209</v>
      </c>
      <c r="G83" s="571">
        <f>'SenBiogas Electricity Fin Sen'!$D$83</f>
        <v>85743.429138734209</v>
      </c>
      <c r="H83" s="571">
        <f>'SenBiogas Electricity Fin Sen'!$D$83</f>
        <v>85743.429138734209</v>
      </c>
      <c r="I83" s="571">
        <f>'SenBiogas Electricity Fin Sen'!$D$83</f>
        <v>85743.429138734209</v>
      </c>
      <c r="J83" s="571">
        <f>'SenBiogas Electricity Fin Sen'!$D$83</f>
        <v>85743.429138734209</v>
      </c>
      <c r="K83" s="571">
        <f>'SenBiogas Electricity Fin Sen'!$D$83</f>
        <v>85743.429138734209</v>
      </c>
      <c r="L83" s="571">
        <f>'SenBiogas Electricity Fin Sen'!$D$83</f>
        <v>85743.429138734209</v>
      </c>
      <c r="M83" s="571">
        <f>'SenBiogas Electricity Fin Sen'!$D$83</f>
        <v>85743.429138734209</v>
      </c>
      <c r="N83" s="571">
        <f>'SenBiogas Electricity Fin Sen'!$D$83</f>
        <v>85743.429138734209</v>
      </c>
      <c r="O83" s="571">
        <f>'SenBiogas Electricity Fin Sen'!$D$83</f>
        <v>85743.429138734209</v>
      </c>
      <c r="P83" s="571">
        <f>'SenBiogas Electricity Fin Sen'!$D$83</f>
        <v>85743.429138734209</v>
      </c>
      <c r="Q83" s="571">
        <f>'SenBiogas Electricity Fin Sen'!$D$83</f>
        <v>85743.429138734209</v>
      </c>
      <c r="R83" s="715">
        <f>'SenBiogas Electricity Fin Sen'!$D$83</f>
        <v>85743.429138734209</v>
      </c>
      <c r="S83" s="571">
        <f>'SenBiogas Electricity Fin Sen'!$D$83</f>
        <v>85743.429138734209</v>
      </c>
      <c r="T83" s="571">
        <f>'SenBiogas Electricity Fin Sen'!$D$83</f>
        <v>85743.429138734209</v>
      </c>
      <c r="U83" s="571">
        <f>'SenBiogas Electricity Fin Sen'!$D$83</f>
        <v>85743.429138734209</v>
      </c>
      <c r="V83" s="571">
        <f>'SenBiogas Electricity Fin Sen'!$D$83</f>
        <v>85743.429138734209</v>
      </c>
      <c r="W83" s="571">
        <f>'SenBiogas Electricity Fin Sen'!$D$83</f>
        <v>85743.429138734209</v>
      </c>
      <c r="X83" s="571">
        <f>'SenBiogas Electricity Fin Sen'!$D$83</f>
        <v>85743.429138734209</v>
      </c>
      <c r="Y83" s="571">
        <f>'SenBiogas Electricity Fin Sen'!$D$83</f>
        <v>85743.429138734209</v>
      </c>
      <c r="Z83" s="571">
        <f>'SenBiogas Electricity Fin Sen'!$D$83</f>
        <v>85743.429138734209</v>
      </c>
      <c r="AA83" s="571">
        <f>'SenBiogas Electricity Fin Sen'!$D$83</f>
        <v>85743.429138734209</v>
      </c>
      <c r="AB83" s="571">
        <f>'SenBiogas Electricity Fin Sen'!$D$83</f>
        <v>85743.429138734209</v>
      </c>
      <c r="AC83" s="571">
        <v>1642768.8673553236</v>
      </c>
      <c r="AD83" s="571">
        <f t="shared" ref="AD83:AM83" si="0">IF(AD76&lt;=$D$37,$D$7*$D$3*(1+$D$8)^(AD76-1),0)</f>
        <v>0</v>
      </c>
      <c r="AE83" s="571">
        <f t="shared" si="0"/>
        <v>0</v>
      </c>
      <c r="AF83" s="571">
        <f t="shared" si="0"/>
        <v>0</v>
      </c>
      <c r="AG83" s="571">
        <f t="shared" si="0"/>
        <v>0</v>
      </c>
      <c r="AH83" s="571">
        <f t="shared" si="0"/>
        <v>0</v>
      </c>
      <c r="AI83" s="571">
        <f t="shared" si="0"/>
        <v>0</v>
      </c>
      <c r="AJ83" s="571">
        <f t="shared" si="0"/>
        <v>0</v>
      </c>
      <c r="AK83" s="571">
        <f t="shared" si="0"/>
        <v>0</v>
      </c>
      <c r="AL83" s="571">
        <f t="shared" si="0"/>
        <v>0</v>
      </c>
      <c r="AM83" s="572">
        <f t="shared" si="0"/>
        <v>0</v>
      </c>
    </row>
    <row r="84" spans="2:39">
      <c r="B84" s="573" t="s">
        <v>418</v>
      </c>
      <c r="C84" s="574" t="s">
        <v>417</v>
      </c>
      <c r="D84" s="575">
        <f>'SenBiogas Electricity Fin Sen'!$D$9*D78*(1+'SenBiogas Electricity Fin Sen'!$D$10)^(D76-1)</f>
        <v>0</v>
      </c>
      <c r="E84" s="541">
        <f>'SenBiogas Electricity Fin Sen'!$D$9*E78*(1+'SenBiogas Electricity Fin Sen'!$D$10)^(E76-1)</f>
        <v>0</v>
      </c>
      <c r="F84" s="541">
        <f>'SenBiogas Electricity Fin Sen'!$D$9*F78*(1+'SenBiogas Electricity Fin Sen'!$D$10)^(F76-1)</f>
        <v>0</v>
      </c>
      <c r="G84" s="541">
        <f>'SenBiogas Electricity Fin Sen'!$D$9*G78*(1+'SenBiogas Electricity Fin Sen'!$D$10)^(G76-1)</f>
        <v>0</v>
      </c>
      <c r="H84" s="541">
        <f>'SenBiogas Electricity Fin Sen'!$D$9*H78*(1+'SenBiogas Electricity Fin Sen'!$D$10)^(H76-1)</f>
        <v>0</v>
      </c>
      <c r="I84" s="541">
        <f>'SenBiogas Electricity Fin Sen'!$D$9*I78*(1+'SenBiogas Electricity Fin Sen'!$D$10)^(I76-1)</f>
        <v>0</v>
      </c>
      <c r="J84" s="541">
        <f>'SenBiogas Electricity Fin Sen'!$D$9*J78*(1+'SenBiogas Electricity Fin Sen'!$D$10)^(J76-1)</f>
        <v>0</v>
      </c>
      <c r="K84" s="541">
        <f>'SenBiogas Electricity Fin Sen'!$D$9*K78*(1+'SenBiogas Electricity Fin Sen'!$D$10)^(K76-1)</f>
        <v>0</v>
      </c>
      <c r="L84" s="541">
        <f>'SenBiogas Electricity Fin Sen'!$D$9*L78*(1+'SenBiogas Electricity Fin Sen'!$D$10)^(L76-1)</f>
        <v>0</v>
      </c>
      <c r="M84" s="541">
        <f>'SenBiogas Electricity Fin Sen'!$D$9*M78*(1+'SenBiogas Electricity Fin Sen'!$D$10)^(M76-1)</f>
        <v>0</v>
      </c>
      <c r="N84" s="541">
        <f>'SenBiogas Electricity Fin Sen'!$D$9*N78*(1+'SenBiogas Electricity Fin Sen'!$D$10)^(N76-1)</f>
        <v>0</v>
      </c>
      <c r="O84" s="541">
        <f>'SenBiogas Electricity Fin Sen'!$D$9*O78*(1+'SenBiogas Electricity Fin Sen'!$D$10)^(O76-1)</f>
        <v>0</v>
      </c>
      <c r="P84" s="541">
        <f>'SenBiogas Electricity Fin Sen'!$D$9*P78*(1+'SenBiogas Electricity Fin Sen'!$D$10)^(P76-1)</f>
        <v>0</v>
      </c>
      <c r="Q84" s="541">
        <f>'SenBiogas Electricity Fin Sen'!$D$9*Q78*(1+'SenBiogas Electricity Fin Sen'!$D$10)^(Q76-1)</f>
        <v>0</v>
      </c>
      <c r="R84" s="721">
        <f>'SenBiogas Electricity Fin Sen'!$D$9*R78*(1+'SenBiogas Electricity Fin Sen'!$D$10)^(R76-1)</f>
        <v>0</v>
      </c>
      <c r="S84" s="541">
        <f>'SenBiogas Electricity Fin Sen'!$D$9*S78*(1+'SenBiogas Electricity Fin Sen'!$D$10)^(S76-1)</f>
        <v>0</v>
      </c>
      <c r="T84" s="541">
        <f>'SenBiogas Electricity Fin Sen'!$D$9*T78*(1+'SenBiogas Electricity Fin Sen'!$D$10)^(T76-1)</f>
        <v>0</v>
      </c>
      <c r="U84" s="541">
        <f>'SenBiogas Electricity Fin Sen'!$D$9*U78*(1+'SenBiogas Electricity Fin Sen'!$D$10)^(U76-1)</f>
        <v>0</v>
      </c>
      <c r="V84" s="541">
        <f>'SenBiogas Electricity Fin Sen'!$D$9*V78*(1+'SenBiogas Electricity Fin Sen'!$D$10)^(V76-1)</f>
        <v>0</v>
      </c>
      <c r="W84" s="541">
        <f>'SenBiogas Electricity Fin Sen'!$D$9*W78*(1+'SenBiogas Electricity Fin Sen'!$D$10)^(W76-1)</f>
        <v>0</v>
      </c>
      <c r="X84" s="541">
        <f>'SenBiogas Electricity Fin Sen'!$D$9*X78*(1+'SenBiogas Electricity Fin Sen'!$D$10)^(X76-1)</f>
        <v>0</v>
      </c>
      <c r="Y84" s="541">
        <f>'SenBiogas Electricity Fin Sen'!$D$9*Y78*(1+'SenBiogas Electricity Fin Sen'!$D$10)^(Y76-1)</f>
        <v>0</v>
      </c>
      <c r="Z84" s="541">
        <f>'SenBiogas Electricity Fin Sen'!$D$9*Z78*(1+'SenBiogas Electricity Fin Sen'!$D$10)^(Z76-1)</f>
        <v>0</v>
      </c>
      <c r="AA84" s="541">
        <f>'SenBiogas Electricity Fin Sen'!$D$9*AA78*(1+'SenBiogas Electricity Fin Sen'!$D$10)^(AA76-1)</f>
        <v>0</v>
      </c>
      <c r="AB84" s="541">
        <f>'SenBiogas Electricity Fin Sen'!$D$9*AB78*(1+'SenBiogas Electricity Fin Sen'!$D$10)^(AB76-1)</f>
        <v>0</v>
      </c>
      <c r="AC84" s="541">
        <f>'SenBiogas Electricity Fin Sen'!$D$9*AC78*(1+'SenBiogas Electricity Fin Sen'!$D$10)^(AC76-1)</f>
        <v>0</v>
      </c>
      <c r="AD84" s="541">
        <f>'SenBiogas Electricity Fin Sen'!$D$9*AD78*(1+'SenBiogas Electricity Fin Sen'!$D$10)^(AD76-1)</f>
        <v>0</v>
      </c>
      <c r="AE84" s="541">
        <f>'SenBiogas Electricity Fin Sen'!$D$9*AE78*(1+'SenBiogas Electricity Fin Sen'!$D$10)^(AE76-1)</f>
        <v>0</v>
      </c>
      <c r="AF84" s="541">
        <f>'SenBiogas Electricity Fin Sen'!$D$9*AF78*(1+'SenBiogas Electricity Fin Sen'!$D$10)^(AF76-1)</f>
        <v>0</v>
      </c>
      <c r="AG84" s="541">
        <f>'SenBiogas Electricity Fin Sen'!$D$9*AG78*(1+'SenBiogas Electricity Fin Sen'!$D$10)^(AG76-1)</f>
        <v>0</v>
      </c>
      <c r="AH84" s="541">
        <f>'SenBiogas Electricity Fin Sen'!$D$9*AH78*(1+'SenBiogas Electricity Fin Sen'!$D$10)^(AH76-1)</f>
        <v>0</v>
      </c>
      <c r="AI84" s="541">
        <f>'SenBiogas Electricity Fin Sen'!$D$9*AI78*(1+'SenBiogas Electricity Fin Sen'!$D$10)^(AI76-1)</f>
        <v>0</v>
      </c>
      <c r="AJ84" s="541">
        <f>'SenBiogas Electricity Fin Sen'!$D$9*AJ78*(1+'SenBiogas Electricity Fin Sen'!$D$10)^(AJ76-1)</f>
        <v>0</v>
      </c>
      <c r="AK84" s="541">
        <f>'SenBiogas Electricity Fin Sen'!$D$9*AK78*(1+'SenBiogas Electricity Fin Sen'!$D$10)^(AK76-1)</f>
        <v>0</v>
      </c>
      <c r="AL84" s="541">
        <f>'SenBiogas Electricity Fin Sen'!$D$9*AL78*(1+'SenBiogas Electricity Fin Sen'!$D$10)^(AL76-1)</f>
        <v>0</v>
      </c>
      <c r="AM84" s="576">
        <f>'SenBiogas Electricity Fin Sen'!$D$9*AM78*(1+'SenBiogas Electricity Fin Sen'!$D$10)^(AM76-1)</f>
        <v>0</v>
      </c>
    </row>
    <row r="85" spans="2:39">
      <c r="B85" s="577" t="s">
        <v>419</v>
      </c>
      <c r="C85" s="578" t="s">
        <v>417</v>
      </c>
      <c r="D85" s="579">
        <f>0</f>
        <v>0</v>
      </c>
      <c r="E85" s="580">
        <f>0</f>
        <v>0</v>
      </c>
      <c r="F85" s="580">
        <f>0</f>
        <v>0</v>
      </c>
      <c r="G85" s="580">
        <f>0</f>
        <v>0</v>
      </c>
      <c r="H85" s="580">
        <f>0</f>
        <v>0</v>
      </c>
      <c r="I85" s="580">
        <f>0</f>
        <v>0</v>
      </c>
      <c r="J85" s="580">
        <f>0</f>
        <v>0</v>
      </c>
      <c r="K85" s="580">
        <f>0</f>
        <v>0</v>
      </c>
      <c r="L85" s="580">
        <f>0</f>
        <v>0</v>
      </c>
      <c r="M85" s="580">
        <f>0</f>
        <v>0</v>
      </c>
      <c r="N85" s="580">
        <f>0</f>
        <v>0</v>
      </c>
      <c r="O85" s="580">
        <f>0</f>
        <v>0</v>
      </c>
      <c r="P85" s="580">
        <f>0</f>
        <v>0</v>
      </c>
      <c r="Q85" s="580">
        <f>0</f>
        <v>0</v>
      </c>
      <c r="R85" s="716">
        <f>0</f>
        <v>0</v>
      </c>
      <c r="S85" s="580">
        <f>0</f>
        <v>0</v>
      </c>
      <c r="T85" s="580">
        <f>0</f>
        <v>0</v>
      </c>
      <c r="U85" s="580">
        <f>0</f>
        <v>0</v>
      </c>
      <c r="V85" s="580">
        <f>0</f>
        <v>0</v>
      </c>
      <c r="W85" s="580">
        <f>0</f>
        <v>0</v>
      </c>
      <c r="X85" s="580">
        <f>0</f>
        <v>0</v>
      </c>
      <c r="Y85" s="580">
        <f>0</f>
        <v>0</v>
      </c>
      <c r="Z85" s="580">
        <f>0</f>
        <v>0</v>
      </c>
      <c r="AA85" s="580">
        <f>0</f>
        <v>0</v>
      </c>
      <c r="AB85" s="580">
        <f>0</f>
        <v>0</v>
      </c>
      <c r="AC85" s="580">
        <f>0</f>
        <v>0</v>
      </c>
      <c r="AD85" s="580">
        <f>0</f>
        <v>0</v>
      </c>
      <c r="AE85" s="580">
        <f>0</f>
        <v>0</v>
      </c>
      <c r="AF85" s="580">
        <f>0</f>
        <v>0</v>
      </c>
      <c r="AG85" s="580">
        <f>0</f>
        <v>0</v>
      </c>
      <c r="AH85" s="580">
        <f>0</f>
        <v>0</v>
      </c>
      <c r="AI85" s="580">
        <f>0</f>
        <v>0</v>
      </c>
      <c r="AJ85" s="580">
        <f>0</f>
        <v>0</v>
      </c>
      <c r="AK85" s="580">
        <f>0</f>
        <v>0</v>
      </c>
      <c r="AL85" s="580">
        <f>0</f>
        <v>0</v>
      </c>
      <c r="AM85" s="581">
        <f>0</f>
        <v>0</v>
      </c>
    </row>
    <row r="86" spans="2:39" ht="12.95">
      <c r="B86" s="582" t="s">
        <v>420</v>
      </c>
      <c r="C86" s="583" t="s">
        <v>417</v>
      </c>
      <c r="D86" s="584">
        <f>IF(D76&lt;=$D$37,SUM(D83:D84),0)</f>
        <v>85743.429138734209</v>
      </c>
      <c r="E86" s="585">
        <f t="shared" ref="E86:AM86" si="1">IF(E76&lt;=$D$37,SUM(E83:E84),0)</f>
        <v>85743.429138734209</v>
      </c>
      <c r="F86" s="585">
        <f t="shared" si="1"/>
        <v>85743.429138734209</v>
      </c>
      <c r="G86" s="585">
        <f t="shared" si="1"/>
        <v>85743.429138734209</v>
      </c>
      <c r="H86" s="585">
        <f t="shared" si="1"/>
        <v>85743.429138734209</v>
      </c>
      <c r="I86" s="585">
        <f t="shared" si="1"/>
        <v>85743.429138734209</v>
      </c>
      <c r="J86" s="585">
        <f t="shared" si="1"/>
        <v>85743.429138734209</v>
      </c>
      <c r="K86" s="585">
        <f t="shared" si="1"/>
        <v>85743.429138734209</v>
      </c>
      <c r="L86" s="585">
        <f t="shared" si="1"/>
        <v>85743.429138734209</v>
      </c>
      <c r="M86" s="585">
        <f t="shared" si="1"/>
        <v>85743.429138734209</v>
      </c>
      <c r="N86" s="585">
        <f t="shared" si="1"/>
        <v>85743.429138734209</v>
      </c>
      <c r="O86" s="585">
        <f t="shared" si="1"/>
        <v>85743.429138734209</v>
      </c>
      <c r="P86" s="585">
        <f t="shared" si="1"/>
        <v>85743.429138734209</v>
      </c>
      <c r="Q86" s="585">
        <f t="shared" si="1"/>
        <v>85743.429138734209</v>
      </c>
      <c r="R86" s="585">
        <f t="shared" si="1"/>
        <v>85743.429138734209</v>
      </c>
      <c r="S86" s="585">
        <f t="shared" si="1"/>
        <v>85743.429138734209</v>
      </c>
      <c r="T86" s="585">
        <f t="shared" si="1"/>
        <v>85743.429138734209</v>
      </c>
      <c r="U86" s="585">
        <f t="shared" si="1"/>
        <v>85743.429138734209</v>
      </c>
      <c r="V86" s="585">
        <f t="shared" si="1"/>
        <v>85743.429138734209</v>
      </c>
      <c r="W86" s="585">
        <f t="shared" si="1"/>
        <v>85743.429138734209</v>
      </c>
      <c r="X86" s="585">
        <f t="shared" si="1"/>
        <v>85743.429138734209</v>
      </c>
      <c r="Y86" s="585">
        <f t="shared" si="1"/>
        <v>85743.429138734209</v>
      </c>
      <c r="Z86" s="585">
        <f t="shared" si="1"/>
        <v>85743.429138734209</v>
      </c>
      <c r="AA86" s="585">
        <f t="shared" si="1"/>
        <v>85743.429138734209</v>
      </c>
      <c r="AB86" s="585">
        <f t="shared" si="1"/>
        <v>85743.429138734209</v>
      </c>
      <c r="AC86" s="585">
        <f t="shared" si="1"/>
        <v>1642768.8673553236</v>
      </c>
      <c r="AD86" s="585">
        <f t="shared" si="1"/>
        <v>0</v>
      </c>
      <c r="AE86" s="585">
        <f t="shared" si="1"/>
        <v>0</v>
      </c>
      <c r="AF86" s="585">
        <f t="shared" si="1"/>
        <v>0</v>
      </c>
      <c r="AG86" s="585">
        <f t="shared" si="1"/>
        <v>0</v>
      </c>
      <c r="AH86" s="585">
        <f t="shared" si="1"/>
        <v>0</v>
      </c>
      <c r="AI86" s="585">
        <f t="shared" si="1"/>
        <v>0</v>
      </c>
      <c r="AJ86" s="585">
        <f t="shared" si="1"/>
        <v>0</v>
      </c>
      <c r="AK86" s="585">
        <f t="shared" si="1"/>
        <v>0</v>
      </c>
      <c r="AL86" s="585">
        <f t="shared" si="1"/>
        <v>0</v>
      </c>
      <c r="AM86" s="586">
        <f t="shared" si="1"/>
        <v>0</v>
      </c>
    </row>
    <row r="87" spans="2:39" ht="12.95">
      <c r="B87" s="479"/>
      <c r="C87" s="491"/>
      <c r="D87" s="491"/>
      <c r="E87" s="492"/>
      <c r="F87" s="492"/>
      <c r="G87" s="492"/>
      <c r="H87" s="492"/>
      <c r="I87" s="492"/>
      <c r="J87" s="492"/>
      <c r="K87" s="492"/>
      <c r="L87" s="492"/>
      <c r="M87" s="492"/>
      <c r="N87" s="492"/>
      <c r="O87" s="492"/>
      <c r="P87" s="492"/>
      <c r="Q87" s="492"/>
      <c r="R87" s="493"/>
      <c r="S87" s="492"/>
      <c r="T87" s="492"/>
      <c r="U87" s="492"/>
      <c r="V87" s="492"/>
      <c r="W87" s="492"/>
      <c r="X87" s="492"/>
      <c r="Y87" s="492"/>
      <c r="Z87" s="492"/>
      <c r="AA87" s="492"/>
      <c r="AB87" s="492"/>
      <c r="AC87" s="492"/>
      <c r="AD87" s="492"/>
      <c r="AE87" s="492"/>
      <c r="AF87" s="492"/>
      <c r="AG87" s="492"/>
      <c r="AH87" s="492"/>
      <c r="AI87" s="492"/>
      <c r="AJ87" s="492"/>
      <c r="AK87" s="492"/>
      <c r="AL87" s="492"/>
      <c r="AM87" s="492"/>
    </row>
    <row r="88" spans="2:39" ht="12.95">
      <c r="B88" s="479"/>
      <c r="C88" s="491"/>
      <c r="D88" s="491"/>
      <c r="E88" s="492"/>
      <c r="F88" s="492"/>
      <c r="G88" s="492"/>
      <c r="H88" s="492"/>
      <c r="I88" s="492"/>
      <c r="J88" s="492"/>
      <c r="K88" s="492"/>
      <c r="L88" s="492"/>
      <c r="M88" s="492"/>
      <c r="N88" s="492"/>
      <c r="O88" s="492"/>
      <c r="P88" s="492"/>
      <c r="Q88" s="492"/>
      <c r="R88" s="493"/>
      <c r="S88" s="492"/>
      <c r="T88" s="492"/>
      <c r="U88" s="492"/>
      <c r="V88" s="492"/>
      <c r="W88" s="492"/>
      <c r="X88" s="492"/>
      <c r="Y88" s="492"/>
      <c r="Z88" s="492"/>
      <c r="AA88" s="492"/>
      <c r="AB88" s="492"/>
      <c r="AC88" s="492"/>
      <c r="AD88" s="492"/>
      <c r="AE88" s="492"/>
      <c r="AF88" s="492"/>
      <c r="AG88" s="492"/>
      <c r="AH88" s="492"/>
      <c r="AI88" s="492"/>
      <c r="AJ88" s="492"/>
      <c r="AK88" s="492"/>
      <c r="AL88" s="492"/>
      <c r="AM88" s="492"/>
    </row>
    <row r="89" spans="2:39" ht="12.95">
      <c r="B89" s="565" t="s">
        <v>421</v>
      </c>
      <c r="C89" s="566" t="s">
        <v>364</v>
      </c>
      <c r="D89" s="491"/>
      <c r="E89" s="492"/>
      <c r="F89" s="492"/>
      <c r="G89" s="492"/>
      <c r="H89" s="492"/>
      <c r="I89" s="492"/>
      <c r="J89" s="492"/>
      <c r="K89" s="492"/>
      <c r="L89" s="492"/>
      <c r="M89" s="492"/>
      <c r="N89" s="492"/>
      <c r="O89" s="492"/>
      <c r="P89" s="492"/>
      <c r="Q89" s="492"/>
      <c r="R89" s="493"/>
      <c r="S89" s="492"/>
      <c r="T89" s="492"/>
      <c r="U89" s="492"/>
      <c r="V89" s="492"/>
      <c r="W89" s="492"/>
      <c r="X89" s="492"/>
      <c r="Y89" s="492"/>
      <c r="Z89" s="492"/>
      <c r="AA89" s="492"/>
      <c r="AB89" s="492"/>
      <c r="AC89" s="492"/>
      <c r="AD89" s="492"/>
      <c r="AE89" s="492"/>
      <c r="AF89" s="492"/>
      <c r="AG89" s="492"/>
      <c r="AH89" s="492"/>
      <c r="AI89" s="492"/>
      <c r="AJ89" s="492"/>
      <c r="AK89" s="492"/>
      <c r="AL89" s="492"/>
      <c r="AM89" s="492"/>
    </row>
    <row r="90" spans="2:39" ht="12.95">
      <c r="B90" s="568" t="s">
        <v>422</v>
      </c>
      <c r="C90" s="569" t="s">
        <v>331</v>
      </c>
      <c r="D90" s="587">
        <f>SUM(D83:AB83)</f>
        <v>2143585.7284683557</v>
      </c>
      <c r="E90" s="492"/>
      <c r="F90" s="492"/>
      <c r="G90" s="492"/>
      <c r="H90" s="492"/>
      <c r="I90" s="492"/>
      <c r="J90" s="492"/>
      <c r="K90" s="492"/>
      <c r="L90" s="492"/>
      <c r="M90" s="492"/>
      <c r="N90" s="492"/>
      <c r="O90" s="492"/>
      <c r="P90" s="492"/>
      <c r="Q90" s="492"/>
      <c r="R90" s="493"/>
      <c r="S90" s="492"/>
      <c r="T90" s="492"/>
      <c r="U90" s="492"/>
      <c r="V90" s="492"/>
      <c r="W90" s="492"/>
      <c r="X90" s="492"/>
      <c r="Y90" s="492"/>
      <c r="Z90" s="492"/>
      <c r="AA90" s="492"/>
      <c r="AB90" s="492"/>
      <c r="AC90" s="492"/>
      <c r="AD90" s="492"/>
      <c r="AE90" s="492"/>
      <c r="AF90" s="492"/>
      <c r="AG90" s="492"/>
      <c r="AH90" s="492"/>
      <c r="AI90" s="492"/>
      <c r="AJ90" s="492"/>
      <c r="AK90" s="492"/>
      <c r="AL90" s="492"/>
      <c r="AM90" s="492"/>
    </row>
    <row r="91" spans="2:39" ht="12.95">
      <c r="B91" s="577" t="s">
        <v>418</v>
      </c>
      <c r="C91" s="578" t="s">
        <v>331</v>
      </c>
      <c r="D91" s="588">
        <f>SUM(D84:AM84)</f>
        <v>0</v>
      </c>
      <c r="E91" s="492"/>
      <c r="F91" s="492"/>
      <c r="G91" s="492"/>
      <c r="H91" s="492"/>
      <c r="I91" s="492"/>
      <c r="J91" s="492"/>
      <c r="K91" s="492"/>
      <c r="L91" s="492"/>
      <c r="M91" s="492"/>
      <c r="N91" s="492"/>
      <c r="O91" s="492"/>
      <c r="P91" s="492"/>
      <c r="Q91" s="492"/>
      <c r="R91" s="493"/>
      <c r="S91" s="492"/>
      <c r="T91" s="492"/>
      <c r="U91" s="492"/>
      <c r="V91" s="492"/>
      <c r="W91" s="492"/>
      <c r="X91" s="492"/>
      <c r="Y91" s="492"/>
      <c r="Z91" s="492"/>
      <c r="AA91" s="492"/>
      <c r="AB91" s="492"/>
      <c r="AC91" s="492"/>
      <c r="AD91" s="492"/>
      <c r="AE91" s="492"/>
      <c r="AF91" s="492"/>
      <c r="AG91" s="492"/>
      <c r="AH91" s="492"/>
      <c r="AI91" s="492"/>
      <c r="AJ91" s="492"/>
      <c r="AK91" s="492"/>
      <c r="AL91" s="492"/>
      <c r="AM91" s="492"/>
    </row>
    <row r="92" spans="2:39" ht="12.95">
      <c r="B92" s="589" t="s">
        <v>423</v>
      </c>
      <c r="C92" s="583" t="s">
        <v>331</v>
      </c>
      <c r="D92" s="590">
        <f>SUM(D90:D91)</f>
        <v>2143585.7284683557</v>
      </c>
      <c r="E92" s="492"/>
      <c r="F92" s="492"/>
      <c r="G92" s="492"/>
      <c r="H92" s="492"/>
      <c r="I92" s="492"/>
      <c r="J92" s="492"/>
      <c r="K92" s="492"/>
      <c r="L92" s="492"/>
      <c r="M92" s="492"/>
      <c r="N92" s="492"/>
      <c r="O92" s="492"/>
      <c r="P92" s="492"/>
      <c r="Q92" s="492"/>
      <c r="R92" s="493"/>
      <c r="S92" s="492"/>
      <c r="T92" s="492"/>
      <c r="U92" s="492"/>
      <c r="V92" s="492"/>
      <c r="W92" s="492"/>
      <c r="X92" s="492"/>
      <c r="Y92" s="492"/>
      <c r="Z92" s="492"/>
      <c r="AA92" s="492"/>
      <c r="AB92" s="492"/>
      <c r="AC92" s="492"/>
      <c r="AD92" s="492"/>
      <c r="AE92" s="492"/>
      <c r="AF92" s="492"/>
      <c r="AG92" s="492"/>
      <c r="AH92" s="492"/>
      <c r="AI92" s="492"/>
      <c r="AJ92" s="492"/>
      <c r="AK92" s="492"/>
      <c r="AL92" s="492"/>
      <c r="AM92" s="492"/>
    </row>
    <row r="93" spans="2:39">
      <c r="B93" s="478"/>
      <c r="C93" s="485"/>
      <c r="D93" s="485"/>
      <c r="E93" s="489"/>
      <c r="F93" s="489"/>
      <c r="G93" s="489"/>
      <c r="H93" s="489"/>
      <c r="I93" s="489"/>
      <c r="J93" s="489"/>
      <c r="K93" s="489"/>
      <c r="L93" s="489"/>
      <c r="M93" s="489"/>
      <c r="N93" s="489"/>
      <c r="O93" s="489"/>
      <c r="P93" s="489"/>
      <c r="Q93" s="489"/>
      <c r="R93" s="490"/>
      <c r="S93" s="489"/>
      <c r="T93" s="489"/>
      <c r="U93" s="489"/>
      <c r="V93" s="489"/>
      <c r="W93" s="489"/>
      <c r="X93" s="489"/>
      <c r="Y93" s="489"/>
      <c r="Z93" s="489"/>
      <c r="AA93" s="489"/>
      <c r="AB93" s="489"/>
      <c r="AC93" s="489"/>
      <c r="AD93" s="489"/>
      <c r="AE93" s="489"/>
      <c r="AF93" s="489"/>
      <c r="AG93" s="489"/>
      <c r="AH93" s="489"/>
      <c r="AI93" s="489"/>
      <c r="AJ93" s="489"/>
      <c r="AK93" s="489"/>
      <c r="AL93" s="489"/>
      <c r="AM93" s="489"/>
    </row>
    <row r="94" spans="2:39" ht="12.95">
      <c r="B94" s="565" t="s">
        <v>424</v>
      </c>
      <c r="C94" s="566" t="s">
        <v>364</v>
      </c>
      <c r="D94" s="591">
        <v>1</v>
      </c>
      <c r="E94" s="559">
        <v>2</v>
      </c>
      <c r="F94" s="559">
        <v>3</v>
      </c>
      <c r="G94" s="559">
        <v>4</v>
      </c>
      <c r="H94" s="559">
        <v>5</v>
      </c>
      <c r="I94" s="559">
        <v>6</v>
      </c>
      <c r="J94" s="559">
        <v>7</v>
      </c>
      <c r="K94" s="559">
        <v>8</v>
      </c>
      <c r="L94" s="559">
        <v>9</v>
      </c>
      <c r="M94" s="560">
        <v>10</v>
      </c>
      <c r="N94" s="489"/>
      <c r="O94" s="489"/>
      <c r="P94" s="489"/>
      <c r="Q94" s="489"/>
      <c r="R94" s="490"/>
      <c r="S94" s="489"/>
      <c r="T94" s="489"/>
      <c r="U94" s="489"/>
      <c r="V94" s="489"/>
      <c r="W94" s="489"/>
      <c r="X94" s="489"/>
      <c r="Y94" s="489"/>
      <c r="Z94" s="489"/>
      <c r="AA94" s="489"/>
      <c r="AB94" s="489"/>
      <c r="AC94" s="489"/>
      <c r="AD94" s="489"/>
      <c r="AE94" s="489"/>
      <c r="AF94" s="489"/>
      <c r="AG94" s="489"/>
      <c r="AH94" s="489"/>
      <c r="AI94" s="489"/>
      <c r="AJ94" s="489"/>
      <c r="AK94" s="489"/>
      <c r="AL94" s="489"/>
      <c r="AM94" s="489"/>
    </row>
    <row r="95" spans="2:39" ht="12.95">
      <c r="B95" s="565" t="s">
        <v>425</v>
      </c>
      <c r="C95" s="592" t="s">
        <v>67</v>
      </c>
      <c r="D95" s="593">
        <v>1</v>
      </c>
      <c r="E95" s="489"/>
      <c r="F95" s="489"/>
      <c r="G95" s="489"/>
      <c r="H95" s="489"/>
      <c r="I95" s="489"/>
      <c r="J95" s="489"/>
      <c r="K95" s="489"/>
      <c r="L95" s="489"/>
      <c r="M95" s="489"/>
      <c r="N95" s="489"/>
      <c r="O95" s="489"/>
      <c r="P95" s="489"/>
      <c r="Q95" s="489"/>
      <c r="R95" s="490"/>
      <c r="S95" s="489"/>
      <c r="T95" s="489"/>
      <c r="U95" s="489"/>
      <c r="V95" s="489"/>
      <c r="W95" s="489"/>
      <c r="X95" s="489"/>
      <c r="Y95" s="489"/>
      <c r="Z95" s="489"/>
      <c r="AA95" s="489"/>
      <c r="AB95" s="489"/>
      <c r="AC95" s="489"/>
      <c r="AD95" s="489"/>
      <c r="AE95" s="489"/>
      <c r="AF95" s="489"/>
      <c r="AG95" s="489"/>
      <c r="AH95" s="489"/>
      <c r="AI95" s="489"/>
      <c r="AJ95" s="489"/>
      <c r="AK95" s="489"/>
      <c r="AL95" s="489"/>
      <c r="AM95" s="489"/>
    </row>
    <row r="96" spans="2:39">
      <c r="B96" s="561" t="s">
        <v>426</v>
      </c>
      <c r="C96" s="594" t="s">
        <v>417</v>
      </c>
      <c r="D96" s="595">
        <f t="shared" ref="D96:M96" si="2">IF($D$95&gt;=D94,$D$27/$D$95,0)</f>
        <v>5590071.3568378212</v>
      </c>
      <c r="E96" s="596">
        <f t="shared" si="2"/>
        <v>0</v>
      </c>
      <c r="F96" s="596">
        <f t="shared" si="2"/>
        <v>0</v>
      </c>
      <c r="G96" s="596">
        <f t="shared" si="2"/>
        <v>0</v>
      </c>
      <c r="H96" s="596">
        <f t="shared" si="2"/>
        <v>0</v>
      </c>
      <c r="I96" s="596">
        <f t="shared" si="2"/>
        <v>0</v>
      </c>
      <c r="J96" s="596">
        <f t="shared" si="2"/>
        <v>0</v>
      </c>
      <c r="K96" s="596">
        <f t="shared" si="2"/>
        <v>0</v>
      </c>
      <c r="L96" s="596">
        <f t="shared" si="2"/>
        <v>0</v>
      </c>
      <c r="M96" s="597">
        <f t="shared" si="2"/>
        <v>0</v>
      </c>
      <c r="N96" s="489"/>
      <c r="O96" s="489"/>
      <c r="P96" s="489"/>
      <c r="Q96" s="489"/>
      <c r="R96" s="490"/>
      <c r="S96" s="489"/>
      <c r="T96" s="489"/>
      <c r="U96" s="489"/>
      <c r="V96" s="489"/>
      <c r="W96" s="489"/>
      <c r="X96" s="489"/>
      <c r="Y96" s="489"/>
      <c r="Z96" s="489"/>
      <c r="AA96" s="489"/>
      <c r="AB96" s="489"/>
      <c r="AC96" s="489"/>
      <c r="AD96" s="489"/>
      <c r="AE96" s="489"/>
      <c r="AF96" s="489"/>
      <c r="AG96" s="489"/>
      <c r="AH96" s="489"/>
      <c r="AI96" s="489"/>
      <c r="AJ96" s="489"/>
      <c r="AK96" s="489"/>
      <c r="AL96" s="489"/>
      <c r="AM96" s="489"/>
    </row>
    <row r="97" spans="2:39">
      <c r="B97" s="478"/>
      <c r="C97" s="485"/>
      <c r="D97" s="485"/>
      <c r="E97" s="489"/>
      <c r="F97" s="489"/>
      <c r="G97" s="489"/>
      <c r="H97" s="489"/>
      <c r="I97" s="489"/>
      <c r="J97" s="489"/>
      <c r="K97" s="489"/>
      <c r="L97" s="489"/>
      <c r="M97" s="489"/>
      <c r="N97" s="489"/>
      <c r="O97" s="489"/>
      <c r="P97" s="489"/>
      <c r="Q97" s="489"/>
      <c r="R97" s="490"/>
      <c r="S97" s="489"/>
      <c r="T97" s="489"/>
      <c r="U97" s="489"/>
      <c r="V97" s="489"/>
      <c r="W97" s="489"/>
      <c r="X97" s="489"/>
      <c r="Y97" s="489"/>
      <c r="Z97" s="489"/>
      <c r="AA97" s="489"/>
      <c r="AB97" s="489"/>
      <c r="AC97" s="489"/>
      <c r="AD97" s="489"/>
      <c r="AE97" s="489"/>
      <c r="AF97" s="489"/>
      <c r="AG97" s="489"/>
      <c r="AH97" s="489"/>
      <c r="AI97" s="489"/>
      <c r="AJ97" s="489"/>
      <c r="AK97" s="489"/>
      <c r="AL97" s="489"/>
      <c r="AM97" s="489"/>
    </row>
    <row r="98" spans="2:39" ht="12.95">
      <c r="B98" s="565" t="s">
        <v>427</v>
      </c>
      <c r="C98" s="592" t="s">
        <v>364</v>
      </c>
      <c r="D98" s="485"/>
      <c r="E98" s="489"/>
      <c r="F98" s="489"/>
      <c r="G98" s="489"/>
      <c r="H98" s="489"/>
      <c r="I98" s="489"/>
      <c r="J98" s="489"/>
      <c r="K98" s="489"/>
      <c r="L98" s="489"/>
      <c r="M98" s="489"/>
      <c r="N98" s="489"/>
      <c r="O98" s="489"/>
      <c r="P98" s="489"/>
      <c r="Q98" s="489"/>
      <c r="R98" s="490"/>
      <c r="S98" s="489"/>
      <c r="T98" s="489"/>
      <c r="U98" s="489"/>
      <c r="V98" s="489"/>
      <c r="W98" s="489"/>
      <c r="X98" s="489"/>
      <c r="Y98" s="489"/>
      <c r="Z98" s="489"/>
      <c r="AA98" s="489"/>
      <c r="AB98" s="489"/>
      <c r="AC98" s="489"/>
      <c r="AD98" s="489"/>
      <c r="AE98" s="489"/>
      <c r="AF98" s="489"/>
      <c r="AG98" s="489"/>
      <c r="AH98" s="489"/>
      <c r="AI98" s="489"/>
      <c r="AJ98" s="489"/>
      <c r="AK98" s="489"/>
      <c r="AL98" s="489"/>
      <c r="AM98" s="489"/>
    </row>
    <row r="99" spans="2:39">
      <c r="B99" s="568" t="s">
        <v>428</v>
      </c>
      <c r="C99" s="574" t="s">
        <v>417</v>
      </c>
      <c r="D99" s="570"/>
      <c r="E99" s="571">
        <f>IF(E76&lt;=$D$36,-IPMT($D$35,E76,$D$36,'SenBiogas Electricity Fin Sen'!$D$27*$D$34),0)</f>
        <v>0</v>
      </c>
      <c r="F99" s="571">
        <f>IF(F76&lt;=$D$36,-IPMT($D$35,F76,$D$36,'SenBiogas Electricity Fin Sen'!$D$27*$D$34),0)</f>
        <v>0</v>
      </c>
      <c r="G99" s="571">
        <f>IF(G76&lt;=$D$36,-IPMT($D$35,G76,$D$36,'SenBiogas Electricity Fin Sen'!$D$27*$D$34),0)</f>
        <v>0</v>
      </c>
      <c r="H99" s="571">
        <f>IF(H76&lt;=$D$36,-IPMT($D$35,H76,$D$36,'SenBiogas Electricity Fin Sen'!$D$27*$D$34),0)</f>
        <v>0</v>
      </c>
      <c r="I99" s="571">
        <f>IF(I76&lt;=$D$36,-IPMT($D$35,I76,$D$36,'SenBiogas Electricity Fin Sen'!$D$27*$D$34),0)</f>
        <v>0</v>
      </c>
      <c r="J99" s="571">
        <f>IF(J76&lt;=$D$36,-IPMT($D$35,J76,$D$36,'SenBiogas Electricity Fin Sen'!$D$27*$D$34),0)</f>
        <v>0</v>
      </c>
      <c r="K99" s="571">
        <f>IF(K76&lt;=$D$36,-IPMT($D$35,K76,$D$36,'SenBiogas Electricity Fin Sen'!$D$27*$D$34),0)</f>
        <v>0</v>
      </c>
      <c r="L99" s="571">
        <f>IF(L76&lt;=$D$36,-IPMT($D$35,L76,$D$36,'SenBiogas Electricity Fin Sen'!$D$27*$D$34),0)</f>
        <v>0</v>
      </c>
      <c r="M99" s="571">
        <f>IF(M76&lt;=$D$36,-IPMT($D$35,M76,$D$36,'SenBiogas Electricity Fin Sen'!$D$27*$D$34),0)</f>
        <v>0</v>
      </c>
      <c r="N99" s="571">
        <f>IF(N76&lt;=$D$36,-IPMT($D$35,N76,$D$36,'SenBiogas Electricity Fin Sen'!$D$27*$D$34),0)</f>
        <v>0</v>
      </c>
      <c r="O99" s="571">
        <f>IF(O76&lt;=$D$36,-IPMT($D$35,O76,$D$36,'SenBiogas Electricity Fin Sen'!$D$27*$D$34),0)</f>
        <v>0</v>
      </c>
      <c r="P99" s="571">
        <f>IF(P76&lt;=$D$36,-IPMT($D$35,P76,$D$36,'SenBiogas Electricity Fin Sen'!$D$27*$D$34),0)</f>
        <v>0</v>
      </c>
      <c r="Q99" s="571">
        <f>IF(Q76&lt;=$D$36,-IPMT($D$35,Q76,$D$36,'SenBiogas Electricity Fin Sen'!$D$27*$D$34),0)</f>
        <v>0</v>
      </c>
      <c r="R99" s="715">
        <f>IF(R76&lt;=$D$36,-IPMT($D$35,R76,$D$36,'SenBiogas Electricity Fin Sen'!$D$27*$D$34),0)</f>
        <v>0</v>
      </c>
      <c r="S99" s="571">
        <f>IF(S76&lt;=$D$36,-IPMT($D$35,S76,$D$36,'SenBiogas Electricity Fin Sen'!$D$27*$D$34),0)</f>
        <v>0</v>
      </c>
      <c r="T99" s="571">
        <f>IF(T76&lt;=$D$36,-IPMT($D$35,T76,$D$36,'SenBiogas Electricity Fin Sen'!$D$27*$D$34),0)</f>
        <v>0</v>
      </c>
      <c r="U99" s="571">
        <f>IF(U76&lt;=$D$36,-IPMT($D$35,U76,$D$36,'SenBiogas Electricity Fin Sen'!$D$27*$D$34),0)</f>
        <v>0</v>
      </c>
      <c r="V99" s="571">
        <f>IF(V76&lt;=$D$36,-IPMT($D$35,V76,$D$36,'SenBiogas Electricity Fin Sen'!$D$27*$D$34),0)</f>
        <v>0</v>
      </c>
      <c r="W99" s="571">
        <f>IF(W76&lt;=$D$36,-IPMT($D$35,W76,$D$36,'SenBiogas Electricity Fin Sen'!$D$27*$D$34),0)</f>
        <v>0</v>
      </c>
      <c r="X99" s="571">
        <f>IF(X76&lt;=$D$36,-IPMT($D$35,X76,$D$36,'SenBiogas Electricity Fin Sen'!$D$27*$D$34),0)</f>
        <v>0</v>
      </c>
      <c r="Y99" s="571">
        <f>IF(Y76&lt;=$D$36,-IPMT($D$35,Y76,$D$36,'SenBiogas Electricity Fin Sen'!$D$27*$D$34),0)</f>
        <v>0</v>
      </c>
      <c r="Z99" s="571">
        <f>IF(Z76&lt;=$D$36,-IPMT($D$35,Z76,$D$36,'SenBiogas Electricity Fin Sen'!$D$27*$D$34),0)</f>
        <v>0</v>
      </c>
      <c r="AA99" s="571">
        <f>IF(AA76&lt;=$D$36,-IPMT($D$35,AA76,$D$36,'SenBiogas Electricity Fin Sen'!$D$27*$D$34),0)</f>
        <v>0</v>
      </c>
      <c r="AB99" s="571">
        <f>IF(AB76&lt;=$D$36,-IPMT($D$35,AB76,$D$36,'SenBiogas Electricity Fin Sen'!$D$27*$D$34),0)</f>
        <v>0</v>
      </c>
      <c r="AC99" s="571">
        <f>IF(AC76&lt;=$D$36,-IPMT($D$35,AC76,$D$36,'SenBiogas Electricity Fin Sen'!$D$27*$D$34),0)</f>
        <v>0</v>
      </c>
      <c r="AD99" s="571">
        <f>IF(AD76&lt;=$D$36,-IPMT($D$35,AD76,$D$36,'SenBiogas Electricity Fin Sen'!$D$27*$D$34),0)</f>
        <v>0</v>
      </c>
      <c r="AE99" s="571">
        <f>IF(AE76&lt;=$D$36,-IPMT($D$35,AE76,$D$36,'SenBiogas Electricity Fin Sen'!$D$27*$D$34),0)</f>
        <v>0</v>
      </c>
      <c r="AF99" s="571">
        <f>IF(AF76&lt;=$D$36,-IPMT($D$35,AF76,$D$36,'SenBiogas Electricity Fin Sen'!$D$27*$D$34),0)</f>
        <v>0</v>
      </c>
      <c r="AG99" s="571">
        <f>IF(AG76&lt;=$D$36,-IPMT($D$35,AG76,$D$36,'SenBiogas Electricity Fin Sen'!$D$27*$D$34),0)</f>
        <v>0</v>
      </c>
      <c r="AH99" s="571">
        <f>IF(AH76&lt;=$D$36,-IPMT($D$35,AH76,$D$36,'SenBiogas Electricity Fin Sen'!$D$27*$D$34),0)</f>
        <v>0</v>
      </c>
      <c r="AI99" s="571">
        <f>IF(AI76&lt;=$D$36,-IPMT($D$35,AI76,$D$36,'SenBiogas Electricity Fin Sen'!$D$27*$D$34),0)</f>
        <v>0</v>
      </c>
      <c r="AJ99" s="571">
        <f>IF(AJ76&lt;=$D$36,-IPMT($D$35,AJ76,$D$36,'SenBiogas Electricity Fin Sen'!$D$27*$D$34),0)</f>
        <v>0</v>
      </c>
      <c r="AK99" s="571">
        <f>IF(AK76&lt;=$D$36,-IPMT($D$35,AK76,$D$36,'SenBiogas Electricity Fin Sen'!$D$27*$D$34),0)</f>
        <v>0</v>
      </c>
      <c r="AL99" s="571">
        <f>IF(AL76&lt;=$D$36,-IPMT($D$35,AL76,$D$36,'SenBiogas Electricity Fin Sen'!$D$27*$D$34),0)</f>
        <v>0</v>
      </c>
      <c r="AM99" s="572">
        <f>IF(AM76&lt;=$D$36,-IPMT($D$35,AM76,$D$36,'SenBiogas Electricity Fin Sen'!$D$27*$D$34),0)</f>
        <v>0</v>
      </c>
    </row>
    <row r="100" spans="2:39">
      <c r="B100" s="573" t="s">
        <v>429</v>
      </c>
      <c r="C100" s="578" t="s">
        <v>417</v>
      </c>
      <c r="D100" s="579"/>
      <c r="E100" s="580">
        <f>IF(E76&lt;=$D$36,-PPMT($D$35,E76,$D$36,'SenBiogas Electricity Fin Sen'!$D$27*$D$34),0)</f>
        <v>223602.85427351284</v>
      </c>
      <c r="F100" s="580">
        <f>IF(F76&lt;=$D$36,-PPMT($D$35,F76,$D$36,'SenBiogas Electricity Fin Sen'!$D$27*$D$34),0)</f>
        <v>223602.85427351284</v>
      </c>
      <c r="G100" s="580">
        <f>IF(G76&lt;=$D$36,-PPMT($D$35,G76,$D$36,'SenBiogas Electricity Fin Sen'!$D$27*$D$34),0)</f>
        <v>223602.85427351284</v>
      </c>
      <c r="H100" s="580">
        <f>IF(H76&lt;=$D$36,-PPMT($D$35,H76,$D$36,'SenBiogas Electricity Fin Sen'!$D$27*$D$34),0)</f>
        <v>223602.85427351284</v>
      </c>
      <c r="I100" s="580">
        <f>IF(I76&lt;=$D$36,-PPMT($D$35,I76,$D$36,'SenBiogas Electricity Fin Sen'!$D$27*$D$34),0)</f>
        <v>223602.85427351284</v>
      </c>
      <c r="J100" s="580">
        <f>IF(J76&lt;=$D$36,-PPMT($D$35,J76,$D$36,'SenBiogas Electricity Fin Sen'!$D$27*$D$34),0)</f>
        <v>223602.85427351284</v>
      </c>
      <c r="K100" s="580">
        <f>IF(K76&lt;=$D$36,-PPMT($D$35,K76,$D$36,'SenBiogas Electricity Fin Sen'!$D$27*$D$34),0)</f>
        <v>223602.85427351284</v>
      </c>
      <c r="L100" s="580">
        <f>IF(L76&lt;=$D$36,-PPMT($D$35,L76,$D$36,'SenBiogas Electricity Fin Sen'!$D$27*$D$34),0)</f>
        <v>223602.85427351284</v>
      </c>
      <c r="M100" s="580">
        <f>IF(M76&lt;=$D$36,-PPMT($D$35,M76,$D$36,'SenBiogas Electricity Fin Sen'!$D$27*$D$34),0)</f>
        <v>223602.85427351284</v>
      </c>
      <c r="N100" s="580">
        <f>IF(N76&lt;=$D$36,-PPMT($D$35,N76,$D$36,'SenBiogas Electricity Fin Sen'!$D$27*$D$34),0)</f>
        <v>223602.85427351284</v>
      </c>
      <c r="O100" s="580">
        <f>IF(O76&lt;=$D$36,-PPMT($D$35,O76,$D$36,'SenBiogas Electricity Fin Sen'!$D$27*$D$34),0)</f>
        <v>223602.85427351284</v>
      </c>
      <c r="P100" s="580">
        <f>IF(P76&lt;=$D$36,-PPMT($D$35,P76,$D$36,'SenBiogas Electricity Fin Sen'!$D$27*$D$34),0)</f>
        <v>223602.85427351284</v>
      </c>
      <c r="Q100" s="580">
        <f>IF(Q76&lt;=$D$36,-PPMT($D$35,Q76,$D$36,'SenBiogas Electricity Fin Sen'!$D$27*$D$34),0)</f>
        <v>223602.85427351284</v>
      </c>
      <c r="R100" s="716">
        <f>IF(R76&lt;=$D$36,-PPMT($D$35,R76,$D$36,'SenBiogas Electricity Fin Sen'!$D$27*$D$34),0)</f>
        <v>223602.85427351284</v>
      </c>
      <c r="S100" s="580">
        <f>IF(S76&lt;=$D$36,-PPMT($D$35,S76,$D$36,'SenBiogas Electricity Fin Sen'!$D$27*$D$34),0)</f>
        <v>223602.85427351284</v>
      </c>
      <c r="T100" s="580">
        <f>IF(T76&lt;=$D$36,-PPMT($D$35,T76,$D$36,'SenBiogas Electricity Fin Sen'!$D$27*$D$34),0)</f>
        <v>223602.85427351284</v>
      </c>
      <c r="U100" s="580">
        <f>IF(U76&lt;=$D$36,-PPMT($D$35,U76,$D$36,'SenBiogas Electricity Fin Sen'!$D$27*$D$34),0)</f>
        <v>223602.85427351284</v>
      </c>
      <c r="V100" s="580">
        <f>IF(V76&lt;=$D$36,-PPMT($D$35,V76,$D$36,'SenBiogas Electricity Fin Sen'!$D$27*$D$34),0)</f>
        <v>223602.85427351284</v>
      </c>
      <c r="W100" s="580">
        <f>IF(W76&lt;=$D$36,-PPMT($D$35,W76,$D$36,'SenBiogas Electricity Fin Sen'!$D$27*$D$34),0)</f>
        <v>223602.85427351284</v>
      </c>
      <c r="X100" s="580">
        <f>IF(X76&lt;=$D$36,-PPMT($D$35,X76,$D$36,'SenBiogas Electricity Fin Sen'!$D$27*$D$34),0)</f>
        <v>223602.85427351284</v>
      </c>
      <c r="Y100" s="580">
        <f>IF(Y76&lt;=$D$36,-PPMT($D$35,Y76,$D$36,'SenBiogas Electricity Fin Sen'!$D$27*$D$34),0)</f>
        <v>223602.85427351284</v>
      </c>
      <c r="Z100" s="580">
        <f>IF(Z76&lt;=$D$36,-PPMT($D$35,Z76,$D$36,'SenBiogas Electricity Fin Sen'!$D$27*$D$34),0)</f>
        <v>223602.85427351284</v>
      </c>
      <c r="AA100" s="580">
        <f>IF(AA76&lt;=$D$36,-PPMT($D$35,AA76,$D$36,'SenBiogas Electricity Fin Sen'!$D$27*$D$34),0)</f>
        <v>223602.85427351284</v>
      </c>
      <c r="AB100" s="580">
        <f>IF(AB76&lt;=$D$36,-PPMT($D$35,AB76,$D$36,'SenBiogas Electricity Fin Sen'!$D$27*$D$34),0)</f>
        <v>223602.85427351284</v>
      </c>
      <c r="AC100" s="580">
        <f>IF(AC76&lt;=$D$36,-PPMT($D$35,AC76,$D$36,'SenBiogas Electricity Fin Sen'!$D$27*$D$34),0)</f>
        <v>223602.85427351284</v>
      </c>
      <c r="AD100" s="580">
        <f>IF(AD76&lt;=$D$36,-PPMT($D$35,AD76,$D$36,'SenBiogas Electricity Fin Sen'!$D$27*$D$34),0)</f>
        <v>0</v>
      </c>
      <c r="AE100" s="580">
        <f>IF(AE76&lt;=$D$36,-PPMT($D$35,AE76,$D$36,'SenBiogas Electricity Fin Sen'!$D$27*$D$34),0)</f>
        <v>0</v>
      </c>
      <c r="AF100" s="580">
        <f>IF(AF76&lt;=$D$36,-PPMT($D$35,AF76,$D$36,'SenBiogas Electricity Fin Sen'!$D$27*$D$34),0)</f>
        <v>0</v>
      </c>
      <c r="AG100" s="580">
        <f>IF(AG76&lt;=$D$36,-PPMT($D$35,AG76,$D$36,'SenBiogas Electricity Fin Sen'!$D$27*$D$34),0)</f>
        <v>0</v>
      </c>
      <c r="AH100" s="580">
        <f>IF(AH76&lt;=$D$36,-PPMT($D$35,AH76,$D$36,'SenBiogas Electricity Fin Sen'!$D$27*$D$34),0)</f>
        <v>0</v>
      </c>
      <c r="AI100" s="580">
        <f>IF(AI76&lt;=$D$36,-PPMT($D$35,AI76,$D$36,'SenBiogas Electricity Fin Sen'!$D$27*$D$34),0)</f>
        <v>0</v>
      </c>
      <c r="AJ100" s="580">
        <f>IF(AJ76&lt;=$D$36,-PPMT($D$35,AJ76,$D$36,'SenBiogas Electricity Fin Sen'!$D$27*$D$34),0)</f>
        <v>0</v>
      </c>
      <c r="AK100" s="580">
        <f>IF(AK76&lt;=$D$36,-PPMT($D$35,AK76,$D$36,'SenBiogas Electricity Fin Sen'!$D$27*$D$34),0)</f>
        <v>0</v>
      </c>
      <c r="AL100" s="580">
        <f>IF(AL76&lt;=$D$36,-PPMT($D$35,AL76,$D$36,'SenBiogas Electricity Fin Sen'!$D$27*$D$34),0)</f>
        <v>0</v>
      </c>
      <c r="AM100" s="581">
        <f>IF(AM76&lt;=$D$36,-PPMT($D$35,AM76,$D$36,'SenBiogas Electricity Fin Sen'!$D$27*$D$34),0)</f>
        <v>0</v>
      </c>
    </row>
    <row r="101" spans="2:39" ht="12.95">
      <c r="B101" s="598" t="s">
        <v>430</v>
      </c>
      <c r="C101" s="583" t="s">
        <v>417</v>
      </c>
      <c r="D101" s="599">
        <f>D96</f>
        <v>5590071.3568378212</v>
      </c>
      <c r="E101" s="600">
        <f>SUM(E99:E100)+E96</f>
        <v>223602.85427351284</v>
      </c>
      <c r="F101" s="600">
        <f t="shared" ref="F101:M101" si="3">SUM(F99:F100)+F96</f>
        <v>223602.85427351284</v>
      </c>
      <c r="G101" s="600">
        <f t="shared" si="3"/>
        <v>223602.85427351284</v>
      </c>
      <c r="H101" s="600">
        <f t="shared" si="3"/>
        <v>223602.85427351284</v>
      </c>
      <c r="I101" s="600">
        <f t="shared" si="3"/>
        <v>223602.85427351284</v>
      </c>
      <c r="J101" s="600">
        <f t="shared" si="3"/>
        <v>223602.85427351284</v>
      </c>
      <c r="K101" s="600">
        <f t="shared" si="3"/>
        <v>223602.85427351284</v>
      </c>
      <c r="L101" s="600">
        <f t="shared" si="3"/>
        <v>223602.85427351284</v>
      </c>
      <c r="M101" s="600">
        <f t="shared" si="3"/>
        <v>223602.85427351284</v>
      </c>
      <c r="N101" s="600">
        <f>SUM(N99:N100)</f>
        <v>223602.85427351284</v>
      </c>
      <c r="O101" s="600">
        <f t="shared" ref="O101:AM101" si="4">SUM(O99:O100)</f>
        <v>223602.85427351284</v>
      </c>
      <c r="P101" s="600">
        <f t="shared" si="4"/>
        <v>223602.85427351284</v>
      </c>
      <c r="Q101" s="600">
        <f t="shared" si="4"/>
        <v>223602.85427351284</v>
      </c>
      <c r="R101" s="600">
        <f t="shared" si="4"/>
        <v>223602.85427351284</v>
      </c>
      <c r="S101" s="600">
        <f t="shared" si="4"/>
        <v>223602.85427351284</v>
      </c>
      <c r="T101" s="600">
        <f t="shared" si="4"/>
        <v>223602.85427351284</v>
      </c>
      <c r="U101" s="600">
        <f t="shared" si="4"/>
        <v>223602.85427351284</v>
      </c>
      <c r="V101" s="600">
        <f t="shared" si="4"/>
        <v>223602.85427351284</v>
      </c>
      <c r="W101" s="600">
        <f t="shared" si="4"/>
        <v>223602.85427351284</v>
      </c>
      <c r="X101" s="600">
        <f t="shared" si="4"/>
        <v>223602.85427351284</v>
      </c>
      <c r="Y101" s="600">
        <f t="shared" si="4"/>
        <v>223602.85427351284</v>
      </c>
      <c r="Z101" s="600">
        <f t="shared" si="4"/>
        <v>223602.85427351284</v>
      </c>
      <c r="AA101" s="600">
        <f t="shared" si="4"/>
        <v>223602.85427351284</v>
      </c>
      <c r="AB101" s="600">
        <f t="shared" si="4"/>
        <v>223602.85427351284</v>
      </c>
      <c r="AC101" s="600">
        <f t="shared" si="4"/>
        <v>223602.85427351284</v>
      </c>
      <c r="AD101" s="600">
        <f t="shared" si="4"/>
        <v>0</v>
      </c>
      <c r="AE101" s="600">
        <f t="shared" si="4"/>
        <v>0</v>
      </c>
      <c r="AF101" s="600">
        <f t="shared" si="4"/>
        <v>0</v>
      </c>
      <c r="AG101" s="600">
        <f t="shared" si="4"/>
        <v>0</v>
      </c>
      <c r="AH101" s="600">
        <f t="shared" si="4"/>
        <v>0</v>
      </c>
      <c r="AI101" s="600">
        <f t="shared" si="4"/>
        <v>0</v>
      </c>
      <c r="AJ101" s="600">
        <f t="shared" si="4"/>
        <v>0</v>
      </c>
      <c r="AK101" s="600">
        <f t="shared" si="4"/>
        <v>0</v>
      </c>
      <c r="AL101" s="600">
        <f t="shared" si="4"/>
        <v>0</v>
      </c>
      <c r="AM101" s="601">
        <f t="shared" si="4"/>
        <v>0</v>
      </c>
    </row>
    <row r="102" spans="2:39" ht="12.95">
      <c r="B102" s="479"/>
      <c r="C102" s="479"/>
      <c r="D102" s="494"/>
      <c r="E102" s="494"/>
      <c r="F102" s="494"/>
      <c r="G102" s="494"/>
      <c r="H102" s="494"/>
      <c r="I102" s="494"/>
      <c r="J102" s="494"/>
      <c r="K102" s="494"/>
      <c r="L102" s="494"/>
      <c r="M102" s="494"/>
      <c r="N102" s="494"/>
      <c r="O102" s="494"/>
      <c r="P102" s="494"/>
      <c r="Q102" s="494"/>
      <c r="R102" s="494"/>
      <c r="S102" s="494"/>
      <c r="T102" s="494"/>
      <c r="U102" s="494"/>
      <c r="V102" s="494"/>
      <c r="W102" s="494"/>
      <c r="X102" s="494"/>
      <c r="Y102" s="494"/>
      <c r="Z102" s="494"/>
      <c r="AA102" s="494"/>
      <c r="AB102" s="494"/>
      <c r="AC102" s="494"/>
      <c r="AD102" s="494"/>
      <c r="AE102" s="494"/>
      <c r="AF102" s="494"/>
      <c r="AG102" s="494"/>
      <c r="AH102" s="494"/>
      <c r="AI102" s="494"/>
      <c r="AJ102" s="494"/>
      <c r="AK102" s="494"/>
      <c r="AL102" s="494"/>
      <c r="AM102" s="494"/>
    </row>
    <row r="103" spans="2:39" ht="12.95">
      <c r="B103" s="598" t="s">
        <v>431</v>
      </c>
      <c r="C103" s="602" t="s">
        <v>417</v>
      </c>
      <c r="D103" s="599">
        <f>D101+D86+D108</f>
        <v>5675814.7859765552</v>
      </c>
      <c r="E103" s="600">
        <f>E101+E86+E107</f>
        <v>309346.28341224708</v>
      </c>
      <c r="F103" s="600">
        <f t="shared" ref="F103:AM103" si="5">F101+F86+F107</f>
        <v>309346.28341224708</v>
      </c>
      <c r="G103" s="600">
        <f t="shared" si="5"/>
        <v>309346.28341224708</v>
      </c>
      <c r="H103" s="600">
        <f t="shared" si="5"/>
        <v>309346.28341224708</v>
      </c>
      <c r="I103" s="600">
        <f t="shared" si="5"/>
        <v>309346.28341224708</v>
      </c>
      <c r="J103" s="600">
        <f t="shared" si="5"/>
        <v>309346.28341224708</v>
      </c>
      <c r="K103" s="600">
        <f t="shared" si="5"/>
        <v>309346.28341224708</v>
      </c>
      <c r="L103" s="600">
        <f t="shared" si="5"/>
        <v>309346.28341224708</v>
      </c>
      <c r="M103" s="600">
        <f t="shared" si="5"/>
        <v>309346.28341224708</v>
      </c>
      <c r="N103" s="600">
        <f t="shared" si="5"/>
        <v>309346.28341224708</v>
      </c>
      <c r="O103" s="600">
        <f t="shared" si="5"/>
        <v>309346.28341224708</v>
      </c>
      <c r="P103" s="600">
        <f t="shared" si="5"/>
        <v>309346.28341224708</v>
      </c>
      <c r="Q103" s="600">
        <f t="shared" si="5"/>
        <v>309346.28341224708</v>
      </c>
      <c r="R103" s="600">
        <f t="shared" si="5"/>
        <v>309346.28341224708</v>
      </c>
      <c r="S103" s="600">
        <f t="shared" si="5"/>
        <v>309346.28341224708</v>
      </c>
      <c r="T103" s="600">
        <f t="shared" si="5"/>
        <v>309346.28341224708</v>
      </c>
      <c r="U103" s="600">
        <f t="shared" si="5"/>
        <v>309346.28341224708</v>
      </c>
      <c r="V103" s="600">
        <f t="shared" si="5"/>
        <v>309346.28341224708</v>
      </c>
      <c r="W103" s="600">
        <f t="shared" si="5"/>
        <v>309346.28341224708</v>
      </c>
      <c r="X103" s="600">
        <f t="shared" si="5"/>
        <v>309346.28341224708</v>
      </c>
      <c r="Y103" s="600">
        <f t="shared" si="5"/>
        <v>309346.28341224708</v>
      </c>
      <c r="Z103" s="600">
        <f t="shared" si="5"/>
        <v>309346.28341224708</v>
      </c>
      <c r="AA103" s="600">
        <f t="shared" si="5"/>
        <v>309346.28341224708</v>
      </c>
      <c r="AB103" s="600">
        <f t="shared" si="5"/>
        <v>309346.28341224708</v>
      </c>
      <c r="AC103" s="600">
        <f t="shared" si="5"/>
        <v>1866371.7216288364</v>
      </c>
      <c r="AD103" s="600">
        <f t="shared" si="5"/>
        <v>0</v>
      </c>
      <c r="AE103" s="600">
        <f t="shared" si="5"/>
        <v>0</v>
      </c>
      <c r="AF103" s="600">
        <f t="shared" si="5"/>
        <v>0</v>
      </c>
      <c r="AG103" s="600">
        <f t="shared" si="5"/>
        <v>0</v>
      </c>
      <c r="AH103" s="600">
        <f t="shared" si="5"/>
        <v>0</v>
      </c>
      <c r="AI103" s="600">
        <f t="shared" si="5"/>
        <v>0</v>
      </c>
      <c r="AJ103" s="600">
        <f t="shared" si="5"/>
        <v>0</v>
      </c>
      <c r="AK103" s="600">
        <f t="shared" si="5"/>
        <v>0</v>
      </c>
      <c r="AL103" s="600">
        <f t="shared" si="5"/>
        <v>0</v>
      </c>
      <c r="AM103" s="601">
        <f t="shared" si="5"/>
        <v>0</v>
      </c>
    </row>
    <row r="104" spans="2:39">
      <c r="B104" s="478"/>
      <c r="C104" s="485"/>
      <c r="D104" s="476"/>
      <c r="E104" s="476"/>
      <c r="F104" s="476"/>
      <c r="G104" s="476"/>
      <c r="H104" s="476"/>
      <c r="I104" s="476"/>
      <c r="J104" s="476"/>
      <c r="K104" s="476"/>
      <c r="L104" s="476"/>
      <c r="M104" s="476"/>
      <c r="N104" s="476"/>
      <c r="O104" s="476"/>
      <c r="P104" s="476"/>
      <c r="Q104" s="476"/>
      <c r="R104" s="476"/>
      <c r="S104" s="476"/>
      <c r="T104" s="476"/>
      <c r="U104" s="476"/>
      <c r="V104" s="476"/>
      <c r="W104" s="476"/>
      <c r="X104" s="476"/>
      <c r="Y104" s="476"/>
      <c r="Z104" s="476"/>
      <c r="AA104" s="476"/>
      <c r="AB104" s="476"/>
      <c r="AC104" s="476"/>
      <c r="AD104" s="476"/>
      <c r="AE104" s="476"/>
      <c r="AF104" s="476"/>
      <c r="AG104" s="476"/>
      <c r="AH104" s="476"/>
      <c r="AI104" s="476"/>
      <c r="AJ104" s="476"/>
      <c r="AK104" s="476"/>
      <c r="AL104" s="476"/>
      <c r="AM104" s="476"/>
    </row>
    <row r="105" spans="2:39" ht="12.95">
      <c r="B105" s="495"/>
      <c r="D105" s="496" t="s">
        <v>432</v>
      </c>
      <c r="E105" s="496" t="s">
        <v>433</v>
      </c>
      <c r="R105" s="474"/>
    </row>
    <row r="106" spans="2:39">
      <c r="R106" s="474"/>
    </row>
    <row r="107" spans="2:39" s="496" customFormat="1" ht="12.95">
      <c r="B107" s="565" t="s">
        <v>434</v>
      </c>
      <c r="C107" s="592" t="s">
        <v>417</v>
      </c>
      <c r="D107" s="599"/>
      <c r="E107" s="600">
        <f t="shared" ref="E107:AM107" si="6">IF(E76&lt;=$D37,$D108*$D38,0)</f>
        <v>0</v>
      </c>
      <c r="F107" s="600">
        <f t="shared" si="6"/>
        <v>0</v>
      </c>
      <c r="G107" s="600">
        <f t="shared" si="6"/>
        <v>0</v>
      </c>
      <c r="H107" s="600">
        <f t="shared" si="6"/>
        <v>0</v>
      </c>
      <c r="I107" s="600">
        <f t="shared" si="6"/>
        <v>0</v>
      </c>
      <c r="J107" s="600">
        <f t="shared" si="6"/>
        <v>0</v>
      </c>
      <c r="K107" s="600">
        <f t="shared" si="6"/>
        <v>0</v>
      </c>
      <c r="L107" s="600">
        <f t="shared" si="6"/>
        <v>0</v>
      </c>
      <c r="M107" s="600">
        <f t="shared" si="6"/>
        <v>0</v>
      </c>
      <c r="N107" s="600">
        <f t="shared" si="6"/>
        <v>0</v>
      </c>
      <c r="O107" s="600">
        <f t="shared" si="6"/>
        <v>0</v>
      </c>
      <c r="P107" s="600">
        <f t="shared" si="6"/>
        <v>0</v>
      </c>
      <c r="Q107" s="600">
        <f t="shared" si="6"/>
        <v>0</v>
      </c>
      <c r="R107" s="600">
        <f t="shared" si="6"/>
        <v>0</v>
      </c>
      <c r="S107" s="600">
        <f t="shared" si="6"/>
        <v>0</v>
      </c>
      <c r="T107" s="600">
        <f t="shared" si="6"/>
        <v>0</v>
      </c>
      <c r="U107" s="600">
        <f t="shared" si="6"/>
        <v>0</v>
      </c>
      <c r="V107" s="600">
        <f t="shared" si="6"/>
        <v>0</v>
      </c>
      <c r="W107" s="600">
        <f t="shared" si="6"/>
        <v>0</v>
      </c>
      <c r="X107" s="600">
        <f t="shared" si="6"/>
        <v>0</v>
      </c>
      <c r="Y107" s="600">
        <f t="shared" si="6"/>
        <v>0</v>
      </c>
      <c r="Z107" s="600">
        <f t="shared" si="6"/>
        <v>0</v>
      </c>
      <c r="AA107" s="600">
        <f t="shared" si="6"/>
        <v>0</v>
      </c>
      <c r="AB107" s="600">
        <f t="shared" si="6"/>
        <v>0</v>
      </c>
      <c r="AC107" s="600">
        <f t="shared" si="6"/>
        <v>0</v>
      </c>
      <c r="AD107" s="600">
        <f t="shared" si="6"/>
        <v>0</v>
      </c>
      <c r="AE107" s="600">
        <f t="shared" si="6"/>
        <v>0</v>
      </c>
      <c r="AF107" s="600">
        <f t="shared" si="6"/>
        <v>0</v>
      </c>
      <c r="AG107" s="600">
        <f t="shared" si="6"/>
        <v>0</v>
      </c>
      <c r="AH107" s="600">
        <f t="shared" si="6"/>
        <v>0</v>
      </c>
      <c r="AI107" s="600">
        <f t="shared" si="6"/>
        <v>0</v>
      </c>
      <c r="AJ107" s="600">
        <f t="shared" si="6"/>
        <v>0</v>
      </c>
      <c r="AK107" s="600">
        <f t="shared" si="6"/>
        <v>0</v>
      </c>
      <c r="AL107" s="600">
        <f t="shared" si="6"/>
        <v>0</v>
      </c>
      <c r="AM107" s="601">
        <f t="shared" si="6"/>
        <v>0</v>
      </c>
    </row>
    <row r="108" spans="2:39">
      <c r="B108" s="561" t="s">
        <v>435</v>
      </c>
      <c r="C108" s="545" t="s">
        <v>331</v>
      </c>
      <c r="D108" s="603">
        <f>'SenBiogas Electricity Fin Sen'!D27*(1-D34)</f>
        <v>0</v>
      </c>
      <c r="R108" s="474"/>
    </row>
    <row r="109" spans="2:39">
      <c r="D109" s="487"/>
      <c r="R109" s="474"/>
    </row>
    <row r="110" spans="2:39" s="497" customFormat="1" ht="12.95">
      <c r="B110" s="561" t="s">
        <v>436</v>
      </c>
      <c r="C110" s="545" t="s">
        <v>437</v>
      </c>
      <c r="D110" s="604">
        <f>D78/((1+$D41)^D76)</f>
        <v>9527047.6820815783</v>
      </c>
      <c r="E110" s="605">
        <f t="shared" ref="E110:AM110" si="7">E78/((1+$D41)^E76)</f>
        <v>7939206.4017346492</v>
      </c>
      <c r="F110" s="605">
        <f t="shared" si="7"/>
        <v>6616005.3347788742</v>
      </c>
      <c r="G110" s="605">
        <f t="shared" si="7"/>
        <v>5513337.7789823953</v>
      </c>
      <c r="H110" s="605">
        <f t="shared" si="7"/>
        <v>4594448.1491519958</v>
      </c>
      <c r="I110" s="605">
        <f t="shared" si="7"/>
        <v>3828706.7909599966</v>
      </c>
      <c r="J110" s="605">
        <f t="shared" si="7"/>
        <v>3190588.9924666639</v>
      </c>
      <c r="K110" s="605">
        <f t="shared" si="7"/>
        <v>2658824.1603888865</v>
      </c>
      <c r="L110" s="605">
        <f t="shared" si="7"/>
        <v>2215686.8003240721</v>
      </c>
      <c r="M110" s="605">
        <f t="shared" si="7"/>
        <v>1846405.6669367268</v>
      </c>
      <c r="N110" s="605">
        <f t="shared" si="7"/>
        <v>1538671.3891139391</v>
      </c>
      <c r="O110" s="605">
        <f t="shared" si="7"/>
        <v>1282226.1575949492</v>
      </c>
      <c r="P110" s="605">
        <f t="shared" si="7"/>
        <v>1068521.7979957911</v>
      </c>
      <c r="Q110" s="605">
        <f t="shared" si="7"/>
        <v>890434.83166315919</v>
      </c>
      <c r="R110" s="717">
        <f t="shared" si="7"/>
        <v>742029.02638596611</v>
      </c>
      <c r="S110" s="605">
        <f t="shared" si="7"/>
        <v>618357.52198830503</v>
      </c>
      <c r="T110" s="605">
        <f t="shared" si="7"/>
        <v>515297.93499025429</v>
      </c>
      <c r="U110" s="605">
        <f t="shared" si="7"/>
        <v>429414.94582521194</v>
      </c>
      <c r="V110" s="605">
        <f t="shared" si="7"/>
        <v>357845.78818767658</v>
      </c>
      <c r="W110" s="605">
        <f t="shared" si="7"/>
        <v>298204.82348973048</v>
      </c>
      <c r="X110" s="605">
        <f t="shared" si="7"/>
        <v>248504.01957477542</v>
      </c>
      <c r="Y110" s="605">
        <f t="shared" si="7"/>
        <v>207086.68297897952</v>
      </c>
      <c r="Z110" s="605">
        <f t="shared" si="7"/>
        <v>172572.23581581627</v>
      </c>
      <c r="AA110" s="605">
        <f t="shared" si="7"/>
        <v>143810.19651318024</v>
      </c>
      <c r="AB110" s="605">
        <f t="shared" si="7"/>
        <v>119841.8304276502</v>
      </c>
      <c r="AC110" s="605">
        <f t="shared" si="7"/>
        <v>99868.192023041818</v>
      </c>
      <c r="AD110" s="605">
        <f t="shared" si="7"/>
        <v>0</v>
      </c>
      <c r="AE110" s="605">
        <f t="shared" si="7"/>
        <v>0</v>
      </c>
      <c r="AF110" s="605">
        <f t="shared" si="7"/>
        <v>0</v>
      </c>
      <c r="AG110" s="605">
        <f t="shared" si="7"/>
        <v>0</v>
      </c>
      <c r="AH110" s="605">
        <f t="shared" si="7"/>
        <v>0</v>
      </c>
      <c r="AI110" s="605">
        <f t="shared" si="7"/>
        <v>0</v>
      </c>
      <c r="AJ110" s="605">
        <f t="shared" si="7"/>
        <v>0</v>
      </c>
      <c r="AK110" s="605">
        <f t="shared" si="7"/>
        <v>0</v>
      </c>
      <c r="AL110" s="605">
        <f t="shared" si="7"/>
        <v>0</v>
      </c>
      <c r="AM110" s="606">
        <f t="shared" si="7"/>
        <v>0</v>
      </c>
    </row>
    <row r="111" spans="2:39" s="497" customFormat="1" ht="12.95">
      <c r="B111" s="577" t="s">
        <v>438</v>
      </c>
      <c r="C111" s="607" t="s">
        <v>439</v>
      </c>
      <c r="D111" s="579">
        <f t="shared" ref="D111:AM111" si="8">D103/(1+$D41)^D76</f>
        <v>5675814.7859765552</v>
      </c>
      <c r="E111" s="580">
        <f t="shared" si="8"/>
        <v>257788.56951020591</v>
      </c>
      <c r="F111" s="580">
        <f t="shared" si="8"/>
        <v>214823.8079251716</v>
      </c>
      <c r="G111" s="580">
        <f t="shared" si="8"/>
        <v>179019.839937643</v>
      </c>
      <c r="H111" s="580">
        <f t="shared" si="8"/>
        <v>149183.19994803582</v>
      </c>
      <c r="I111" s="580">
        <f t="shared" si="8"/>
        <v>124319.33329002986</v>
      </c>
      <c r="J111" s="580">
        <f t="shared" si="8"/>
        <v>103599.44440835822</v>
      </c>
      <c r="K111" s="580">
        <f t="shared" si="8"/>
        <v>86332.870340298512</v>
      </c>
      <c r="L111" s="580">
        <f t="shared" si="8"/>
        <v>71944.058616915441</v>
      </c>
      <c r="M111" s="580">
        <f t="shared" si="8"/>
        <v>59953.382180762863</v>
      </c>
      <c r="N111" s="580">
        <f t="shared" si="8"/>
        <v>49961.151817302387</v>
      </c>
      <c r="O111" s="580">
        <f t="shared" si="8"/>
        <v>41634.293181085319</v>
      </c>
      <c r="P111" s="580">
        <f t="shared" si="8"/>
        <v>34695.244317571101</v>
      </c>
      <c r="Q111" s="580">
        <f t="shared" si="8"/>
        <v>28912.703597975917</v>
      </c>
      <c r="R111" s="716">
        <f t="shared" si="8"/>
        <v>24093.919664979934</v>
      </c>
      <c r="S111" s="580">
        <f t="shared" si="8"/>
        <v>20078.266387483276</v>
      </c>
      <c r="T111" s="580">
        <f t="shared" si="8"/>
        <v>16731.888656236068</v>
      </c>
      <c r="U111" s="580">
        <f t="shared" si="8"/>
        <v>13943.24054686339</v>
      </c>
      <c r="V111" s="580">
        <f t="shared" si="8"/>
        <v>11619.367122386158</v>
      </c>
      <c r="W111" s="580">
        <f t="shared" si="8"/>
        <v>9682.8059353217977</v>
      </c>
      <c r="X111" s="580">
        <f t="shared" si="8"/>
        <v>8069.0049461014978</v>
      </c>
      <c r="Y111" s="580">
        <f t="shared" si="8"/>
        <v>6724.1707884179159</v>
      </c>
      <c r="Z111" s="580">
        <f t="shared" si="8"/>
        <v>5603.4756570149302</v>
      </c>
      <c r="AA111" s="580">
        <f t="shared" si="8"/>
        <v>4669.5630475124417</v>
      </c>
      <c r="AB111" s="580">
        <f t="shared" si="8"/>
        <v>3891.3025395937016</v>
      </c>
      <c r="AC111" s="580">
        <f t="shared" si="8"/>
        <v>19564.420763062553</v>
      </c>
      <c r="AD111" s="580">
        <f t="shared" si="8"/>
        <v>0</v>
      </c>
      <c r="AE111" s="580">
        <f t="shared" si="8"/>
        <v>0</v>
      </c>
      <c r="AF111" s="580">
        <f t="shared" si="8"/>
        <v>0</v>
      </c>
      <c r="AG111" s="580">
        <f t="shared" si="8"/>
        <v>0</v>
      </c>
      <c r="AH111" s="580">
        <f t="shared" si="8"/>
        <v>0</v>
      </c>
      <c r="AI111" s="580">
        <f t="shared" si="8"/>
        <v>0</v>
      </c>
      <c r="AJ111" s="580">
        <f t="shared" si="8"/>
        <v>0</v>
      </c>
      <c r="AK111" s="580">
        <f t="shared" si="8"/>
        <v>0</v>
      </c>
      <c r="AL111" s="580">
        <f t="shared" si="8"/>
        <v>0</v>
      </c>
      <c r="AM111" s="581">
        <f t="shared" si="8"/>
        <v>0</v>
      </c>
    </row>
    <row r="112" spans="2:39" s="497" customFormat="1" ht="12.95">
      <c r="B112" s="608" t="s">
        <v>440</v>
      </c>
      <c r="C112" s="609" t="s">
        <v>441</v>
      </c>
      <c r="D112" s="610">
        <f t="shared" ref="D112:AM112" si="9">(D103-D130)/(1+$D41)^D76</f>
        <v>5864831.4119890537</v>
      </c>
      <c r="E112" s="611">
        <f t="shared" si="9"/>
        <v>415302.42452062137</v>
      </c>
      <c r="F112" s="611">
        <f t="shared" si="9"/>
        <v>346085.35376718442</v>
      </c>
      <c r="G112" s="611">
        <f t="shared" si="9"/>
        <v>288404.46147265373</v>
      </c>
      <c r="H112" s="611">
        <f t="shared" si="9"/>
        <v>240337.05122721143</v>
      </c>
      <c r="I112" s="611">
        <f t="shared" si="9"/>
        <v>200280.87602267618</v>
      </c>
      <c r="J112" s="611">
        <f t="shared" si="9"/>
        <v>166900.73001889684</v>
      </c>
      <c r="K112" s="611">
        <f t="shared" si="9"/>
        <v>139083.94168241404</v>
      </c>
      <c r="L112" s="611">
        <f t="shared" si="9"/>
        <v>115903.28473534503</v>
      </c>
      <c r="M112" s="611">
        <f t="shared" si="9"/>
        <v>96586.070612787516</v>
      </c>
      <c r="N112" s="611">
        <f t="shared" si="9"/>
        <v>80488.392177322938</v>
      </c>
      <c r="O112" s="611">
        <f t="shared" si="9"/>
        <v>67073.660147769115</v>
      </c>
      <c r="P112" s="611">
        <f t="shared" si="9"/>
        <v>55894.7167898076</v>
      </c>
      <c r="Q112" s="611">
        <f t="shared" si="9"/>
        <v>46578.930658172998</v>
      </c>
      <c r="R112" s="611">
        <f t="shared" si="9"/>
        <v>38815.775548477504</v>
      </c>
      <c r="S112" s="611">
        <f t="shared" si="9"/>
        <v>32346.479623731251</v>
      </c>
      <c r="T112" s="611">
        <f t="shared" si="9"/>
        <v>26955.399686442714</v>
      </c>
      <c r="U112" s="611">
        <f t="shared" si="9"/>
        <v>22462.833072035595</v>
      </c>
      <c r="V112" s="611">
        <f t="shared" si="9"/>
        <v>18719.027560029663</v>
      </c>
      <c r="W112" s="611">
        <f t="shared" si="9"/>
        <v>15599.18963335805</v>
      </c>
      <c r="X112" s="611">
        <f t="shared" si="9"/>
        <v>12999.324694465042</v>
      </c>
      <c r="Y112" s="611">
        <f t="shared" si="9"/>
        <v>10832.770578720869</v>
      </c>
      <c r="Z112" s="611">
        <f t="shared" si="9"/>
        <v>9027.3088156007252</v>
      </c>
      <c r="AA112" s="611">
        <f t="shared" si="9"/>
        <v>7522.7573463339377</v>
      </c>
      <c r="AB112" s="611">
        <f t="shared" si="9"/>
        <v>6268.964455278282</v>
      </c>
      <c r="AC112" s="611">
        <f t="shared" si="9"/>
        <v>21651.066767191987</v>
      </c>
      <c r="AD112" s="611">
        <f t="shared" si="9"/>
        <v>0</v>
      </c>
      <c r="AE112" s="611">
        <f t="shared" si="9"/>
        <v>0</v>
      </c>
      <c r="AF112" s="611">
        <f t="shared" si="9"/>
        <v>0</v>
      </c>
      <c r="AG112" s="611">
        <f t="shared" si="9"/>
        <v>0</v>
      </c>
      <c r="AH112" s="611">
        <f t="shared" si="9"/>
        <v>0</v>
      </c>
      <c r="AI112" s="611">
        <f t="shared" si="9"/>
        <v>0</v>
      </c>
      <c r="AJ112" s="611">
        <f t="shared" si="9"/>
        <v>0</v>
      </c>
      <c r="AK112" s="611">
        <f t="shared" si="9"/>
        <v>0</v>
      </c>
      <c r="AL112" s="611">
        <f t="shared" si="9"/>
        <v>0</v>
      </c>
      <c r="AM112" s="612">
        <f t="shared" si="9"/>
        <v>0</v>
      </c>
    </row>
    <row r="113" spans="1:39" s="497" customFormat="1" ht="12.95">
      <c r="B113" s="577" t="s">
        <v>442</v>
      </c>
      <c r="C113" s="607" t="s">
        <v>439</v>
      </c>
      <c r="D113" s="579">
        <f t="shared" ref="D113:AM113" si="10">(D149)/(1+$D41)^D76</f>
        <v>762163.81456652633</v>
      </c>
      <c r="E113" s="580">
        <f t="shared" si="10"/>
        <v>635136.51213877194</v>
      </c>
      <c r="F113" s="580">
        <f t="shared" si="10"/>
        <v>529280.42678231001</v>
      </c>
      <c r="G113" s="580">
        <f t="shared" si="10"/>
        <v>441067.02231859165</v>
      </c>
      <c r="H113" s="580">
        <f t="shared" si="10"/>
        <v>367555.85193215968</v>
      </c>
      <c r="I113" s="580">
        <f t="shared" si="10"/>
        <v>306296.54327679978</v>
      </c>
      <c r="J113" s="580">
        <f t="shared" si="10"/>
        <v>255247.11939733312</v>
      </c>
      <c r="K113" s="580">
        <f t="shared" si="10"/>
        <v>212705.93283111096</v>
      </c>
      <c r="L113" s="580">
        <f t="shared" si="10"/>
        <v>177254.9440259258</v>
      </c>
      <c r="M113" s="580">
        <f t="shared" si="10"/>
        <v>147712.45335493816</v>
      </c>
      <c r="N113" s="580">
        <f t="shared" si="10"/>
        <v>123093.71112911514</v>
      </c>
      <c r="O113" s="580">
        <f t="shared" si="10"/>
        <v>102578.09260759596</v>
      </c>
      <c r="P113" s="580">
        <f t="shared" si="10"/>
        <v>85481.743839663293</v>
      </c>
      <c r="Q113" s="580">
        <f t="shared" si="10"/>
        <v>71234.786533052742</v>
      </c>
      <c r="R113" s="716">
        <f t="shared" si="10"/>
        <v>59362.322110877292</v>
      </c>
      <c r="S113" s="580">
        <f t="shared" si="10"/>
        <v>49468.601759064411</v>
      </c>
      <c r="T113" s="580">
        <f t="shared" si="10"/>
        <v>41223.834799220349</v>
      </c>
      <c r="U113" s="580">
        <f t="shared" si="10"/>
        <v>34353.195666016953</v>
      </c>
      <c r="V113" s="580">
        <f t="shared" si="10"/>
        <v>28627.663055014131</v>
      </c>
      <c r="W113" s="580">
        <f t="shared" si="10"/>
        <v>23856.385879178441</v>
      </c>
      <c r="X113" s="580">
        <f t="shared" si="10"/>
        <v>19880.321565982034</v>
      </c>
      <c r="Y113" s="580">
        <f t="shared" si="10"/>
        <v>16566.934638318362</v>
      </c>
      <c r="Z113" s="580">
        <f t="shared" si="10"/>
        <v>13805.778865265303</v>
      </c>
      <c r="AA113" s="580">
        <f t="shared" si="10"/>
        <v>11504.81572105442</v>
      </c>
      <c r="AB113" s="580">
        <f t="shared" si="10"/>
        <v>9587.3464342120169</v>
      </c>
      <c r="AC113" s="580">
        <f t="shared" si="10"/>
        <v>7989.4553618433465</v>
      </c>
      <c r="AD113" s="580">
        <f t="shared" si="10"/>
        <v>0</v>
      </c>
      <c r="AE113" s="580">
        <f t="shared" si="10"/>
        <v>0</v>
      </c>
      <c r="AF113" s="580">
        <f t="shared" si="10"/>
        <v>0</v>
      </c>
      <c r="AG113" s="580">
        <f t="shared" si="10"/>
        <v>0</v>
      </c>
      <c r="AH113" s="580">
        <f t="shared" si="10"/>
        <v>0</v>
      </c>
      <c r="AI113" s="580">
        <f t="shared" si="10"/>
        <v>0</v>
      </c>
      <c r="AJ113" s="580">
        <f t="shared" si="10"/>
        <v>0</v>
      </c>
      <c r="AK113" s="580">
        <f t="shared" si="10"/>
        <v>0</v>
      </c>
      <c r="AL113" s="580">
        <f t="shared" si="10"/>
        <v>0</v>
      </c>
      <c r="AM113" s="581">
        <f t="shared" si="10"/>
        <v>0</v>
      </c>
    </row>
    <row r="114" spans="1:39" s="497" customFormat="1" ht="12.95">
      <c r="B114" s="577" t="s">
        <v>443</v>
      </c>
      <c r="C114" s="607" t="s">
        <v>439</v>
      </c>
      <c r="D114" s="579">
        <f t="shared" ref="D114:AM114" si="11">(D124)/(1+$D41)^D76</f>
        <v>-452220.11741771008</v>
      </c>
      <c r="E114" s="580">
        <f t="shared" si="11"/>
        <v>-376850.09784809174</v>
      </c>
      <c r="F114" s="580">
        <f t="shared" si="11"/>
        <v>-314041.7482067431</v>
      </c>
      <c r="G114" s="580">
        <f t="shared" si="11"/>
        <v>-261701.45683895258</v>
      </c>
      <c r="H114" s="580">
        <f t="shared" si="11"/>
        <v>-218084.54736579384</v>
      </c>
      <c r="I114" s="580">
        <f t="shared" si="11"/>
        <v>-181737.12280482819</v>
      </c>
      <c r="J114" s="580">
        <f t="shared" si="11"/>
        <v>-151447.60233735683</v>
      </c>
      <c r="K114" s="580">
        <f t="shared" si="11"/>
        <v>-126206.3352811307</v>
      </c>
      <c r="L114" s="580">
        <f t="shared" si="11"/>
        <v>-105171.94606760892</v>
      </c>
      <c r="M114" s="580">
        <f t="shared" si="11"/>
        <v>-87643.288389674097</v>
      </c>
      <c r="N114" s="580">
        <f t="shared" si="11"/>
        <v>-73036.073658061752</v>
      </c>
      <c r="O114" s="580">
        <f t="shared" si="11"/>
        <v>-60863.394715051458</v>
      </c>
      <c r="P114" s="580">
        <f t="shared" si="11"/>
        <v>-50719.495595876222</v>
      </c>
      <c r="Q114" s="580">
        <f t="shared" si="11"/>
        <v>-42266.246329896851</v>
      </c>
      <c r="R114" s="716">
        <f t="shared" si="11"/>
        <v>-35221.871941580714</v>
      </c>
      <c r="S114" s="580">
        <f t="shared" si="11"/>
        <v>-29351.559951317256</v>
      </c>
      <c r="T114" s="580">
        <f t="shared" si="11"/>
        <v>-24459.633292764385</v>
      </c>
      <c r="U114" s="580">
        <f t="shared" si="11"/>
        <v>-20383.02774397032</v>
      </c>
      <c r="V114" s="580">
        <f t="shared" si="11"/>
        <v>-16985.856453308599</v>
      </c>
      <c r="W114" s="580">
        <f t="shared" si="11"/>
        <v>-14154.880377757167</v>
      </c>
      <c r="X114" s="580">
        <f t="shared" si="11"/>
        <v>-11795.733648130972</v>
      </c>
      <c r="Y114" s="580">
        <f t="shared" si="11"/>
        <v>-9829.7780401091441</v>
      </c>
      <c r="Z114" s="580">
        <f t="shared" si="11"/>
        <v>-8191.4817000909543</v>
      </c>
      <c r="AA114" s="580">
        <f t="shared" si="11"/>
        <v>-6826.2347500757951</v>
      </c>
      <c r="AB114" s="580">
        <f t="shared" si="11"/>
        <v>-5688.5289583964959</v>
      </c>
      <c r="AC114" s="580">
        <f t="shared" si="11"/>
        <v>-4740.4407986637461</v>
      </c>
      <c r="AD114" s="580">
        <f t="shared" si="11"/>
        <v>0</v>
      </c>
      <c r="AE114" s="580">
        <f t="shared" si="11"/>
        <v>0</v>
      </c>
      <c r="AF114" s="580">
        <f t="shared" si="11"/>
        <v>0</v>
      </c>
      <c r="AG114" s="580">
        <f t="shared" si="11"/>
        <v>0</v>
      </c>
      <c r="AH114" s="580">
        <f t="shared" si="11"/>
        <v>0</v>
      </c>
      <c r="AI114" s="580">
        <f t="shared" si="11"/>
        <v>0</v>
      </c>
      <c r="AJ114" s="580">
        <f t="shared" si="11"/>
        <v>0</v>
      </c>
      <c r="AK114" s="580">
        <f t="shared" si="11"/>
        <v>0</v>
      </c>
      <c r="AL114" s="580">
        <f t="shared" si="11"/>
        <v>0</v>
      </c>
      <c r="AM114" s="581">
        <f t="shared" si="11"/>
        <v>0</v>
      </c>
    </row>
    <row r="115" spans="1:39" s="497" customFormat="1" ht="12.95">
      <c r="B115" s="577" t="s">
        <v>444</v>
      </c>
      <c r="C115" s="607" t="s">
        <v>439</v>
      </c>
      <c r="D115" s="579">
        <f t="shared" ref="D115:AM115" si="12">(D130)/(1+$D41)^D76</f>
        <v>-189016.62601249851</v>
      </c>
      <c r="E115" s="580">
        <f t="shared" si="12"/>
        <v>-157513.85501041543</v>
      </c>
      <c r="F115" s="580">
        <f t="shared" si="12"/>
        <v>-131261.54584201286</v>
      </c>
      <c r="G115" s="580">
        <f t="shared" si="12"/>
        <v>-109384.62153501071</v>
      </c>
      <c r="H115" s="580">
        <f t="shared" si="12"/>
        <v>-91153.851279175593</v>
      </c>
      <c r="I115" s="580">
        <f t="shared" si="12"/>
        <v>-75961.54273264634</v>
      </c>
      <c r="J115" s="580">
        <f t="shared" si="12"/>
        <v>-63301.285610538609</v>
      </c>
      <c r="K115" s="580">
        <f t="shared" si="12"/>
        <v>-52751.071342115509</v>
      </c>
      <c r="L115" s="580">
        <f t="shared" si="12"/>
        <v>-43959.226118429593</v>
      </c>
      <c r="M115" s="580">
        <f t="shared" si="12"/>
        <v>-36632.688432024661</v>
      </c>
      <c r="N115" s="580">
        <f t="shared" si="12"/>
        <v>-30527.240360020551</v>
      </c>
      <c r="O115" s="580">
        <f t="shared" si="12"/>
        <v>-25439.366966683792</v>
      </c>
      <c r="P115" s="580">
        <f t="shared" si="12"/>
        <v>-21199.472472236495</v>
      </c>
      <c r="Q115" s="580">
        <f t="shared" si="12"/>
        <v>-17666.227060197078</v>
      </c>
      <c r="R115" s="716">
        <f t="shared" si="12"/>
        <v>-14721.855883497568</v>
      </c>
      <c r="S115" s="580">
        <f t="shared" si="12"/>
        <v>-12268.213236247972</v>
      </c>
      <c r="T115" s="580">
        <f t="shared" si="12"/>
        <v>-10223.511030206646</v>
      </c>
      <c r="U115" s="580">
        <f t="shared" si="12"/>
        <v>-8519.5925251722038</v>
      </c>
      <c r="V115" s="580">
        <f t="shared" si="12"/>
        <v>-7099.6604376435034</v>
      </c>
      <c r="W115" s="580">
        <f t="shared" si="12"/>
        <v>-5916.383698036253</v>
      </c>
      <c r="X115" s="580">
        <f t="shared" si="12"/>
        <v>-4930.319748363544</v>
      </c>
      <c r="Y115" s="580">
        <f t="shared" si="12"/>
        <v>-4108.5997903029538</v>
      </c>
      <c r="Z115" s="580">
        <f t="shared" si="12"/>
        <v>-3423.833158585795</v>
      </c>
      <c r="AA115" s="580">
        <f t="shared" si="12"/>
        <v>-2853.194298821496</v>
      </c>
      <c r="AB115" s="580">
        <f t="shared" si="12"/>
        <v>-2377.66191568458</v>
      </c>
      <c r="AC115" s="580">
        <f t="shared" si="12"/>
        <v>-2086.6460041294363</v>
      </c>
      <c r="AD115" s="580">
        <f t="shared" si="12"/>
        <v>0</v>
      </c>
      <c r="AE115" s="580">
        <f t="shared" si="12"/>
        <v>0</v>
      </c>
      <c r="AF115" s="580">
        <f t="shared" si="12"/>
        <v>0</v>
      </c>
      <c r="AG115" s="580">
        <f t="shared" si="12"/>
        <v>0</v>
      </c>
      <c r="AH115" s="580">
        <f t="shared" si="12"/>
        <v>0</v>
      </c>
      <c r="AI115" s="580">
        <f t="shared" si="12"/>
        <v>0</v>
      </c>
      <c r="AJ115" s="580">
        <f t="shared" si="12"/>
        <v>0</v>
      </c>
      <c r="AK115" s="580">
        <f t="shared" si="12"/>
        <v>0</v>
      </c>
      <c r="AL115" s="580">
        <f t="shared" si="12"/>
        <v>0</v>
      </c>
      <c r="AM115" s="581">
        <f t="shared" si="12"/>
        <v>0</v>
      </c>
    </row>
    <row r="116" spans="1:39" s="497" customFormat="1" ht="12.95">
      <c r="B116" s="498"/>
      <c r="C116" s="499"/>
      <c r="D116" s="500"/>
      <c r="E116" s="500"/>
      <c r="F116" s="500"/>
      <c r="G116" s="500"/>
      <c r="H116" s="500"/>
      <c r="I116" s="500"/>
      <c r="J116" s="500"/>
      <c r="K116" s="500"/>
      <c r="L116" s="500"/>
      <c r="M116" s="500"/>
      <c r="N116" s="500"/>
      <c r="O116" s="500"/>
      <c r="P116" s="500"/>
      <c r="Q116" s="500"/>
      <c r="R116" s="500"/>
      <c r="S116" s="500"/>
      <c r="T116" s="500"/>
      <c r="U116" s="500"/>
      <c r="V116" s="500"/>
      <c r="W116" s="500"/>
      <c r="X116" s="500"/>
      <c r="Y116" s="500"/>
      <c r="Z116" s="500"/>
      <c r="AA116" s="500"/>
      <c r="AB116" s="500"/>
      <c r="AC116" s="500"/>
      <c r="AD116" s="500"/>
      <c r="AE116" s="500"/>
      <c r="AF116" s="500"/>
      <c r="AG116" s="500"/>
      <c r="AH116" s="500"/>
      <c r="AI116" s="500"/>
      <c r="AJ116" s="500"/>
      <c r="AK116" s="500"/>
      <c r="AL116" s="500"/>
      <c r="AM116" s="500"/>
    </row>
    <row r="117" spans="1:39">
      <c r="R117" s="474"/>
    </row>
    <row r="118" spans="1:39" ht="12.95">
      <c r="B118" s="565" t="s">
        <v>445</v>
      </c>
      <c r="C118" s="592" t="s">
        <v>364</v>
      </c>
      <c r="R118" s="474"/>
    </row>
    <row r="119" spans="1:39">
      <c r="B119" s="561" t="str">
        <f>'SolarPV Financial Analysis'!B117</f>
        <v>Annual emissions Avoided (tCO2eq)</v>
      </c>
      <c r="C119" s="594" t="s">
        <v>446</v>
      </c>
      <c r="D119" s="724">
        <f>D78*(0-$D$23)/$C$30</f>
        <v>-6097.3105165322104</v>
      </c>
      <c r="E119" s="613">
        <f>'SenBiogas Electricity Fin Sen'!$D$119</f>
        <v>-6097.3105165322104</v>
      </c>
      <c r="F119" s="613">
        <f>'SenBiogas Electricity Fin Sen'!$D$119</f>
        <v>-6097.3105165322104</v>
      </c>
      <c r="G119" s="613">
        <f>'SenBiogas Electricity Fin Sen'!$D$119</f>
        <v>-6097.3105165322104</v>
      </c>
      <c r="H119" s="613">
        <f>'SenBiogas Electricity Fin Sen'!$D$119</f>
        <v>-6097.3105165322104</v>
      </c>
      <c r="I119" s="613">
        <f>'SenBiogas Electricity Fin Sen'!$D$119</f>
        <v>-6097.3105165322104</v>
      </c>
      <c r="J119" s="613">
        <f>'SenBiogas Electricity Fin Sen'!$D$119</f>
        <v>-6097.3105165322104</v>
      </c>
      <c r="K119" s="613">
        <f>'SenBiogas Electricity Fin Sen'!$D$119</f>
        <v>-6097.3105165322104</v>
      </c>
      <c r="L119" s="613">
        <f>'SenBiogas Electricity Fin Sen'!$D$119</f>
        <v>-6097.3105165322104</v>
      </c>
      <c r="M119" s="613">
        <f>'SenBiogas Electricity Fin Sen'!$D$119</f>
        <v>-6097.3105165322104</v>
      </c>
      <c r="N119" s="613">
        <f>'SenBiogas Electricity Fin Sen'!$D$119</f>
        <v>-6097.3105165322104</v>
      </c>
      <c r="O119" s="613">
        <f>'SenBiogas Electricity Fin Sen'!$D$119</f>
        <v>-6097.3105165322104</v>
      </c>
      <c r="P119" s="613">
        <f>'SenBiogas Electricity Fin Sen'!$D$119</f>
        <v>-6097.3105165322104</v>
      </c>
      <c r="Q119" s="613">
        <f>'SenBiogas Electricity Fin Sen'!$D$119</f>
        <v>-6097.3105165322104</v>
      </c>
      <c r="R119" s="718">
        <f>'SenBiogas Electricity Fin Sen'!$D$119</f>
        <v>-6097.3105165322104</v>
      </c>
      <c r="S119" s="613">
        <f>'SenBiogas Electricity Fin Sen'!$D$119</f>
        <v>-6097.3105165322104</v>
      </c>
      <c r="T119" s="613">
        <f>'SenBiogas Electricity Fin Sen'!$D$119</f>
        <v>-6097.3105165322104</v>
      </c>
      <c r="U119" s="613">
        <f>'SenBiogas Electricity Fin Sen'!$D$119</f>
        <v>-6097.3105165322104</v>
      </c>
      <c r="V119" s="613">
        <f>'SenBiogas Electricity Fin Sen'!$D$119</f>
        <v>-6097.3105165322104</v>
      </c>
      <c r="W119" s="613">
        <f>'SenBiogas Electricity Fin Sen'!$D$119</f>
        <v>-6097.3105165322104</v>
      </c>
      <c r="X119" s="613">
        <f>'SenBiogas Electricity Fin Sen'!$D$119</f>
        <v>-6097.3105165322104</v>
      </c>
      <c r="Y119" s="613">
        <f>'SenBiogas Electricity Fin Sen'!$D$119</f>
        <v>-6097.3105165322104</v>
      </c>
      <c r="Z119" s="613">
        <f>'SenBiogas Electricity Fin Sen'!$D$119</f>
        <v>-6097.3105165322104</v>
      </c>
      <c r="AA119" s="613">
        <f>'SenBiogas Electricity Fin Sen'!$D$119</f>
        <v>-6097.3105165322104</v>
      </c>
      <c r="AB119" s="613">
        <f>'SenBiogas Electricity Fin Sen'!$D$119</f>
        <v>-6097.3105165322104</v>
      </c>
      <c r="AC119" s="613">
        <f t="shared" ref="AC119:AM119" si="13">AC78*(0-$D$21)/$C$30</f>
        <v>-6421.2301377229842</v>
      </c>
      <c r="AD119" s="613">
        <f t="shared" si="13"/>
        <v>0</v>
      </c>
      <c r="AE119" s="613">
        <f t="shared" si="13"/>
        <v>0</v>
      </c>
      <c r="AF119" s="613">
        <f t="shared" si="13"/>
        <v>0</v>
      </c>
      <c r="AG119" s="613">
        <f t="shared" si="13"/>
        <v>0</v>
      </c>
      <c r="AH119" s="613">
        <f t="shared" si="13"/>
        <v>0</v>
      </c>
      <c r="AI119" s="613">
        <f t="shared" si="13"/>
        <v>0</v>
      </c>
      <c r="AJ119" s="613">
        <f t="shared" si="13"/>
        <v>0</v>
      </c>
      <c r="AK119" s="613">
        <f t="shared" si="13"/>
        <v>0</v>
      </c>
      <c r="AL119" s="613">
        <f t="shared" si="13"/>
        <v>0</v>
      </c>
      <c r="AM119" s="614">
        <f t="shared" si="13"/>
        <v>0</v>
      </c>
    </row>
    <row r="120" spans="1:39">
      <c r="B120" s="561" t="str">
        <f>'SolarPV Financial Analysis'!B118</f>
        <v xml:space="preserve">Cumulative Avoided Emissions </v>
      </c>
      <c r="C120" s="545" t="s">
        <v>373</v>
      </c>
      <c r="D120" s="615">
        <f>SUM(D119:AB119)</f>
        <v>-152432.76291330525</v>
      </c>
      <c r="R120" s="474"/>
    </row>
    <row r="121" spans="1:39">
      <c r="D121" s="501"/>
    </row>
    <row r="122" spans="1:39">
      <c r="D122" s="501"/>
    </row>
    <row r="123" spans="1:39" ht="12.95">
      <c r="B123" s="616" t="s">
        <v>447</v>
      </c>
      <c r="C123" s="592" t="s">
        <v>364</v>
      </c>
      <c r="D123" s="501"/>
    </row>
    <row r="124" spans="1:39">
      <c r="B124" s="577" t="s">
        <v>448</v>
      </c>
      <c r="C124" s="578" t="s">
        <v>417</v>
      </c>
      <c r="D124" s="617">
        <f t="shared" ref="D124:AM124" si="14">D78*($D$16-$D$60)</f>
        <v>-452220.11741771008</v>
      </c>
      <c r="E124" s="618">
        <f t="shared" si="14"/>
        <v>-452220.11741771008</v>
      </c>
      <c r="F124" s="618">
        <f t="shared" si="14"/>
        <v>-452220.11741771008</v>
      </c>
      <c r="G124" s="618">
        <f t="shared" si="14"/>
        <v>-452220.11741771008</v>
      </c>
      <c r="H124" s="618">
        <f t="shared" si="14"/>
        <v>-452220.11741771008</v>
      </c>
      <c r="I124" s="618">
        <f t="shared" si="14"/>
        <v>-452220.11741771008</v>
      </c>
      <c r="J124" s="618">
        <f t="shared" si="14"/>
        <v>-452220.11741771008</v>
      </c>
      <c r="K124" s="618">
        <f t="shared" si="14"/>
        <v>-452220.11741771008</v>
      </c>
      <c r="L124" s="618">
        <f t="shared" si="14"/>
        <v>-452220.11741771008</v>
      </c>
      <c r="M124" s="618">
        <f t="shared" si="14"/>
        <v>-452220.11741771008</v>
      </c>
      <c r="N124" s="618">
        <f t="shared" si="14"/>
        <v>-452220.11741771008</v>
      </c>
      <c r="O124" s="618">
        <f t="shared" si="14"/>
        <v>-452220.11741771008</v>
      </c>
      <c r="P124" s="618">
        <f t="shared" si="14"/>
        <v>-452220.11741771008</v>
      </c>
      <c r="Q124" s="618">
        <f t="shared" si="14"/>
        <v>-452220.11741771008</v>
      </c>
      <c r="R124" s="722">
        <f t="shared" si="14"/>
        <v>-452220.11741771008</v>
      </c>
      <c r="S124" s="618">
        <f t="shared" si="14"/>
        <v>-452220.11741771008</v>
      </c>
      <c r="T124" s="618">
        <f t="shared" si="14"/>
        <v>-452220.11741771008</v>
      </c>
      <c r="U124" s="618">
        <f t="shared" si="14"/>
        <v>-452220.11741771008</v>
      </c>
      <c r="V124" s="618">
        <f t="shared" si="14"/>
        <v>-452220.11741771008</v>
      </c>
      <c r="W124" s="618">
        <f t="shared" si="14"/>
        <v>-452220.11741771008</v>
      </c>
      <c r="X124" s="618">
        <f t="shared" si="14"/>
        <v>-452220.11741771008</v>
      </c>
      <c r="Y124" s="618">
        <f t="shared" si="14"/>
        <v>-452220.11741771008</v>
      </c>
      <c r="Z124" s="618">
        <f t="shared" si="14"/>
        <v>-452220.11741771008</v>
      </c>
      <c r="AA124" s="618">
        <f t="shared" si="14"/>
        <v>-452220.11741771008</v>
      </c>
      <c r="AB124" s="618">
        <f t="shared" si="14"/>
        <v>-452220.11741771008</v>
      </c>
      <c r="AC124" s="618">
        <f t="shared" si="14"/>
        <v>-452220.11741771008</v>
      </c>
      <c r="AD124" s="618">
        <f t="shared" si="14"/>
        <v>0</v>
      </c>
      <c r="AE124" s="618">
        <f t="shared" si="14"/>
        <v>0</v>
      </c>
      <c r="AF124" s="618">
        <f t="shared" si="14"/>
        <v>0</v>
      </c>
      <c r="AG124" s="618">
        <f t="shared" si="14"/>
        <v>0</v>
      </c>
      <c r="AH124" s="618">
        <f t="shared" si="14"/>
        <v>0</v>
      </c>
      <c r="AI124" s="618">
        <f t="shared" si="14"/>
        <v>0</v>
      </c>
      <c r="AJ124" s="618">
        <f t="shared" si="14"/>
        <v>0</v>
      </c>
      <c r="AK124" s="618">
        <f t="shared" si="14"/>
        <v>0</v>
      </c>
      <c r="AL124" s="618">
        <f t="shared" si="14"/>
        <v>0</v>
      </c>
      <c r="AM124" s="619">
        <f t="shared" si="14"/>
        <v>0</v>
      </c>
    </row>
    <row r="125" spans="1:39" s="487" customFormat="1" ht="12.95">
      <c r="A125" s="474"/>
      <c r="B125" s="620" t="s">
        <v>449</v>
      </c>
      <c r="C125" s="592" t="s">
        <v>331</v>
      </c>
      <c r="D125" s="621">
        <f>SUM(D124:AM124)</f>
        <v>-11757723.052860459</v>
      </c>
      <c r="E125" s="352"/>
      <c r="F125" s="352"/>
      <c r="G125" s="352"/>
      <c r="H125" s="352"/>
      <c r="I125" s="352"/>
      <c r="J125" s="352"/>
      <c r="K125" s="352"/>
      <c r="L125" s="352"/>
      <c r="M125" s="352"/>
      <c r="N125" s="352"/>
      <c r="O125" s="352"/>
      <c r="P125" s="352"/>
      <c r="Q125" s="352"/>
      <c r="R125" s="723"/>
      <c r="S125" s="352"/>
      <c r="T125" s="352"/>
      <c r="U125" s="352"/>
      <c r="V125" s="352"/>
      <c r="W125" s="352"/>
      <c r="X125" s="352"/>
      <c r="Y125" s="352"/>
      <c r="Z125" s="352"/>
      <c r="AA125" s="352"/>
      <c r="AB125" s="352"/>
      <c r="AC125" s="352"/>
      <c r="AD125" s="352"/>
      <c r="AE125" s="352"/>
      <c r="AF125" s="352"/>
      <c r="AG125" s="352"/>
      <c r="AH125" s="352"/>
      <c r="AI125" s="352"/>
      <c r="AJ125" s="352"/>
      <c r="AK125" s="352"/>
      <c r="AL125" s="352"/>
      <c r="AM125" s="352"/>
    </row>
    <row r="126" spans="1:39" s="487" customFormat="1">
      <c r="A126" s="474"/>
      <c r="B126" s="501"/>
      <c r="C126" s="501"/>
      <c r="D126" s="501"/>
      <c r="E126" s="352"/>
      <c r="F126" s="352"/>
      <c r="G126" s="352"/>
      <c r="H126" s="352"/>
      <c r="I126" s="352"/>
      <c r="J126" s="352"/>
      <c r="K126" s="352"/>
      <c r="L126" s="352"/>
      <c r="M126" s="352"/>
      <c r="N126" s="352"/>
      <c r="O126" s="352"/>
      <c r="P126" s="352"/>
      <c r="Q126" s="352"/>
      <c r="R126" s="723"/>
      <c r="S126" s="352"/>
      <c r="T126" s="352"/>
      <c r="U126" s="352"/>
      <c r="V126" s="352"/>
      <c r="W126" s="352"/>
      <c r="X126" s="352"/>
      <c r="Y126" s="352"/>
      <c r="Z126" s="352"/>
      <c r="AA126" s="352"/>
      <c r="AB126" s="352"/>
      <c r="AC126" s="352"/>
      <c r="AD126" s="352"/>
      <c r="AE126" s="352"/>
      <c r="AF126" s="352"/>
      <c r="AG126" s="352"/>
      <c r="AH126" s="352"/>
      <c r="AI126" s="352"/>
      <c r="AJ126" s="352"/>
      <c r="AK126" s="352"/>
      <c r="AL126" s="352"/>
      <c r="AM126" s="352"/>
    </row>
    <row r="127" spans="1:39" ht="12.95">
      <c r="B127" s="616" t="s">
        <v>450</v>
      </c>
      <c r="C127" s="501"/>
      <c r="D127" s="501"/>
      <c r="R127" s="474"/>
    </row>
    <row r="128" spans="1:39" s="487" customFormat="1" ht="12.95">
      <c r="A128" s="474"/>
      <c r="B128" s="622" t="s">
        <v>451</v>
      </c>
      <c r="C128" s="592" t="s">
        <v>364</v>
      </c>
      <c r="D128" s="501"/>
      <c r="E128" s="352"/>
      <c r="F128" s="352"/>
      <c r="G128" s="352"/>
      <c r="H128" s="352"/>
      <c r="I128" s="352"/>
      <c r="J128" s="352"/>
      <c r="K128" s="352"/>
      <c r="L128" s="352"/>
      <c r="M128" s="352"/>
      <c r="N128" s="352"/>
      <c r="O128" s="352"/>
      <c r="P128" s="352"/>
      <c r="Q128" s="352"/>
      <c r="R128" s="723"/>
      <c r="S128" s="352"/>
      <c r="T128" s="352"/>
      <c r="U128" s="352"/>
      <c r="V128" s="352"/>
      <c r="W128" s="352"/>
      <c r="X128" s="352"/>
      <c r="Y128" s="352"/>
      <c r="Z128" s="352"/>
      <c r="AA128" s="352"/>
      <c r="AB128" s="352"/>
      <c r="AC128" s="352"/>
      <c r="AD128" s="352"/>
      <c r="AE128" s="352"/>
      <c r="AF128" s="352"/>
      <c r="AG128" s="352"/>
      <c r="AH128" s="352"/>
      <c r="AI128" s="352"/>
      <c r="AJ128" s="352"/>
      <c r="AK128" s="352"/>
      <c r="AL128" s="352"/>
      <c r="AM128" s="352"/>
    </row>
    <row r="129" spans="2:39">
      <c r="B129" s="623" t="s">
        <v>452</v>
      </c>
      <c r="C129" s="624" t="s">
        <v>453</v>
      </c>
      <c r="D129" s="625">
        <v>31</v>
      </c>
      <c r="R129" s="474"/>
    </row>
    <row r="130" spans="2:39">
      <c r="B130" s="568" t="s">
        <v>79</v>
      </c>
      <c r="C130" s="574" t="s">
        <v>417</v>
      </c>
      <c r="D130" s="617">
        <f t="shared" ref="D130:AM130" si="15">$D$129*D119</f>
        <v>-189016.62601249851</v>
      </c>
      <c r="E130" s="618">
        <f t="shared" si="15"/>
        <v>-189016.62601249851</v>
      </c>
      <c r="F130" s="618">
        <f t="shared" si="15"/>
        <v>-189016.62601249851</v>
      </c>
      <c r="G130" s="618">
        <f t="shared" si="15"/>
        <v>-189016.62601249851</v>
      </c>
      <c r="H130" s="618">
        <f t="shared" si="15"/>
        <v>-189016.62601249851</v>
      </c>
      <c r="I130" s="618">
        <f t="shared" si="15"/>
        <v>-189016.62601249851</v>
      </c>
      <c r="J130" s="618">
        <f t="shared" si="15"/>
        <v>-189016.62601249851</v>
      </c>
      <c r="K130" s="618">
        <f t="shared" si="15"/>
        <v>-189016.62601249851</v>
      </c>
      <c r="L130" s="618">
        <f t="shared" si="15"/>
        <v>-189016.62601249851</v>
      </c>
      <c r="M130" s="618">
        <f t="shared" si="15"/>
        <v>-189016.62601249851</v>
      </c>
      <c r="N130" s="618">
        <f t="shared" si="15"/>
        <v>-189016.62601249851</v>
      </c>
      <c r="O130" s="618">
        <f t="shared" si="15"/>
        <v>-189016.62601249851</v>
      </c>
      <c r="P130" s="618">
        <f t="shared" si="15"/>
        <v>-189016.62601249851</v>
      </c>
      <c r="Q130" s="618">
        <f t="shared" si="15"/>
        <v>-189016.62601249851</v>
      </c>
      <c r="R130" s="722">
        <f t="shared" si="15"/>
        <v>-189016.62601249851</v>
      </c>
      <c r="S130" s="618">
        <f t="shared" si="15"/>
        <v>-189016.62601249851</v>
      </c>
      <c r="T130" s="618">
        <f t="shared" si="15"/>
        <v>-189016.62601249851</v>
      </c>
      <c r="U130" s="618">
        <f t="shared" si="15"/>
        <v>-189016.62601249851</v>
      </c>
      <c r="V130" s="618">
        <f t="shared" si="15"/>
        <v>-189016.62601249851</v>
      </c>
      <c r="W130" s="618">
        <f t="shared" si="15"/>
        <v>-189016.62601249851</v>
      </c>
      <c r="X130" s="618">
        <f t="shared" si="15"/>
        <v>-189016.62601249851</v>
      </c>
      <c r="Y130" s="618">
        <f t="shared" si="15"/>
        <v>-189016.62601249851</v>
      </c>
      <c r="Z130" s="618">
        <f t="shared" si="15"/>
        <v>-189016.62601249851</v>
      </c>
      <c r="AA130" s="618">
        <f t="shared" si="15"/>
        <v>-189016.62601249851</v>
      </c>
      <c r="AB130" s="618">
        <f t="shared" si="15"/>
        <v>-189016.62601249851</v>
      </c>
      <c r="AC130" s="618">
        <f t="shared" si="15"/>
        <v>-199058.13426941252</v>
      </c>
      <c r="AD130" s="618">
        <f t="shared" si="15"/>
        <v>0</v>
      </c>
      <c r="AE130" s="618">
        <f t="shared" si="15"/>
        <v>0</v>
      </c>
      <c r="AF130" s="618">
        <f t="shared" si="15"/>
        <v>0</v>
      </c>
      <c r="AG130" s="618">
        <f t="shared" si="15"/>
        <v>0</v>
      </c>
      <c r="AH130" s="618">
        <f t="shared" si="15"/>
        <v>0</v>
      </c>
      <c r="AI130" s="618">
        <f t="shared" si="15"/>
        <v>0</v>
      </c>
      <c r="AJ130" s="618">
        <f t="shared" si="15"/>
        <v>0</v>
      </c>
      <c r="AK130" s="618">
        <f t="shared" si="15"/>
        <v>0</v>
      </c>
      <c r="AL130" s="618">
        <f t="shared" si="15"/>
        <v>0</v>
      </c>
      <c r="AM130" s="619">
        <f t="shared" si="15"/>
        <v>0</v>
      </c>
    </row>
    <row r="131" spans="2:39" ht="12.95">
      <c r="B131" s="620" t="s">
        <v>454</v>
      </c>
      <c r="C131" s="592" t="s">
        <v>331</v>
      </c>
      <c r="D131" s="590">
        <f>SUM(D130:AM130)</f>
        <v>-4924473.7845818754</v>
      </c>
      <c r="R131" s="474"/>
    </row>
    <row r="132" spans="2:39">
      <c r="B132" s="568" t="s">
        <v>455</v>
      </c>
      <c r="C132" s="574" t="s">
        <v>417</v>
      </c>
      <c r="D132" s="617">
        <f t="shared" ref="D132:AM132" si="16">(0-$D$21)*D78*$D$129/$C$30</f>
        <v>-199058.13426941252</v>
      </c>
      <c r="E132" s="618">
        <f t="shared" si="16"/>
        <v>-199058.13426941252</v>
      </c>
      <c r="F132" s="618">
        <f t="shared" si="16"/>
        <v>-199058.13426941252</v>
      </c>
      <c r="G132" s="618">
        <f t="shared" si="16"/>
        <v>-199058.13426941252</v>
      </c>
      <c r="H132" s="618">
        <f t="shared" si="16"/>
        <v>-199058.13426941252</v>
      </c>
      <c r="I132" s="618">
        <f t="shared" si="16"/>
        <v>-199058.13426941252</v>
      </c>
      <c r="J132" s="618">
        <f t="shared" si="16"/>
        <v>-199058.13426941252</v>
      </c>
      <c r="K132" s="618">
        <f t="shared" si="16"/>
        <v>-199058.13426941252</v>
      </c>
      <c r="L132" s="618">
        <f t="shared" si="16"/>
        <v>-199058.13426941252</v>
      </c>
      <c r="M132" s="618">
        <f t="shared" si="16"/>
        <v>-199058.13426941252</v>
      </c>
      <c r="N132" s="618">
        <f t="shared" si="16"/>
        <v>-199058.13426941252</v>
      </c>
      <c r="O132" s="618">
        <f t="shared" si="16"/>
        <v>-199058.13426941252</v>
      </c>
      <c r="P132" s="618">
        <f t="shared" si="16"/>
        <v>-199058.13426941252</v>
      </c>
      <c r="Q132" s="618">
        <f t="shared" si="16"/>
        <v>-199058.13426941252</v>
      </c>
      <c r="R132" s="722">
        <f t="shared" si="16"/>
        <v>-199058.13426941252</v>
      </c>
      <c r="S132" s="618">
        <f t="shared" si="16"/>
        <v>-199058.13426941252</v>
      </c>
      <c r="T132" s="618">
        <f t="shared" si="16"/>
        <v>-199058.13426941252</v>
      </c>
      <c r="U132" s="618">
        <f t="shared" si="16"/>
        <v>-199058.13426941252</v>
      </c>
      <c r="V132" s="618">
        <f t="shared" si="16"/>
        <v>-199058.13426941252</v>
      </c>
      <c r="W132" s="618">
        <f t="shared" si="16"/>
        <v>-199058.13426941252</v>
      </c>
      <c r="X132" s="618">
        <f t="shared" si="16"/>
        <v>-199058.13426941252</v>
      </c>
      <c r="Y132" s="618">
        <f t="shared" si="16"/>
        <v>-199058.13426941252</v>
      </c>
      <c r="Z132" s="618">
        <f t="shared" si="16"/>
        <v>-199058.13426941252</v>
      </c>
      <c r="AA132" s="618">
        <f t="shared" si="16"/>
        <v>-199058.13426941252</v>
      </c>
      <c r="AB132" s="618">
        <f t="shared" si="16"/>
        <v>-199058.13426941252</v>
      </c>
      <c r="AC132" s="618">
        <f t="shared" si="16"/>
        <v>-199058.13426941252</v>
      </c>
      <c r="AD132" s="618">
        <f t="shared" si="16"/>
        <v>0</v>
      </c>
      <c r="AE132" s="618">
        <f t="shared" si="16"/>
        <v>0</v>
      </c>
      <c r="AF132" s="618">
        <f t="shared" si="16"/>
        <v>0</v>
      </c>
      <c r="AG132" s="618">
        <f t="shared" si="16"/>
        <v>0</v>
      </c>
      <c r="AH132" s="618">
        <f t="shared" si="16"/>
        <v>0</v>
      </c>
      <c r="AI132" s="618">
        <f t="shared" si="16"/>
        <v>0</v>
      </c>
      <c r="AJ132" s="618">
        <f t="shared" si="16"/>
        <v>0</v>
      </c>
      <c r="AK132" s="618">
        <f t="shared" si="16"/>
        <v>0</v>
      </c>
      <c r="AL132" s="618">
        <f t="shared" si="16"/>
        <v>0</v>
      </c>
      <c r="AM132" s="619">
        <f t="shared" si="16"/>
        <v>0</v>
      </c>
    </row>
    <row r="133" spans="2:39" ht="12.95">
      <c r="B133" s="620" t="s">
        <v>456</v>
      </c>
      <c r="C133" s="592" t="s">
        <v>331</v>
      </c>
      <c r="D133" s="590">
        <f>SUM(D132:AM132)</f>
        <v>-5175511.4910047268</v>
      </c>
      <c r="R133" s="474"/>
    </row>
    <row r="134" spans="2:39">
      <c r="R134" s="474"/>
    </row>
    <row r="135" spans="2:39" ht="12.95">
      <c r="B135" s="626" t="s">
        <v>457</v>
      </c>
      <c r="C135" s="566" t="s">
        <v>364</v>
      </c>
      <c r="R135" s="474"/>
    </row>
    <row r="136" spans="2:39">
      <c r="B136" s="568" t="str">
        <f>B124</f>
        <v>Avoided electricity cost (grid)</v>
      </c>
      <c r="C136" s="627" t="s">
        <v>417</v>
      </c>
      <c r="D136" s="571">
        <f t="shared" ref="D136:AM136" si="17">D124</f>
        <v>-452220.11741771008</v>
      </c>
      <c r="E136" s="571">
        <f t="shared" si="17"/>
        <v>-452220.11741771008</v>
      </c>
      <c r="F136" s="571">
        <f t="shared" si="17"/>
        <v>-452220.11741771008</v>
      </c>
      <c r="G136" s="571">
        <f t="shared" si="17"/>
        <v>-452220.11741771008</v>
      </c>
      <c r="H136" s="571">
        <f t="shared" si="17"/>
        <v>-452220.11741771008</v>
      </c>
      <c r="I136" s="571">
        <f t="shared" si="17"/>
        <v>-452220.11741771008</v>
      </c>
      <c r="J136" s="571">
        <f t="shared" si="17"/>
        <v>-452220.11741771008</v>
      </c>
      <c r="K136" s="571">
        <f t="shared" si="17"/>
        <v>-452220.11741771008</v>
      </c>
      <c r="L136" s="571">
        <f t="shared" si="17"/>
        <v>-452220.11741771008</v>
      </c>
      <c r="M136" s="571">
        <f t="shared" si="17"/>
        <v>-452220.11741771008</v>
      </c>
      <c r="N136" s="571">
        <f t="shared" si="17"/>
        <v>-452220.11741771008</v>
      </c>
      <c r="O136" s="571">
        <f t="shared" si="17"/>
        <v>-452220.11741771008</v>
      </c>
      <c r="P136" s="571">
        <f t="shared" si="17"/>
        <v>-452220.11741771008</v>
      </c>
      <c r="Q136" s="571">
        <f t="shared" si="17"/>
        <v>-452220.11741771008</v>
      </c>
      <c r="R136" s="715">
        <f t="shared" si="17"/>
        <v>-452220.11741771008</v>
      </c>
      <c r="S136" s="571">
        <f t="shared" si="17"/>
        <v>-452220.11741771008</v>
      </c>
      <c r="T136" s="571">
        <f t="shared" si="17"/>
        <v>-452220.11741771008</v>
      </c>
      <c r="U136" s="571">
        <f t="shared" si="17"/>
        <v>-452220.11741771008</v>
      </c>
      <c r="V136" s="571">
        <f t="shared" si="17"/>
        <v>-452220.11741771008</v>
      </c>
      <c r="W136" s="571">
        <f t="shared" si="17"/>
        <v>-452220.11741771008</v>
      </c>
      <c r="X136" s="571">
        <f t="shared" si="17"/>
        <v>-452220.11741771008</v>
      </c>
      <c r="Y136" s="571">
        <f t="shared" si="17"/>
        <v>-452220.11741771008</v>
      </c>
      <c r="Z136" s="571">
        <f t="shared" si="17"/>
        <v>-452220.11741771008</v>
      </c>
      <c r="AA136" s="571">
        <f t="shared" si="17"/>
        <v>-452220.11741771008</v>
      </c>
      <c r="AB136" s="571">
        <f t="shared" si="17"/>
        <v>-452220.11741771008</v>
      </c>
      <c r="AC136" s="571">
        <f t="shared" si="17"/>
        <v>-452220.11741771008</v>
      </c>
      <c r="AD136" s="571">
        <f t="shared" si="17"/>
        <v>0</v>
      </c>
      <c r="AE136" s="571">
        <f t="shared" si="17"/>
        <v>0</v>
      </c>
      <c r="AF136" s="571">
        <f t="shared" si="17"/>
        <v>0</v>
      </c>
      <c r="AG136" s="571">
        <f t="shared" si="17"/>
        <v>0</v>
      </c>
      <c r="AH136" s="571">
        <f t="shared" si="17"/>
        <v>0</v>
      </c>
      <c r="AI136" s="571">
        <f t="shared" si="17"/>
        <v>0</v>
      </c>
      <c r="AJ136" s="571">
        <f t="shared" si="17"/>
        <v>0</v>
      </c>
      <c r="AK136" s="571">
        <f t="shared" si="17"/>
        <v>0</v>
      </c>
      <c r="AL136" s="571">
        <f t="shared" si="17"/>
        <v>0</v>
      </c>
      <c r="AM136" s="572">
        <f t="shared" si="17"/>
        <v>0</v>
      </c>
    </row>
    <row r="137" spans="2:39">
      <c r="B137" s="577" t="str">
        <f>B130</f>
        <v>Avoided annual social cost of carbon</v>
      </c>
      <c r="C137" s="607" t="s">
        <v>417</v>
      </c>
      <c r="D137" s="541">
        <f t="shared" ref="D137:AM137" si="18">D130</f>
        <v>-189016.62601249851</v>
      </c>
      <c r="E137" s="541">
        <f t="shared" si="18"/>
        <v>-189016.62601249851</v>
      </c>
      <c r="F137" s="541">
        <f t="shared" si="18"/>
        <v>-189016.62601249851</v>
      </c>
      <c r="G137" s="541">
        <f t="shared" si="18"/>
        <v>-189016.62601249851</v>
      </c>
      <c r="H137" s="541">
        <f t="shared" si="18"/>
        <v>-189016.62601249851</v>
      </c>
      <c r="I137" s="541">
        <f t="shared" si="18"/>
        <v>-189016.62601249851</v>
      </c>
      <c r="J137" s="541">
        <f t="shared" si="18"/>
        <v>-189016.62601249851</v>
      </c>
      <c r="K137" s="541">
        <f t="shared" si="18"/>
        <v>-189016.62601249851</v>
      </c>
      <c r="L137" s="541">
        <f t="shared" si="18"/>
        <v>-189016.62601249851</v>
      </c>
      <c r="M137" s="541">
        <f t="shared" si="18"/>
        <v>-189016.62601249851</v>
      </c>
      <c r="N137" s="541">
        <f t="shared" si="18"/>
        <v>-189016.62601249851</v>
      </c>
      <c r="O137" s="541">
        <f t="shared" si="18"/>
        <v>-189016.62601249851</v>
      </c>
      <c r="P137" s="541">
        <f t="shared" si="18"/>
        <v>-189016.62601249851</v>
      </c>
      <c r="Q137" s="541">
        <f t="shared" si="18"/>
        <v>-189016.62601249851</v>
      </c>
      <c r="R137" s="721">
        <f t="shared" si="18"/>
        <v>-189016.62601249851</v>
      </c>
      <c r="S137" s="541">
        <f t="shared" si="18"/>
        <v>-189016.62601249851</v>
      </c>
      <c r="T137" s="541">
        <f t="shared" si="18"/>
        <v>-189016.62601249851</v>
      </c>
      <c r="U137" s="541">
        <f t="shared" si="18"/>
        <v>-189016.62601249851</v>
      </c>
      <c r="V137" s="541">
        <f t="shared" si="18"/>
        <v>-189016.62601249851</v>
      </c>
      <c r="W137" s="541">
        <f t="shared" si="18"/>
        <v>-189016.62601249851</v>
      </c>
      <c r="X137" s="541">
        <f t="shared" si="18"/>
        <v>-189016.62601249851</v>
      </c>
      <c r="Y137" s="541">
        <f t="shared" si="18"/>
        <v>-189016.62601249851</v>
      </c>
      <c r="Z137" s="541">
        <f t="shared" si="18"/>
        <v>-189016.62601249851</v>
      </c>
      <c r="AA137" s="541">
        <f t="shared" si="18"/>
        <v>-189016.62601249851</v>
      </c>
      <c r="AB137" s="541">
        <f t="shared" si="18"/>
        <v>-189016.62601249851</v>
      </c>
      <c r="AC137" s="541">
        <f t="shared" si="18"/>
        <v>-199058.13426941252</v>
      </c>
      <c r="AD137" s="541">
        <f t="shared" si="18"/>
        <v>0</v>
      </c>
      <c r="AE137" s="541">
        <f t="shared" si="18"/>
        <v>0</v>
      </c>
      <c r="AF137" s="541">
        <f t="shared" si="18"/>
        <v>0</v>
      </c>
      <c r="AG137" s="541">
        <f t="shared" si="18"/>
        <v>0</v>
      </c>
      <c r="AH137" s="541">
        <f t="shared" si="18"/>
        <v>0</v>
      </c>
      <c r="AI137" s="541">
        <f t="shared" si="18"/>
        <v>0</v>
      </c>
      <c r="AJ137" s="541">
        <f t="shared" si="18"/>
        <v>0</v>
      </c>
      <c r="AK137" s="541">
        <f t="shared" si="18"/>
        <v>0</v>
      </c>
      <c r="AL137" s="541">
        <f t="shared" si="18"/>
        <v>0</v>
      </c>
      <c r="AM137" s="576">
        <f t="shared" si="18"/>
        <v>0</v>
      </c>
    </row>
    <row r="138" spans="2:39" ht="12.95">
      <c r="B138" s="628" t="s">
        <v>458</v>
      </c>
      <c r="C138" s="602" t="s">
        <v>417</v>
      </c>
      <c r="D138" s="600">
        <f>D136+D137</f>
        <v>-641236.74343020865</v>
      </c>
      <c r="E138" s="600">
        <f t="shared" ref="E138:AM138" si="19">E136+E137</f>
        <v>-641236.74343020865</v>
      </c>
      <c r="F138" s="600">
        <f t="shared" si="19"/>
        <v>-641236.74343020865</v>
      </c>
      <c r="G138" s="600">
        <f t="shared" si="19"/>
        <v>-641236.74343020865</v>
      </c>
      <c r="H138" s="600">
        <f t="shared" si="19"/>
        <v>-641236.74343020865</v>
      </c>
      <c r="I138" s="600">
        <f t="shared" si="19"/>
        <v>-641236.74343020865</v>
      </c>
      <c r="J138" s="600">
        <f t="shared" si="19"/>
        <v>-641236.74343020865</v>
      </c>
      <c r="K138" s="600">
        <f t="shared" si="19"/>
        <v>-641236.74343020865</v>
      </c>
      <c r="L138" s="600">
        <f t="shared" si="19"/>
        <v>-641236.74343020865</v>
      </c>
      <c r="M138" s="600">
        <f t="shared" si="19"/>
        <v>-641236.74343020865</v>
      </c>
      <c r="N138" s="600">
        <f t="shared" si="19"/>
        <v>-641236.74343020865</v>
      </c>
      <c r="O138" s="600">
        <f t="shared" si="19"/>
        <v>-641236.74343020865</v>
      </c>
      <c r="P138" s="600">
        <f t="shared" si="19"/>
        <v>-641236.74343020865</v>
      </c>
      <c r="Q138" s="600">
        <f t="shared" si="19"/>
        <v>-641236.74343020865</v>
      </c>
      <c r="R138" s="600">
        <f t="shared" si="19"/>
        <v>-641236.74343020865</v>
      </c>
      <c r="S138" s="600">
        <f t="shared" si="19"/>
        <v>-641236.74343020865</v>
      </c>
      <c r="T138" s="600">
        <f t="shared" si="19"/>
        <v>-641236.74343020865</v>
      </c>
      <c r="U138" s="600">
        <f t="shared" si="19"/>
        <v>-641236.74343020865</v>
      </c>
      <c r="V138" s="600">
        <f t="shared" si="19"/>
        <v>-641236.74343020865</v>
      </c>
      <c r="W138" s="600">
        <f t="shared" si="19"/>
        <v>-641236.74343020865</v>
      </c>
      <c r="X138" s="600">
        <f t="shared" si="19"/>
        <v>-641236.74343020865</v>
      </c>
      <c r="Y138" s="600">
        <f t="shared" si="19"/>
        <v>-641236.74343020865</v>
      </c>
      <c r="Z138" s="600">
        <f t="shared" si="19"/>
        <v>-641236.74343020865</v>
      </c>
      <c r="AA138" s="600">
        <f t="shared" si="19"/>
        <v>-641236.74343020865</v>
      </c>
      <c r="AB138" s="600">
        <f t="shared" si="19"/>
        <v>-641236.74343020865</v>
      </c>
      <c r="AC138" s="600">
        <f t="shared" si="19"/>
        <v>-651278.25168712263</v>
      </c>
      <c r="AD138" s="600">
        <f t="shared" si="19"/>
        <v>0</v>
      </c>
      <c r="AE138" s="600">
        <f t="shared" si="19"/>
        <v>0</v>
      </c>
      <c r="AF138" s="600">
        <f t="shared" si="19"/>
        <v>0</v>
      </c>
      <c r="AG138" s="600">
        <f t="shared" si="19"/>
        <v>0</v>
      </c>
      <c r="AH138" s="600">
        <f t="shared" si="19"/>
        <v>0</v>
      </c>
      <c r="AI138" s="600">
        <f t="shared" si="19"/>
        <v>0</v>
      </c>
      <c r="AJ138" s="600">
        <f t="shared" si="19"/>
        <v>0</v>
      </c>
      <c r="AK138" s="600">
        <f t="shared" si="19"/>
        <v>0</v>
      </c>
      <c r="AL138" s="600">
        <f t="shared" si="19"/>
        <v>0</v>
      </c>
      <c r="AM138" s="601">
        <f t="shared" si="19"/>
        <v>0</v>
      </c>
    </row>
    <row r="139" spans="2:39">
      <c r="B139" s="629" t="s">
        <v>424</v>
      </c>
      <c r="C139" s="627" t="s">
        <v>417</v>
      </c>
      <c r="D139" s="571">
        <f t="shared" ref="D139:M139" si="20">D96</f>
        <v>5590071.3568378212</v>
      </c>
      <c r="E139" s="571">
        <f t="shared" si="20"/>
        <v>0</v>
      </c>
      <c r="F139" s="571">
        <f t="shared" si="20"/>
        <v>0</v>
      </c>
      <c r="G139" s="571">
        <f t="shared" si="20"/>
        <v>0</v>
      </c>
      <c r="H139" s="571">
        <f t="shared" si="20"/>
        <v>0</v>
      </c>
      <c r="I139" s="571">
        <f t="shared" si="20"/>
        <v>0</v>
      </c>
      <c r="J139" s="571">
        <f t="shared" si="20"/>
        <v>0</v>
      </c>
      <c r="K139" s="571">
        <f t="shared" si="20"/>
        <v>0</v>
      </c>
      <c r="L139" s="571">
        <f t="shared" si="20"/>
        <v>0</v>
      </c>
      <c r="M139" s="572">
        <f t="shared" si="20"/>
        <v>0</v>
      </c>
      <c r="N139" s="352"/>
      <c r="R139" s="474"/>
    </row>
    <row r="140" spans="2:39">
      <c r="B140" s="630" t="s">
        <v>459</v>
      </c>
      <c r="C140" s="627" t="s">
        <v>417</v>
      </c>
      <c r="D140" s="571">
        <f t="shared" ref="D140:AM140" si="21">D83+D84</f>
        <v>85743.429138734209</v>
      </c>
      <c r="E140" s="571">
        <f t="shared" si="21"/>
        <v>85743.429138734209</v>
      </c>
      <c r="F140" s="571">
        <f t="shared" si="21"/>
        <v>85743.429138734209</v>
      </c>
      <c r="G140" s="571">
        <f t="shared" si="21"/>
        <v>85743.429138734209</v>
      </c>
      <c r="H140" s="571">
        <f t="shared" si="21"/>
        <v>85743.429138734209</v>
      </c>
      <c r="I140" s="571">
        <f t="shared" si="21"/>
        <v>85743.429138734209</v>
      </c>
      <c r="J140" s="571">
        <f t="shared" si="21"/>
        <v>85743.429138734209</v>
      </c>
      <c r="K140" s="571">
        <f t="shared" si="21"/>
        <v>85743.429138734209</v>
      </c>
      <c r="L140" s="571">
        <f t="shared" si="21"/>
        <v>85743.429138734209</v>
      </c>
      <c r="M140" s="571">
        <f t="shared" si="21"/>
        <v>85743.429138734209</v>
      </c>
      <c r="N140" s="571">
        <f t="shared" si="21"/>
        <v>85743.429138734209</v>
      </c>
      <c r="O140" s="571">
        <f t="shared" si="21"/>
        <v>85743.429138734209</v>
      </c>
      <c r="P140" s="571">
        <f t="shared" si="21"/>
        <v>85743.429138734209</v>
      </c>
      <c r="Q140" s="571">
        <f t="shared" si="21"/>
        <v>85743.429138734209</v>
      </c>
      <c r="R140" s="715">
        <f t="shared" si="21"/>
        <v>85743.429138734209</v>
      </c>
      <c r="S140" s="571">
        <f t="shared" si="21"/>
        <v>85743.429138734209</v>
      </c>
      <c r="T140" s="571">
        <f t="shared" si="21"/>
        <v>85743.429138734209</v>
      </c>
      <c r="U140" s="571">
        <f t="shared" si="21"/>
        <v>85743.429138734209</v>
      </c>
      <c r="V140" s="571">
        <f t="shared" si="21"/>
        <v>85743.429138734209</v>
      </c>
      <c r="W140" s="571">
        <f t="shared" si="21"/>
        <v>85743.429138734209</v>
      </c>
      <c r="X140" s="571">
        <f t="shared" si="21"/>
        <v>85743.429138734209</v>
      </c>
      <c r="Y140" s="571">
        <f t="shared" si="21"/>
        <v>85743.429138734209</v>
      </c>
      <c r="Z140" s="571">
        <f t="shared" si="21"/>
        <v>85743.429138734209</v>
      </c>
      <c r="AA140" s="571">
        <f t="shared" si="21"/>
        <v>85743.429138734209</v>
      </c>
      <c r="AB140" s="571">
        <f t="shared" si="21"/>
        <v>85743.429138734209</v>
      </c>
      <c r="AC140" s="571">
        <f t="shared" si="21"/>
        <v>1642768.8673553236</v>
      </c>
      <c r="AD140" s="571">
        <f t="shared" si="21"/>
        <v>0</v>
      </c>
      <c r="AE140" s="571">
        <f t="shared" si="21"/>
        <v>0</v>
      </c>
      <c r="AF140" s="571">
        <f t="shared" si="21"/>
        <v>0</v>
      </c>
      <c r="AG140" s="571">
        <f t="shared" si="21"/>
        <v>0</v>
      </c>
      <c r="AH140" s="571">
        <f t="shared" si="21"/>
        <v>0</v>
      </c>
      <c r="AI140" s="571">
        <f t="shared" si="21"/>
        <v>0</v>
      </c>
      <c r="AJ140" s="571">
        <f t="shared" si="21"/>
        <v>0</v>
      </c>
      <c r="AK140" s="571">
        <f t="shared" si="21"/>
        <v>0</v>
      </c>
      <c r="AL140" s="571">
        <f t="shared" si="21"/>
        <v>0</v>
      </c>
      <c r="AM140" s="572">
        <f t="shared" si="21"/>
        <v>0</v>
      </c>
    </row>
    <row r="141" spans="2:39">
      <c r="B141" s="631" t="s">
        <v>460</v>
      </c>
      <c r="C141" s="632" t="s">
        <v>417</v>
      </c>
      <c r="D141" s="541">
        <f t="shared" ref="D141:AM141" si="22">D85</f>
        <v>0</v>
      </c>
      <c r="E141" s="541">
        <f t="shared" si="22"/>
        <v>0</v>
      </c>
      <c r="F141" s="541">
        <f t="shared" si="22"/>
        <v>0</v>
      </c>
      <c r="G141" s="541">
        <f t="shared" si="22"/>
        <v>0</v>
      </c>
      <c r="H141" s="541">
        <f t="shared" si="22"/>
        <v>0</v>
      </c>
      <c r="I141" s="541">
        <f t="shared" si="22"/>
        <v>0</v>
      </c>
      <c r="J141" s="541">
        <f t="shared" si="22"/>
        <v>0</v>
      </c>
      <c r="K141" s="541">
        <f t="shared" si="22"/>
        <v>0</v>
      </c>
      <c r="L141" s="541">
        <f t="shared" si="22"/>
        <v>0</v>
      </c>
      <c r="M141" s="541">
        <f t="shared" si="22"/>
        <v>0</v>
      </c>
      <c r="N141" s="541">
        <f t="shared" si="22"/>
        <v>0</v>
      </c>
      <c r="O141" s="541">
        <f t="shared" si="22"/>
        <v>0</v>
      </c>
      <c r="P141" s="541">
        <f t="shared" si="22"/>
        <v>0</v>
      </c>
      <c r="Q141" s="541">
        <f t="shared" si="22"/>
        <v>0</v>
      </c>
      <c r="R141" s="721">
        <f t="shared" si="22"/>
        <v>0</v>
      </c>
      <c r="S141" s="541">
        <f t="shared" si="22"/>
        <v>0</v>
      </c>
      <c r="T141" s="541">
        <f t="shared" si="22"/>
        <v>0</v>
      </c>
      <c r="U141" s="541">
        <f t="shared" si="22"/>
        <v>0</v>
      </c>
      <c r="V141" s="541">
        <f t="shared" si="22"/>
        <v>0</v>
      </c>
      <c r="W141" s="541">
        <f t="shared" si="22"/>
        <v>0</v>
      </c>
      <c r="X141" s="541">
        <f t="shared" si="22"/>
        <v>0</v>
      </c>
      <c r="Y141" s="541">
        <f t="shared" si="22"/>
        <v>0</v>
      </c>
      <c r="Z141" s="541">
        <f t="shared" si="22"/>
        <v>0</v>
      </c>
      <c r="AA141" s="541">
        <f t="shared" si="22"/>
        <v>0</v>
      </c>
      <c r="AB141" s="541">
        <f t="shared" si="22"/>
        <v>0</v>
      </c>
      <c r="AC141" s="541">
        <f t="shared" si="22"/>
        <v>0</v>
      </c>
      <c r="AD141" s="541">
        <f t="shared" si="22"/>
        <v>0</v>
      </c>
      <c r="AE141" s="541">
        <f t="shared" si="22"/>
        <v>0</v>
      </c>
      <c r="AF141" s="541">
        <f t="shared" si="22"/>
        <v>0</v>
      </c>
      <c r="AG141" s="541">
        <f t="shared" si="22"/>
        <v>0</v>
      </c>
      <c r="AH141" s="541">
        <f t="shared" si="22"/>
        <v>0</v>
      </c>
      <c r="AI141" s="541">
        <f t="shared" si="22"/>
        <v>0</v>
      </c>
      <c r="AJ141" s="541">
        <f t="shared" si="22"/>
        <v>0</v>
      </c>
      <c r="AK141" s="541">
        <f t="shared" si="22"/>
        <v>0</v>
      </c>
      <c r="AL141" s="541">
        <f t="shared" si="22"/>
        <v>0</v>
      </c>
      <c r="AM141" s="576">
        <f t="shared" si="22"/>
        <v>0</v>
      </c>
    </row>
    <row r="142" spans="2:39">
      <c r="B142" s="631" t="s">
        <v>428</v>
      </c>
      <c r="C142" s="632" t="s">
        <v>417</v>
      </c>
      <c r="D142" s="541">
        <f t="shared" ref="D142:AM143" si="23">D99</f>
        <v>0</v>
      </c>
      <c r="E142" s="541">
        <f t="shared" si="23"/>
        <v>0</v>
      </c>
      <c r="F142" s="541">
        <f t="shared" si="23"/>
        <v>0</v>
      </c>
      <c r="G142" s="541">
        <f t="shared" si="23"/>
        <v>0</v>
      </c>
      <c r="H142" s="541">
        <f t="shared" si="23"/>
        <v>0</v>
      </c>
      <c r="I142" s="541">
        <f t="shared" si="23"/>
        <v>0</v>
      </c>
      <c r="J142" s="541">
        <f t="shared" si="23"/>
        <v>0</v>
      </c>
      <c r="K142" s="541">
        <f t="shared" si="23"/>
        <v>0</v>
      </c>
      <c r="L142" s="541">
        <f t="shared" si="23"/>
        <v>0</v>
      </c>
      <c r="M142" s="541">
        <f t="shared" si="23"/>
        <v>0</v>
      </c>
      <c r="N142" s="541">
        <f t="shared" si="23"/>
        <v>0</v>
      </c>
      <c r="O142" s="541">
        <f t="shared" si="23"/>
        <v>0</v>
      </c>
      <c r="P142" s="541">
        <f t="shared" si="23"/>
        <v>0</v>
      </c>
      <c r="Q142" s="541">
        <f t="shared" si="23"/>
        <v>0</v>
      </c>
      <c r="R142" s="721">
        <f t="shared" si="23"/>
        <v>0</v>
      </c>
      <c r="S142" s="541">
        <f t="shared" si="23"/>
        <v>0</v>
      </c>
      <c r="T142" s="541">
        <f t="shared" si="23"/>
        <v>0</v>
      </c>
      <c r="U142" s="541">
        <f t="shared" si="23"/>
        <v>0</v>
      </c>
      <c r="V142" s="541">
        <f t="shared" si="23"/>
        <v>0</v>
      </c>
      <c r="W142" s="541">
        <f t="shared" si="23"/>
        <v>0</v>
      </c>
      <c r="X142" s="541">
        <f t="shared" si="23"/>
        <v>0</v>
      </c>
      <c r="Y142" s="541">
        <f t="shared" si="23"/>
        <v>0</v>
      </c>
      <c r="Z142" s="541">
        <f t="shared" si="23"/>
        <v>0</v>
      </c>
      <c r="AA142" s="541">
        <f t="shared" si="23"/>
        <v>0</v>
      </c>
      <c r="AB142" s="541">
        <f t="shared" si="23"/>
        <v>0</v>
      </c>
      <c r="AC142" s="541">
        <f t="shared" si="23"/>
        <v>0</v>
      </c>
      <c r="AD142" s="541">
        <f t="shared" si="23"/>
        <v>0</v>
      </c>
      <c r="AE142" s="541">
        <f t="shared" si="23"/>
        <v>0</v>
      </c>
      <c r="AF142" s="541">
        <f t="shared" si="23"/>
        <v>0</v>
      </c>
      <c r="AG142" s="541">
        <f t="shared" si="23"/>
        <v>0</v>
      </c>
      <c r="AH142" s="541">
        <f t="shared" si="23"/>
        <v>0</v>
      </c>
      <c r="AI142" s="541">
        <f t="shared" si="23"/>
        <v>0</v>
      </c>
      <c r="AJ142" s="541">
        <f t="shared" si="23"/>
        <v>0</v>
      </c>
      <c r="AK142" s="541">
        <f t="shared" si="23"/>
        <v>0</v>
      </c>
      <c r="AL142" s="541">
        <f t="shared" si="23"/>
        <v>0</v>
      </c>
      <c r="AM142" s="576">
        <f t="shared" si="23"/>
        <v>0</v>
      </c>
    </row>
    <row r="143" spans="2:39">
      <c r="B143" s="633" t="s">
        <v>429</v>
      </c>
      <c r="C143" s="607" t="s">
        <v>417</v>
      </c>
      <c r="D143" s="580">
        <f t="shared" si="23"/>
        <v>0</v>
      </c>
      <c r="E143" s="580">
        <f t="shared" si="23"/>
        <v>223602.85427351284</v>
      </c>
      <c r="F143" s="580">
        <f t="shared" si="23"/>
        <v>223602.85427351284</v>
      </c>
      <c r="G143" s="580">
        <f t="shared" si="23"/>
        <v>223602.85427351284</v>
      </c>
      <c r="H143" s="580">
        <f t="shared" si="23"/>
        <v>223602.85427351284</v>
      </c>
      <c r="I143" s="580">
        <f t="shared" si="23"/>
        <v>223602.85427351284</v>
      </c>
      <c r="J143" s="580">
        <f t="shared" si="23"/>
        <v>223602.85427351284</v>
      </c>
      <c r="K143" s="580">
        <f t="shared" si="23"/>
        <v>223602.85427351284</v>
      </c>
      <c r="L143" s="580">
        <f t="shared" si="23"/>
        <v>223602.85427351284</v>
      </c>
      <c r="M143" s="580">
        <f t="shared" si="23"/>
        <v>223602.85427351284</v>
      </c>
      <c r="N143" s="580">
        <f t="shared" si="23"/>
        <v>223602.85427351284</v>
      </c>
      <c r="O143" s="580">
        <f t="shared" si="23"/>
        <v>223602.85427351284</v>
      </c>
      <c r="P143" s="580">
        <f t="shared" si="23"/>
        <v>223602.85427351284</v>
      </c>
      <c r="Q143" s="580">
        <f t="shared" si="23"/>
        <v>223602.85427351284</v>
      </c>
      <c r="R143" s="716">
        <f t="shared" si="23"/>
        <v>223602.85427351284</v>
      </c>
      <c r="S143" s="580">
        <f t="shared" si="23"/>
        <v>223602.85427351284</v>
      </c>
      <c r="T143" s="580">
        <f t="shared" si="23"/>
        <v>223602.85427351284</v>
      </c>
      <c r="U143" s="580">
        <f t="shared" si="23"/>
        <v>223602.85427351284</v>
      </c>
      <c r="V143" s="580">
        <f t="shared" si="23"/>
        <v>223602.85427351284</v>
      </c>
      <c r="W143" s="580">
        <f t="shared" si="23"/>
        <v>223602.85427351284</v>
      </c>
      <c r="X143" s="580">
        <f t="shared" si="23"/>
        <v>223602.85427351284</v>
      </c>
      <c r="Y143" s="580">
        <f t="shared" si="23"/>
        <v>223602.85427351284</v>
      </c>
      <c r="Z143" s="580">
        <f t="shared" si="23"/>
        <v>223602.85427351284</v>
      </c>
      <c r="AA143" s="580">
        <f t="shared" si="23"/>
        <v>223602.85427351284</v>
      </c>
      <c r="AB143" s="580">
        <f t="shared" si="23"/>
        <v>223602.85427351284</v>
      </c>
      <c r="AC143" s="580">
        <f t="shared" si="23"/>
        <v>223602.85427351284</v>
      </c>
      <c r="AD143" s="580">
        <f t="shared" si="23"/>
        <v>0</v>
      </c>
      <c r="AE143" s="580">
        <f t="shared" si="23"/>
        <v>0</v>
      </c>
      <c r="AF143" s="580">
        <f t="shared" si="23"/>
        <v>0</v>
      </c>
      <c r="AG143" s="580">
        <f t="shared" si="23"/>
        <v>0</v>
      </c>
      <c r="AH143" s="580">
        <f t="shared" si="23"/>
        <v>0</v>
      </c>
      <c r="AI143" s="580">
        <f t="shared" si="23"/>
        <v>0</v>
      </c>
      <c r="AJ143" s="580">
        <f t="shared" si="23"/>
        <v>0</v>
      </c>
      <c r="AK143" s="580">
        <f t="shared" si="23"/>
        <v>0</v>
      </c>
      <c r="AL143" s="580">
        <f t="shared" si="23"/>
        <v>0</v>
      </c>
      <c r="AM143" s="581">
        <f t="shared" si="23"/>
        <v>0</v>
      </c>
    </row>
    <row r="144" spans="2:39" ht="12.95">
      <c r="B144" s="634" t="s">
        <v>461</v>
      </c>
      <c r="C144" s="635" t="s">
        <v>417</v>
      </c>
      <c r="D144" s="585">
        <f>SUM(D139:D143)</f>
        <v>5675814.7859765552</v>
      </c>
      <c r="E144" s="585">
        <f t="shared" ref="E144:AM144" si="24">SUM(E139:E143)</f>
        <v>309346.28341224708</v>
      </c>
      <c r="F144" s="585">
        <f t="shared" si="24"/>
        <v>309346.28341224708</v>
      </c>
      <c r="G144" s="585">
        <f t="shared" si="24"/>
        <v>309346.28341224708</v>
      </c>
      <c r="H144" s="585">
        <f t="shared" si="24"/>
        <v>309346.28341224708</v>
      </c>
      <c r="I144" s="585">
        <f t="shared" si="24"/>
        <v>309346.28341224708</v>
      </c>
      <c r="J144" s="585">
        <f t="shared" si="24"/>
        <v>309346.28341224708</v>
      </c>
      <c r="K144" s="585">
        <f t="shared" si="24"/>
        <v>309346.28341224708</v>
      </c>
      <c r="L144" s="585">
        <f t="shared" si="24"/>
        <v>309346.28341224708</v>
      </c>
      <c r="M144" s="585">
        <f t="shared" si="24"/>
        <v>309346.28341224708</v>
      </c>
      <c r="N144" s="585">
        <f t="shared" si="24"/>
        <v>309346.28341224708</v>
      </c>
      <c r="O144" s="585">
        <f t="shared" si="24"/>
        <v>309346.28341224708</v>
      </c>
      <c r="P144" s="585">
        <f t="shared" si="24"/>
        <v>309346.28341224708</v>
      </c>
      <c r="Q144" s="585">
        <f t="shared" si="24"/>
        <v>309346.28341224708</v>
      </c>
      <c r="R144" s="585">
        <f t="shared" si="24"/>
        <v>309346.28341224708</v>
      </c>
      <c r="S144" s="585">
        <f t="shared" si="24"/>
        <v>309346.28341224708</v>
      </c>
      <c r="T144" s="585">
        <f t="shared" si="24"/>
        <v>309346.28341224708</v>
      </c>
      <c r="U144" s="585">
        <f t="shared" si="24"/>
        <v>309346.28341224708</v>
      </c>
      <c r="V144" s="585">
        <f t="shared" si="24"/>
        <v>309346.28341224708</v>
      </c>
      <c r="W144" s="585">
        <f t="shared" si="24"/>
        <v>309346.28341224708</v>
      </c>
      <c r="X144" s="585">
        <f t="shared" si="24"/>
        <v>309346.28341224708</v>
      </c>
      <c r="Y144" s="585">
        <f t="shared" si="24"/>
        <v>309346.28341224708</v>
      </c>
      <c r="Z144" s="585">
        <f t="shared" si="24"/>
        <v>309346.28341224708</v>
      </c>
      <c r="AA144" s="585">
        <f t="shared" si="24"/>
        <v>309346.28341224708</v>
      </c>
      <c r="AB144" s="585">
        <f t="shared" si="24"/>
        <v>309346.28341224708</v>
      </c>
      <c r="AC144" s="585">
        <f t="shared" si="24"/>
        <v>1866371.7216288364</v>
      </c>
      <c r="AD144" s="585">
        <f t="shared" si="24"/>
        <v>0</v>
      </c>
      <c r="AE144" s="585">
        <f t="shared" si="24"/>
        <v>0</v>
      </c>
      <c r="AF144" s="585">
        <f t="shared" si="24"/>
        <v>0</v>
      </c>
      <c r="AG144" s="585">
        <f t="shared" si="24"/>
        <v>0</v>
      </c>
      <c r="AH144" s="585">
        <f t="shared" si="24"/>
        <v>0</v>
      </c>
      <c r="AI144" s="585">
        <f t="shared" si="24"/>
        <v>0</v>
      </c>
      <c r="AJ144" s="585">
        <f t="shared" si="24"/>
        <v>0</v>
      </c>
      <c r="AK144" s="585">
        <f t="shared" si="24"/>
        <v>0</v>
      </c>
      <c r="AL144" s="585">
        <f t="shared" si="24"/>
        <v>0</v>
      </c>
      <c r="AM144" s="585">
        <f t="shared" si="24"/>
        <v>0</v>
      </c>
    </row>
    <row r="145" spans="1:39" ht="12.95">
      <c r="B145" s="636" t="s">
        <v>462</v>
      </c>
      <c r="C145" s="635" t="s">
        <v>417</v>
      </c>
      <c r="D145" s="599">
        <f>D138-D144</f>
        <v>-6317051.5294067636</v>
      </c>
      <c r="E145" s="600">
        <f t="shared" ref="E145:AM145" si="25">E138-E140-E141</f>
        <v>-726980.17256894289</v>
      </c>
      <c r="F145" s="600">
        <f t="shared" si="25"/>
        <v>-726980.17256894289</v>
      </c>
      <c r="G145" s="600">
        <f t="shared" si="25"/>
        <v>-726980.17256894289</v>
      </c>
      <c r="H145" s="600">
        <f t="shared" si="25"/>
        <v>-726980.17256894289</v>
      </c>
      <c r="I145" s="600">
        <f t="shared" si="25"/>
        <v>-726980.17256894289</v>
      </c>
      <c r="J145" s="600">
        <f t="shared" si="25"/>
        <v>-726980.17256894289</v>
      </c>
      <c r="K145" s="600">
        <f t="shared" si="25"/>
        <v>-726980.17256894289</v>
      </c>
      <c r="L145" s="600">
        <f t="shared" si="25"/>
        <v>-726980.17256894289</v>
      </c>
      <c r="M145" s="600">
        <f t="shared" si="25"/>
        <v>-726980.17256894289</v>
      </c>
      <c r="N145" s="600">
        <f t="shared" si="25"/>
        <v>-726980.17256894289</v>
      </c>
      <c r="O145" s="600">
        <f t="shared" si="25"/>
        <v>-726980.17256894289</v>
      </c>
      <c r="P145" s="600">
        <f t="shared" si="25"/>
        <v>-726980.17256894289</v>
      </c>
      <c r="Q145" s="600">
        <f t="shared" si="25"/>
        <v>-726980.17256894289</v>
      </c>
      <c r="R145" s="600">
        <f t="shared" si="25"/>
        <v>-726980.17256894289</v>
      </c>
      <c r="S145" s="600">
        <f t="shared" si="25"/>
        <v>-726980.17256894289</v>
      </c>
      <c r="T145" s="600">
        <f t="shared" si="25"/>
        <v>-726980.17256894289</v>
      </c>
      <c r="U145" s="600">
        <f t="shared" si="25"/>
        <v>-726980.17256894289</v>
      </c>
      <c r="V145" s="600">
        <f t="shared" si="25"/>
        <v>-726980.17256894289</v>
      </c>
      <c r="W145" s="600">
        <f t="shared" si="25"/>
        <v>-726980.17256894289</v>
      </c>
      <c r="X145" s="600">
        <f t="shared" si="25"/>
        <v>-726980.17256894289</v>
      </c>
      <c r="Y145" s="600">
        <f t="shared" si="25"/>
        <v>-726980.17256894289</v>
      </c>
      <c r="Z145" s="600">
        <f t="shared" si="25"/>
        <v>-726980.17256894289</v>
      </c>
      <c r="AA145" s="600">
        <f t="shared" si="25"/>
        <v>-726980.17256894289</v>
      </c>
      <c r="AB145" s="600">
        <f t="shared" si="25"/>
        <v>-726980.17256894289</v>
      </c>
      <c r="AC145" s="600">
        <f t="shared" si="25"/>
        <v>-2294047.1190424464</v>
      </c>
      <c r="AD145" s="600">
        <f t="shared" si="25"/>
        <v>0</v>
      </c>
      <c r="AE145" s="600">
        <f t="shared" si="25"/>
        <v>0</v>
      </c>
      <c r="AF145" s="600">
        <f t="shared" si="25"/>
        <v>0</v>
      </c>
      <c r="AG145" s="600">
        <f t="shared" si="25"/>
        <v>0</v>
      </c>
      <c r="AH145" s="600">
        <f t="shared" si="25"/>
        <v>0</v>
      </c>
      <c r="AI145" s="600">
        <f t="shared" si="25"/>
        <v>0</v>
      </c>
      <c r="AJ145" s="600">
        <f t="shared" si="25"/>
        <v>0</v>
      </c>
      <c r="AK145" s="600">
        <f t="shared" si="25"/>
        <v>0</v>
      </c>
      <c r="AL145" s="600">
        <f t="shared" si="25"/>
        <v>0</v>
      </c>
      <c r="AM145" s="601">
        <f t="shared" si="25"/>
        <v>0</v>
      </c>
    </row>
    <row r="146" spans="1:39">
      <c r="R146" s="474"/>
    </row>
    <row r="147" spans="1:39">
      <c r="R147" s="474"/>
    </row>
    <row r="148" spans="1:39" ht="12.95">
      <c r="B148" s="626" t="s">
        <v>463</v>
      </c>
      <c r="C148" s="566" t="s">
        <v>364</v>
      </c>
      <c r="R148" s="474"/>
    </row>
    <row r="149" spans="1:39">
      <c r="B149" s="561" t="s">
        <v>464</v>
      </c>
      <c r="C149" s="545" t="s">
        <v>417</v>
      </c>
      <c r="D149" s="617">
        <f t="shared" ref="D149:AM149" si="26">D78*$D$16</f>
        <v>762163.81456652633</v>
      </c>
      <c r="E149" s="618">
        <f t="shared" si="26"/>
        <v>762163.81456652633</v>
      </c>
      <c r="F149" s="618">
        <f t="shared" si="26"/>
        <v>762163.81456652633</v>
      </c>
      <c r="G149" s="618">
        <f t="shared" si="26"/>
        <v>762163.81456652633</v>
      </c>
      <c r="H149" s="618">
        <f t="shared" si="26"/>
        <v>762163.81456652633</v>
      </c>
      <c r="I149" s="618">
        <f t="shared" si="26"/>
        <v>762163.81456652633</v>
      </c>
      <c r="J149" s="618">
        <f t="shared" si="26"/>
        <v>762163.81456652633</v>
      </c>
      <c r="K149" s="618">
        <f t="shared" si="26"/>
        <v>762163.81456652633</v>
      </c>
      <c r="L149" s="618">
        <f t="shared" si="26"/>
        <v>762163.81456652633</v>
      </c>
      <c r="M149" s="618">
        <f t="shared" si="26"/>
        <v>762163.81456652633</v>
      </c>
      <c r="N149" s="618">
        <f t="shared" si="26"/>
        <v>762163.81456652633</v>
      </c>
      <c r="O149" s="618">
        <f t="shared" si="26"/>
        <v>762163.81456652633</v>
      </c>
      <c r="P149" s="618">
        <f t="shared" si="26"/>
        <v>762163.81456652633</v>
      </c>
      <c r="Q149" s="618">
        <f t="shared" si="26"/>
        <v>762163.81456652633</v>
      </c>
      <c r="R149" s="722">
        <f t="shared" si="26"/>
        <v>762163.81456652633</v>
      </c>
      <c r="S149" s="618">
        <f t="shared" si="26"/>
        <v>762163.81456652633</v>
      </c>
      <c r="T149" s="618">
        <f t="shared" si="26"/>
        <v>762163.81456652633</v>
      </c>
      <c r="U149" s="618">
        <f t="shared" si="26"/>
        <v>762163.81456652633</v>
      </c>
      <c r="V149" s="618">
        <f t="shared" si="26"/>
        <v>762163.81456652633</v>
      </c>
      <c r="W149" s="618">
        <f t="shared" si="26"/>
        <v>762163.81456652633</v>
      </c>
      <c r="X149" s="618">
        <f t="shared" si="26"/>
        <v>762163.81456652633</v>
      </c>
      <c r="Y149" s="618">
        <f t="shared" si="26"/>
        <v>762163.81456652633</v>
      </c>
      <c r="Z149" s="618">
        <f t="shared" si="26"/>
        <v>762163.81456652633</v>
      </c>
      <c r="AA149" s="618">
        <f t="shared" si="26"/>
        <v>762163.81456652633</v>
      </c>
      <c r="AB149" s="618">
        <f t="shared" si="26"/>
        <v>762163.81456652633</v>
      </c>
      <c r="AC149" s="618">
        <f t="shared" si="26"/>
        <v>762163.81456652633</v>
      </c>
      <c r="AD149" s="618">
        <f t="shared" si="26"/>
        <v>0</v>
      </c>
      <c r="AE149" s="618">
        <f t="shared" si="26"/>
        <v>0</v>
      </c>
      <c r="AF149" s="618">
        <f t="shared" si="26"/>
        <v>0</v>
      </c>
      <c r="AG149" s="618">
        <f t="shared" si="26"/>
        <v>0</v>
      </c>
      <c r="AH149" s="618">
        <f t="shared" si="26"/>
        <v>0</v>
      </c>
      <c r="AI149" s="618">
        <f t="shared" si="26"/>
        <v>0</v>
      </c>
      <c r="AJ149" s="618">
        <f t="shared" si="26"/>
        <v>0</v>
      </c>
      <c r="AK149" s="618">
        <f t="shared" si="26"/>
        <v>0</v>
      </c>
      <c r="AL149" s="618">
        <f t="shared" si="26"/>
        <v>0</v>
      </c>
      <c r="AM149" s="619">
        <f t="shared" si="26"/>
        <v>0</v>
      </c>
    </row>
    <row r="150" spans="1:39">
      <c r="B150" s="561" t="s">
        <v>465</v>
      </c>
      <c r="C150" s="545" t="s">
        <v>417</v>
      </c>
      <c r="D150" s="617">
        <f>SUM(D139:D143)</f>
        <v>5675814.7859765552</v>
      </c>
      <c r="E150" s="618">
        <f t="shared" ref="E150:AM150" si="27">SUM(E139:E143)</f>
        <v>309346.28341224708</v>
      </c>
      <c r="F150" s="618">
        <f t="shared" si="27"/>
        <v>309346.28341224708</v>
      </c>
      <c r="G150" s="618">
        <f t="shared" si="27"/>
        <v>309346.28341224708</v>
      </c>
      <c r="H150" s="618">
        <f t="shared" si="27"/>
        <v>309346.28341224708</v>
      </c>
      <c r="I150" s="618">
        <f t="shared" si="27"/>
        <v>309346.28341224708</v>
      </c>
      <c r="J150" s="618">
        <f t="shared" si="27"/>
        <v>309346.28341224708</v>
      </c>
      <c r="K150" s="618">
        <f t="shared" si="27"/>
        <v>309346.28341224708</v>
      </c>
      <c r="L150" s="618">
        <f t="shared" si="27"/>
        <v>309346.28341224708</v>
      </c>
      <c r="M150" s="618">
        <f t="shared" si="27"/>
        <v>309346.28341224708</v>
      </c>
      <c r="N150" s="618">
        <f t="shared" si="27"/>
        <v>309346.28341224708</v>
      </c>
      <c r="O150" s="618">
        <f t="shared" si="27"/>
        <v>309346.28341224708</v>
      </c>
      <c r="P150" s="618">
        <f t="shared" si="27"/>
        <v>309346.28341224708</v>
      </c>
      <c r="Q150" s="618">
        <f t="shared" si="27"/>
        <v>309346.28341224708</v>
      </c>
      <c r="R150" s="722">
        <f t="shared" si="27"/>
        <v>309346.28341224708</v>
      </c>
      <c r="S150" s="618">
        <f t="shared" si="27"/>
        <v>309346.28341224708</v>
      </c>
      <c r="T150" s="618">
        <f t="shared" si="27"/>
        <v>309346.28341224708</v>
      </c>
      <c r="U150" s="618">
        <f t="shared" si="27"/>
        <v>309346.28341224708</v>
      </c>
      <c r="V150" s="618">
        <f t="shared" si="27"/>
        <v>309346.28341224708</v>
      </c>
      <c r="W150" s="618">
        <f t="shared" si="27"/>
        <v>309346.28341224708</v>
      </c>
      <c r="X150" s="618">
        <f t="shared" si="27"/>
        <v>309346.28341224708</v>
      </c>
      <c r="Y150" s="618">
        <f t="shared" si="27"/>
        <v>309346.28341224708</v>
      </c>
      <c r="Z150" s="618">
        <f t="shared" si="27"/>
        <v>309346.28341224708</v>
      </c>
      <c r="AA150" s="618">
        <f t="shared" si="27"/>
        <v>309346.28341224708</v>
      </c>
      <c r="AB150" s="618">
        <f t="shared" si="27"/>
        <v>309346.28341224708</v>
      </c>
      <c r="AC150" s="618">
        <f t="shared" si="27"/>
        <v>1866371.7216288364</v>
      </c>
      <c r="AD150" s="618">
        <f t="shared" si="27"/>
        <v>0</v>
      </c>
      <c r="AE150" s="618">
        <f t="shared" si="27"/>
        <v>0</v>
      </c>
      <c r="AF150" s="618">
        <f t="shared" si="27"/>
        <v>0</v>
      </c>
      <c r="AG150" s="618">
        <f t="shared" si="27"/>
        <v>0</v>
      </c>
      <c r="AH150" s="618">
        <f t="shared" si="27"/>
        <v>0</v>
      </c>
      <c r="AI150" s="618">
        <f t="shared" si="27"/>
        <v>0</v>
      </c>
      <c r="AJ150" s="618">
        <f t="shared" si="27"/>
        <v>0</v>
      </c>
      <c r="AK150" s="618">
        <f t="shared" si="27"/>
        <v>0</v>
      </c>
      <c r="AL150" s="618">
        <f t="shared" si="27"/>
        <v>0</v>
      </c>
      <c r="AM150" s="619">
        <f t="shared" si="27"/>
        <v>0</v>
      </c>
    </row>
    <row r="151" spans="1:39" ht="12.95">
      <c r="B151" s="636" t="s">
        <v>466</v>
      </c>
      <c r="C151" s="635" t="s">
        <v>417</v>
      </c>
      <c r="D151" s="584">
        <f>D149-D150</f>
        <v>-4913650.9714100286</v>
      </c>
      <c r="E151" s="585">
        <f t="shared" ref="E151:AM151" si="28">E149-E150</f>
        <v>452817.53115427925</v>
      </c>
      <c r="F151" s="585">
        <f t="shared" si="28"/>
        <v>452817.53115427925</v>
      </c>
      <c r="G151" s="585">
        <f t="shared" si="28"/>
        <v>452817.53115427925</v>
      </c>
      <c r="H151" s="585">
        <f t="shared" si="28"/>
        <v>452817.53115427925</v>
      </c>
      <c r="I151" s="585">
        <f t="shared" si="28"/>
        <v>452817.53115427925</v>
      </c>
      <c r="J151" s="585">
        <f t="shared" si="28"/>
        <v>452817.53115427925</v>
      </c>
      <c r="K151" s="585">
        <f t="shared" si="28"/>
        <v>452817.53115427925</v>
      </c>
      <c r="L151" s="585">
        <f t="shared" si="28"/>
        <v>452817.53115427925</v>
      </c>
      <c r="M151" s="585">
        <f t="shared" si="28"/>
        <v>452817.53115427925</v>
      </c>
      <c r="N151" s="585">
        <f t="shared" si="28"/>
        <v>452817.53115427925</v>
      </c>
      <c r="O151" s="585">
        <f t="shared" si="28"/>
        <v>452817.53115427925</v>
      </c>
      <c r="P151" s="585">
        <f t="shared" si="28"/>
        <v>452817.53115427925</v>
      </c>
      <c r="Q151" s="585">
        <f t="shared" si="28"/>
        <v>452817.53115427925</v>
      </c>
      <c r="R151" s="585">
        <f t="shared" si="28"/>
        <v>452817.53115427925</v>
      </c>
      <c r="S151" s="585">
        <f t="shared" si="28"/>
        <v>452817.53115427925</v>
      </c>
      <c r="T151" s="585">
        <f t="shared" si="28"/>
        <v>452817.53115427925</v>
      </c>
      <c r="U151" s="585">
        <f t="shared" si="28"/>
        <v>452817.53115427925</v>
      </c>
      <c r="V151" s="585">
        <f t="shared" si="28"/>
        <v>452817.53115427925</v>
      </c>
      <c r="W151" s="585">
        <f t="shared" si="28"/>
        <v>452817.53115427925</v>
      </c>
      <c r="X151" s="585">
        <f t="shared" si="28"/>
        <v>452817.53115427925</v>
      </c>
      <c r="Y151" s="585">
        <f t="shared" si="28"/>
        <v>452817.53115427925</v>
      </c>
      <c r="Z151" s="585">
        <f t="shared" si="28"/>
        <v>452817.53115427925</v>
      </c>
      <c r="AA151" s="585">
        <f t="shared" si="28"/>
        <v>452817.53115427925</v>
      </c>
      <c r="AB151" s="585">
        <f t="shared" si="28"/>
        <v>452817.53115427925</v>
      </c>
      <c r="AC151" s="585">
        <f t="shared" si="28"/>
        <v>-1104207.90706231</v>
      </c>
      <c r="AD151" s="585">
        <f t="shared" si="28"/>
        <v>0</v>
      </c>
      <c r="AE151" s="585">
        <f t="shared" si="28"/>
        <v>0</v>
      </c>
      <c r="AF151" s="585">
        <f t="shared" si="28"/>
        <v>0</v>
      </c>
      <c r="AG151" s="585">
        <f t="shared" si="28"/>
        <v>0</v>
      </c>
      <c r="AH151" s="585">
        <f t="shared" si="28"/>
        <v>0</v>
      </c>
      <c r="AI151" s="585">
        <f t="shared" si="28"/>
        <v>0</v>
      </c>
      <c r="AJ151" s="585">
        <f t="shared" si="28"/>
        <v>0</v>
      </c>
      <c r="AK151" s="585">
        <f t="shared" si="28"/>
        <v>0</v>
      </c>
      <c r="AL151" s="585">
        <f t="shared" si="28"/>
        <v>0</v>
      </c>
      <c r="AM151" s="586">
        <f t="shared" si="28"/>
        <v>0</v>
      </c>
    </row>
    <row r="152" spans="1:39" s="497" customFormat="1" ht="12.95">
      <c r="B152" s="637" t="s">
        <v>467</v>
      </c>
      <c r="C152" s="609" t="s">
        <v>417</v>
      </c>
      <c r="D152" s="638">
        <f>D151+D130</f>
        <v>-5102667.5974225271</v>
      </c>
      <c r="E152" s="639">
        <f t="shared" ref="E152:AM152" si="29">E151+E130</f>
        <v>263800.90514178073</v>
      </c>
      <c r="F152" s="639">
        <f t="shared" si="29"/>
        <v>263800.90514178073</v>
      </c>
      <c r="G152" s="639">
        <f t="shared" si="29"/>
        <v>263800.90514178073</v>
      </c>
      <c r="H152" s="639">
        <f t="shared" si="29"/>
        <v>263800.90514178073</v>
      </c>
      <c r="I152" s="639">
        <f t="shared" si="29"/>
        <v>263800.90514178073</v>
      </c>
      <c r="J152" s="639">
        <f t="shared" si="29"/>
        <v>263800.90514178073</v>
      </c>
      <c r="K152" s="639">
        <f t="shared" si="29"/>
        <v>263800.90514178073</v>
      </c>
      <c r="L152" s="639">
        <f t="shared" si="29"/>
        <v>263800.90514178073</v>
      </c>
      <c r="M152" s="639">
        <f t="shared" si="29"/>
        <v>263800.90514178073</v>
      </c>
      <c r="N152" s="639">
        <f t="shared" si="29"/>
        <v>263800.90514178073</v>
      </c>
      <c r="O152" s="639">
        <f t="shared" si="29"/>
        <v>263800.90514178073</v>
      </c>
      <c r="P152" s="639">
        <f t="shared" si="29"/>
        <v>263800.90514178073</v>
      </c>
      <c r="Q152" s="639">
        <f t="shared" si="29"/>
        <v>263800.90514178073</v>
      </c>
      <c r="R152" s="639">
        <f t="shared" si="29"/>
        <v>263800.90514178073</v>
      </c>
      <c r="S152" s="639">
        <f t="shared" si="29"/>
        <v>263800.90514178073</v>
      </c>
      <c r="T152" s="639">
        <f t="shared" si="29"/>
        <v>263800.90514178073</v>
      </c>
      <c r="U152" s="639">
        <f t="shared" si="29"/>
        <v>263800.90514178073</v>
      </c>
      <c r="V152" s="639">
        <f t="shared" si="29"/>
        <v>263800.90514178073</v>
      </c>
      <c r="W152" s="639">
        <f t="shared" si="29"/>
        <v>263800.90514178073</v>
      </c>
      <c r="X152" s="639">
        <f t="shared" si="29"/>
        <v>263800.90514178073</v>
      </c>
      <c r="Y152" s="639">
        <f t="shared" si="29"/>
        <v>263800.90514178073</v>
      </c>
      <c r="Z152" s="639">
        <f t="shared" si="29"/>
        <v>263800.90514178073</v>
      </c>
      <c r="AA152" s="639">
        <f t="shared" si="29"/>
        <v>263800.90514178073</v>
      </c>
      <c r="AB152" s="639">
        <f t="shared" si="29"/>
        <v>263800.90514178073</v>
      </c>
      <c r="AC152" s="639">
        <f t="shared" si="29"/>
        <v>-1303266.0413317226</v>
      </c>
      <c r="AD152" s="639">
        <f t="shared" si="29"/>
        <v>0</v>
      </c>
      <c r="AE152" s="639">
        <f t="shared" si="29"/>
        <v>0</v>
      </c>
      <c r="AF152" s="639">
        <f t="shared" si="29"/>
        <v>0</v>
      </c>
      <c r="AG152" s="639">
        <f t="shared" si="29"/>
        <v>0</v>
      </c>
      <c r="AH152" s="639">
        <f t="shared" si="29"/>
        <v>0</v>
      </c>
      <c r="AI152" s="639">
        <f t="shared" si="29"/>
        <v>0</v>
      </c>
      <c r="AJ152" s="639">
        <f t="shared" si="29"/>
        <v>0</v>
      </c>
      <c r="AK152" s="639">
        <f t="shared" si="29"/>
        <v>0</v>
      </c>
      <c r="AL152" s="639">
        <f t="shared" si="29"/>
        <v>0</v>
      </c>
      <c r="AM152" s="640">
        <f t="shared" si="29"/>
        <v>0</v>
      </c>
    </row>
    <row r="153" spans="1:39" s="502" customFormat="1" ht="12.95">
      <c r="A153" s="497"/>
      <c r="B153" s="561" t="s">
        <v>468</v>
      </c>
      <c r="C153" s="545" t="s">
        <v>331</v>
      </c>
      <c r="D153" s="603">
        <f>SUM(D149:AB149)</f>
        <v>19054095.36416316</v>
      </c>
      <c r="F153" s="373"/>
      <c r="G153" s="373"/>
      <c r="H153" s="373"/>
      <c r="I153" s="373"/>
      <c r="J153" s="373"/>
      <c r="K153" s="373"/>
      <c r="L153" s="373"/>
      <c r="M153" s="373"/>
      <c r="N153" s="373"/>
      <c r="O153" s="373"/>
      <c r="P153" s="373"/>
      <c r="Q153" s="373"/>
      <c r="R153" s="503"/>
      <c r="S153" s="373"/>
      <c r="T153" s="373"/>
      <c r="U153" s="373"/>
      <c r="V153" s="373"/>
      <c r="W153" s="373"/>
      <c r="X153" s="373"/>
      <c r="Y153" s="373"/>
      <c r="Z153" s="373"/>
      <c r="AA153" s="373"/>
      <c r="AB153" s="373"/>
      <c r="AC153" s="373"/>
      <c r="AD153" s="373"/>
      <c r="AE153" s="373"/>
      <c r="AF153" s="373"/>
      <c r="AG153" s="373"/>
      <c r="AH153" s="373"/>
      <c r="AI153" s="373"/>
      <c r="AJ153" s="373"/>
      <c r="AK153" s="373"/>
      <c r="AL153" s="373"/>
      <c r="AM153" s="373"/>
    </row>
    <row r="154" spans="1:39" s="502" customFormat="1" ht="12.95">
      <c r="A154" s="497"/>
      <c r="B154" s="561" t="s">
        <v>469</v>
      </c>
      <c r="C154" s="545" t="s">
        <v>331</v>
      </c>
      <c r="D154" s="603">
        <f>SUM(D151:AB151)</f>
        <v>5953969.7762926733</v>
      </c>
      <c r="E154" s="373"/>
      <c r="F154" s="373"/>
      <c r="G154" s="373"/>
      <c r="H154" s="373"/>
      <c r="I154" s="373"/>
      <c r="J154" s="373"/>
      <c r="K154" s="373"/>
      <c r="L154" s="373"/>
      <c r="M154" s="373"/>
      <c r="N154" s="373"/>
      <c r="O154" s="373"/>
      <c r="P154" s="373"/>
      <c r="Q154" s="373"/>
      <c r="R154" s="503"/>
      <c r="S154" s="373"/>
      <c r="T154" s="373"/>
      <c r="U154" s="373"/>
      <c r="V154" s="373"/>
      <c r="W154" s="373"/>
      <c r="X154" s="373"/>
      <c r="Y154" s="373"/>
      <c r="Z154" s="373"/>
      <c r="AA154" s="373"/>
      <c r="AB154" s="373"/>
      <c r="AC154" s="373"/>
      <c r="AD154" s="373"/>
      <c r="AE154" s="373"/>
      <c r="AF154" s="373"/>
      <c r="AG154" s="373"/>
      <c r="AH154" s="373"/>
      <c r="AI154" s="373"/>
      <c r="AJ154" s="373"/>
      <c r="AK154" s="373"/>
      <c r="AL154" s="373"/>
      <c r="AM154" s="373"/>
    </row>
    <row r="155" spans="1:39" s="502" customFormat="1" ht="12.95">
      <c r="A155" s="497"/>
      <c r="B155" s="561" t="s">
        <v>470</v>
      </c>
      <c r="C155" s="545" t="s">
        <v>331</v>
      </c>
      <c r="D155" s="603">
        <f>SUM(D152:AB152)</f>
        <v>1228554.12598021</v>
      </c>
      <c r="E155" s="373"/>
      <c r="F155" s="373"/>
      <c r="G155" s="373"/>
      <c r="H155" s="373"/>
      <c r="I155" s="373"/>
      <c r="J155" s="373"/>
      <c r="K155" s="373"/>
      <c r="L155" s="373"/>
      <c r="M155" s="373"/>
      <c r="N155" s="373"/>
      <c r="O155" s="373"/>
      <c r="P155" s="373"/>
      <c r="Q155" s="373"/>
      <c r="R155" s="503"/>
      <c r="S155" s="373"/>
      <c r="T155" s="373"/>
      <c r="U155" s="373"/>
      <c r="V155" s="373"/>
      <c r="W155" s="373"/>
      <c r="X155" s="373"/>
      <c r="Y155" s="373"/>
      <c r="Z155" s="373"/>
      <c r="AA155" s="373"/>
      <c r="AB155" s="373"/>
      <c r="AC155" s="373"/>
      <c r="AD155" s="373"/>
      <c r="AE155" s="373"/>
      <c r="AF155" s="373"/>
      <c r="AG155" s="373"/>
      <c r="AH155" s="373"/>
      <c r="AI155" s="373"/>
      <c r="AJ155" s="373"/>
      <c r="AK155" s="373"/>
      <c r="AL155" s="373"/>
      <c r="AM155" s="373"/>
    </row>
    <row r="157" spans="1:39">
      <c r="B157" s="564" t="s">
        <v>99</v>
      </c>
      <c r="C157" s="641">
        <f>IRR(D151:AB151)</f>
        <v>7.6414984994286561E-2</v>
      </c>
    </row>
    <row r="158" spans="1:39">
      <c r="B158" s="564" t="s">
        <v>100</v>
      </c>
      <c r="C158" s="641">
        <f>IRR(D152:AB152)</f>
        <v>1.803008429797992E-2</v>
      </c>
    </row>
    <row r="159" spans="1:39">
      <c r="B159" s="878" t="s">
        <v>101</v>
      </c>
      <c r="C159" s="712" t="s">
        <v>102</v>
      </c>
      <c r="D159" s="625">
        <f>NPV(CostofCapImpDiscountRate,$D$151:$AB$151)</f>
        <v>4960931.157935231</v>
      </c>
    </row>
    <row r="160" spans="1:39">
      <c r="B160" s="878"/>
      <c r="C160" s="713" t="s">
        <v>103</v>
      </c>
      <c r="D160" s="546">
        <f>NPV(SocialDiscountRate,$D$151:$AB$151)</f>
        <v>-1239978.8452077832</v>
      </c>
    </row>
    <row r="161" spans="2:4">
      <c r="B161" s="879"/>
      <c r="C161" s="714" t="s">
        <v>104</v>
      </c>
      <c r="D161" s="642">
        <f>NPV(PrvESCODiscountRate,$D$151:$AB$151)</f>
        <v>-2231702.9459264358</v>
      </c>
    </row>
    <row r="162" spans="2:4">
      <c r="B162" s="877" t="s">
        <v>471</v>
      </c>
      <c r="C162" s="712" t="str">
        <f>C159</f>
        <v>Cost of Capital Imp Rate</v>
      </c>
      <c r="D162" s="625">
        <f>NPV(CostofCapImpDiscountRate,$D$152:$AB$152)</f>
        <v>666708.65152779769</v>
      </c>
    </row>
    <row r="163" spans="2:4">
      <c r="B163" s="878"/>
      <c r="C163" s="713" t="str">
        <f>C160</f>
        <v xml:space="preserve">Social Discount </v>
      </c>
      <c r="D163" s="546">
        <f>NPV(SocialDiscountRate,$D$152:$AB$152)</f>
        <v>-2722462.5375168873</v>
      </c>
    </row>
    <row r="164" spans="2:4">
      <c r="B164" s="879"/>
      <c r="C164" s="714" t="str">
        <f>C161</f>
        <v>ESCO Discount Rate</v>
      </c>
      <c r="D164" s="642">
        <f>NPV(PrvESCODiscountRate,$D$152:$AB$152)</f>
        <v>-3166879.1513402434</v>
      </c>
    </row>
    <row r="167" spans="2:4">
      <c r="B167" s="475" t="s">
        <v>285</v>
      </c>
    </row>
    <row r="168" spans="2:4" ht="99.95">
      <c r="B168" s="707" t="s">
        <v>472</v>
      </c>
    </row>
    <row r="169" spans="2:4" ht="137.44999999999999">
      <c r="B169" s="707" t="s">
        <v>473</v>
      </c>
    </row>
    <row r="170" spans="2:4">
      <c r="B170" s="474" t="s">
        <v>474</v>
      </c>
    </row>
    <row r="172" spans="2:4">
      <c r="B172" t="s">
        <v>475</v>
      </c>
    </row>
  </sheetData>
  <mergeCells count="6">
    <mergeCell ref="B162:B164"/>
    <mergeCell ref="B33:D33"/>
    <mergeCell ref="B43:D43"/>
    <mergeCell ref="B51:D51"/>
    <mergeCell ref="B59:D59"/>
    <mergeCell ref="B159:B161"/>
  </mergeCells>
  <pageMargins left="0.75" right="0.75" top="1" bottom="1" header="0.5" footer="0.5"/>
  <pageSetup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77800C-616E-49D4-A275-BAAEDA426E88}">
  <sheetPr codeName="Sheet22">
    <tabColor rgb="FF00B050"/>
  </sheetPr>
  <dimension ref="A1:AD133"/>
  <sheetViews>
    <sheetView topLeftCell="A43" zoomScale="84" workbookViewId="0">
      <selection activeCell="B5" sqref="B5"/>
    </sheetView>
  </sheetViews>
  <sheetFormatPr defaultColWidth="9.28515625" defaultRowHeight="14.45"/>
  <cols>
    <col min="1" max="1" width="55.5703125" style="4" customWidth="1"/>
    <col min="2" max="2" width="22.140625" style="4" customWidth="1"/>
    <col min="3" max="3" width="15.42578125" style="4" customWidth="1"/>
    <col min="4" max="4" width="23.7109375" style="4" customWidth="1"/>
    <col min="5" max="5" width="19.5703125" style="4" customWidth="1"/>
    <col min="6" max="6" width="21.5703125" style="4" customWidth="1"/>
    <col min="7" max="7" width="18.42578125" style="4" customWidth="1"/>
    <col min="8" max="8" width="18.140625" style="4" customWidth="1"/>
    <col min="9" max="9" width="17.28515625" style="4" customWidth="1"/>
    <col min="10" max="10" width="19.85546875" style="4" customWidth="1"/>
    <col min="11" max="11" width="21.42578125" style="4" customWidth="1"/>
    <col min="12" max="12" width="21" style="4" customWidth="1"/>
    <col min="13" max="13" width="20.5703125" style="4" customWidth="1"/>
    <col min="14" max="14" width="17.5703125" style="4" customWidth="1"/>
    <col min="15" max="15" width="19.5703125" style="4" customWidth="1"/>
    <col min="16" max="16" width="22.28515625" style="4" customWidth="1"/>
    <col min="17" max="17" width="18.85546875" style="4" customWidth="1"/>
    <col min="18" max="18" width="17.140625" style="4" customWidth="1"/>
    <col min="19" max="19" width="19.28515625" style="4" customWidth="1"/>
    <col min="20" max="20" width="21" style="4" customWidth="1"/>
    <col min="21" max="21" width="16.85546875" style="4" customWidth="1"/>
    <col min="22" max="22" width="19.42578125" style="4" customWidth="1"/>
    <col min="23" max="23" width="19.140625" style="4" customWidth="1"/>
    <col min="24" max="24" width="17.140625" style="4" customWidth="1"/>
    <col min="25" max="25" width="19.5703125" style="4" customWidth="1"/>
    <col min="26" max="27" width="21.28515625" style="4" customWidth="1"/>
    <col min="28" max="28" width="18.85546875" style="4" customWidth="1"/>
    <col min="29" max="16384" width="9.28515625" style="4"/>
  </cols>
  <sheetData>
    <row r="1" spans="1:14">
      <c r="A1" s="5"/>
    </row>
    <row r="2" spans="1:14" ht="26.1">
      <c r="A2" s="9" t="s">
        <v>140</v>
      </c>
    </row>
    <row r="3" spans="1:14" s="34" customFormat="1" ht="77.099999999999994" customHeight="1">
      <c r="A3" s="876" t="s">
        <v>131</v>
      </c>
      <c r="B3" s="36" t="s">
        <v>141</v>
      </c>
      <c r="C3" s="37" t="s">
        <v>142</v>
      </c>
      <c r="D3" s="37" t="s">
        <v>143</v>
      </c>
      <c r="E3" s="37" t="s">
        <v>86</v>
      </c>
      <c r="F3" s="37" t="s">
        <v>144</v>
      </c>
      <c r="G3" s="36" t="s">
        <v>145</v>
      </c>
      <c r="H3" s="48" t="s">
        <v>146</v>
      </c>
      <c r="I3" s="36" t="s">
        <v>147</v>
      </c>
      <c r="J3" s="36" t="s">
        <v>148</v>
      </c>
      <c r="K3" s="35"/>
      <c r="L3" s="35"/>
      <c r="M3" s="35"/>
      <c r="N3" s="35"/>
    </row>
    <row r="4" spans="1:14">
      <c r="A4" s="876"/>
      <c r="B4" s="39" t="s">
        <v>149</v>
      </c>
      <c r="C4" s="39" t="s">
        <v>150</v>
      </c>
      <c r="D4" s="39" t="s">
        <v>151</v>
      </c>
      <c r="E4" s="40" t="s">
        <v>152</v>
      </c>
      <c r="F4" s="40" t="s">
        <v>153</v>
      </c>
      <c r="G4" s="40" t="s">
        <v>154</v>
      </c>
      <c r="H4" s="41" t="s">
        <v>155</v>
      </c>
      <c r="I4" s="41" t="s">
        <v>155</v>
      </c>
      <c r="J4" s="41" t="s">
        <v>155</v>
      </c>
      <c r="K4" s="6"/>
      <c r="L4" s="6"/>
      <c r="M4" s="6"/>
      <c r="N4" s="6"/>
    </row>
    <row r="5" spans="1:14">
      <c r="A5" s="36" t="s">
        <v>135</v>
      </c>
      <c r="B5" s="38">
        <f>'Assump&amp;Est_Senegal'!D16</f>
        <v>2580094.8449999997</v>
      </c>
      <c r="C5" s="38">
        <f t="shared" ref="C5:C11" si="0">+B5*0.94</f>
        <v>2425289.1542999996</v>
      </c>
      <c r="D5" s="38">
        <v>0.65</v>
      </c>
      <c r="E5" s="38">
        <f>C5*D5</f>
        <v>1576437.9502949999</v>
      </c>
      <c r="F5" s="38">
        <f>E5*0.67</f>
        <v>1056213.42669765</v>
      </c>
      <c r="G5" s="38">
        <f>F5/1000</f>
        <v>1056.21342669765</v>
      </c>
      <c r="H5" s="42">
        <f>+G5*25</f>
        <v>26405.33566744125</v>
      </c>
      <c r="I5" s="42">
        <f>+G5*(44/16)</f>
        <v>2904.5869234185375</v>
      </c>
      <c r="J5" s="42">
        <f>H5-I5</f>
        <v>23500.748744022712</v>
      </c>
      <c r="K5" s="6"/>
      <c r="L5" s="6"/>
      <c r="M5" s="6"/>
      <c r="N5" s="6"/>
    </row>
    <row r="6" spans="1:14">
      <c r="A6" s="36" t="s">
        <v>156</v>
      </c>
      <c r="B6" s="38">
        <f>'Assump&amp;Est_Senegal'!D17</f>
        <v>6542734.5</v>
      </c>
      <c r="C6" s="38">
        <f t="shared" si="0"/>
        <v>6150170.4299999997</v>
      </c>
      <c r="D6" s="38">
        <v>0.65</v>
      </c>
      <c r="E6" s="38">
        <f>C6*D6</f>
        <v>3997610.7794999997</v>
      </c>
      <c r="F6" s="38">
        <f t="shared" ref="F6:F11" si="1">E6*0.67</f>
        <v>2678399.222265</v>
      </c>
      <c r="G6" s="38">
        <f t="shared" ref="G6:G11" si="2">F6/1000</f>
        <v>2678.3992222649999</v>
      </c>
      <c r="H6" s="42">
        <f t="shared" ref="H6:H11" si="3">+G6*25</f>
        <v>66959.980556625</v>
      </c>
      <c r="I6" s="42">
        <f t="shared" ref="I6:I11" si="4">+G6*(44/16)</f>
        <v>7365.5978612287499</v>
      </c>
      <c r="J6" s="42">
        <f t="shared" ref="J6:J11" si="5">H6-I6</f>
        <v>59594.382695396249</v>
      </c>
      <c r="K6" s="6"/>
      <c r="L6" s="6"/>
      <c r="M6" s="6"/>
      <c r="N6" s="6"/>
    </row>
    <row r="7" spans="1:14">
      <c r="A7" s="36" t="s">
        <v>157</v>
      </c>
      <c r="B7" s="38">
        <f>'Assump&amp;Est_Senegal'!D18</f>
        <v>432868.07718749996</v>
      </c>
      <c r="C7" s="38">
        <f t="shared" si="0"/>
        <v>406895.99255624996</v>
      </c>
      <c r="D7" s="38">
        <v>0.65</v>
      </c>
      <c r="E7" s="38">
        <f>C7*D7</f>
        <v>264482.39516156248</v>
      </c>
      <c r="F7" s="38">
        <f t="shared" si="1"/>
        <v>177203.20475824687</v>
      </c>
      <c r="G7" s="38">
        <f t="shared" si="2"/>
        <v>177.20320475824687</v>
      </c>
      <c r="H7" s="42">
        <f t="shared" si="3"/>
        <v>4430.0801189561716</v>
      </c>
      <c r="I7" s="42">
        <f t="shared" si="4"/>
        <v>487.30881308517888</v>
      </c>
      <c r="J7" s="42">
        <f t="shared" si="5"/>
        <v>3942.7713058709928</v>
      </c>
      <c r="K7" s="6"/>
      <c r="L7" s="6"/>
      <c r="M7" s="6"/>
      <c r="N7" s="6"/>
    </row>
    <row r="8" spans="1:14">
      <c r="A8" s="36" t="s">
        <v>158</v>
      </c>
      <c r="B8" s="38">
        <f>'Assump&amp;Est_Senegal'!D19</f>
        <v>349187.53387500002</v>
      </c>
      <c r="C8" s="38">
        <f t="shared" si="0"/>
        <v>328236.28184250003</v>
      </c>
      <c r="D8" s="38">
        <v>0.65</v>
      </c>
      <c r="E8" s="38">
        <f t="shared" ref="E8:E11" si="6">C8*D8</f>
        <v>213353.58319762503</v>
      </c>
      <c r="F8" s="38">
        <f t="shared" si="1"/>
        <v>142946.90074240879</v>
      </c>
      <c r="G8" s="38">
        <f t="shared" si="2"/>
        <v>142.94690074240879</v>
      </c>
      <c r="H8" s="42">
        <f t="shared" si="3"/>
        <v>3573.6725185602195</v>
      </c>
      <c r="I8" s="42">
        <f t="shared" si="4"/>
        <v>393.10397704162415</v>
      </c>
      <c r="J8" s="42">
        <f t="shared" si="5"/>
        <v>3180.5685415185953</v>
      </c>
      <c r="K8" s="6"/>
      <c r="L8" s="6"/>
      <c r="M8" s="6"/>
      <c r="N8" s="6"/>
    </row>
    <row r="9" spans="1:14">
      <c r="A9" s="36" t="s">
        <v>126</v>
      </c>
      <c r="B9" s="38">
        <f>'Assump&amp;Est_Senegal'!D20</f>
        <v>0</v>
      </c>
      <c r="C9" s="38">
        <f t="shared" si="0"/>
        <v>0</v>
      </c>
      <c r="D9" s="38">
        <v>0.71</v>
      </c>
      <c r="E9" s="38">
        <f t="shared" si="6"/>
        <v>0</v>
      </c>
      <c r="F9" s="38">
        <f t="shared" si="1"/>
        <v>0</v>
      </c>
      <c r="G9" s="38">
        <f t="shared" si="2"/>
        <v>0</v>
      </c>
      <c r="H9" s="42">
        <f t="shared" si="3"/>
        <v>0</v>
      </c>
      <c r="I9" s="42">
        <f>+G9*(44/16)</f>
        <v>0</v>
      </c>
      <c r="J9" s="42">
        <f t="shared" si="5"/>
        <v>0</v>
      </c>
      <c r="K9" s="6"/>
      <c r="L9" s="6"/>
      <c r="M9" s="6"/>
      <c r="N9" s="6"/>
    </row>
    <row r="10" spans="1:14">
      <c r="A10" s="36" t="s">
        <v>159</v>
      </c>
      <c r="B10" s="38">
        <f>'Assump&amp;Est_Senegal'!D21</f>
        <v>0</v>
      </c>
      <c r="C10" s="38">
        <f t="shared" si="0"/>
        <v>0</v>
      </c>
      <c r="D10" s="38">
        <f>+(0.7+0.63)/2</f>
        <v>0.66500000000000004</v>
      </c>
      <c r="E10" s="38">
        <f t="shared" si="6"/>
        <v>0</v>
      </c>
      <c r="F10" s="38">
        <f t="shared" si="1"/>
        <v>0</v>
      </c>
      <c r="G10" s="38">
        <f t="shared" si="2"/>
        <v>0</v>
      </c>
      <c r="H10" s="42">
        <f>+G10*25</f>
        <v>0</v>
      </c>
      <c r="I10" s="42">
        <f t="shared" si="4"/>
        <v>0</v>
      </c>
      <c r="J10" s="42">
        <f t="shared" si="5"/>
        <v>0</v>
      </c>
      <c r="K10" s="6"/>
      <c r="L10" s="6"/>
      <c r="M10" s="6"/>
      <c r="N10" s="6"/>
    </row>
    <row r="11" spans="1:14">
      <c r="A11" s="36" t="s">
        <v>160</v>
      </c>
      <c r="B11" s="38">
        <f>'Assump&amp;Est_Senegal'!D22</f>
        <v>0</v>
      </c>
      <c r="C11" s="38">
        <f t="shared" si="0"/>
        <v>0</v>
      </c>
      <c r="D11" s="38">
        <v>0.65</v>
      </c>
      <c r="E11" s="38">
        <f t="shared" si="6"/>
        <v>0</v>
      </c>
      <c r="F11" s="38">
        <f t="shared" si="1"/>
        <v>0</v>
      </c>
      <c r="G11" s="38">
        <f t="shared" si="2"/>
        <v>0</v>
      </c>
      <c r="H11" s="42">
        <f t="shared" si="3"/>
        <v>0</v>
      </c>
      <c r="I11" s="42">
        <f t="shared" si="4"/>
        <v>0</v>
      </c>
      <c r="J11" s="42">
        <f t="shared" si="5"/>
        <v>0</v>
      </c>
      <c r="K11" s="6"/>
      <c r="L11" s="6"/>
      <c r="M11" s="6"/>
      <c r="N11" s="6"/>
    </row>
    <row r="12" spans="1:14">
      <c r="A12" s="36" t="s">
        <v>12</v>
      </c>
      <c r="B12" s="43">
        <f>SUM(B5:B11)</f>
        <v>9904884.9560624994</v>
      </c>
      <c r="C12" s="43">
        <f>SUM(C5:C11)</f>
        <v>9310591.8586987499</v>
      </c>
      <c r="D12" s="43"/>
      <c r="E12" s="45">
        <f t="shared" ref="E12:J12" si="7">SUM(E5:E11)</f>
        <v>6051884.7081541875</v>
      </c>
      <c r="F12" s="43">
        <f t="shared" si="7"/>
        <v>4054762.7544633057</v>
      </c>
      <c r="G12" s="43">
        <f t="shared" si="7"/>
        <v>4054.7627544633056</v>
      </c>
      <c r="H12" s="44">
        <f t="shared" si="7"/>
        <v>101369.06886158265</v>
      </c>
      <c r="I12" s="44">
        <f t="shared" si="7"/>
        <v>11150.597574774092</v>
      </c>
      <c r="J12" s="46">
        <f t="shared" si="7"/>
        <v>90218.471286808563</v>
      </c>
      <c r="K12" s="6"/>
      <c r="L12" s="6"/>
      <c r="M12" s="6"/>
      <c r="N12" s="6"/>
    </row>
    <row r="13" spans="1:14">
      <c r="A13" s="7"/>
      <c r="B13" s="653"/>
      <c r="C13" s="653"/>
      <c r="D13" s="653"/>
      <c r="E13" s="654"/>
      <c r="F13" s="653"/>
      <c r="G13" s="653"/>
      <c r="H13" s="655"/>
      <c r="I13" s="655"/>
      <c r="J13" s="656"/>
      <c r="K13" s="6"/>
      <c r="L13" s="6"/>
      <c r="M13" s="6"/>
      <c r="N13" s="6"/>
    </row>
    <row r="14" spans="1:14">
      <c r="A14" s="9" t="s">
        <v>161</v>
      </c>
      <c r="B14" s="657" t="s">
        <v>162</v>
      </c>
      <c r="C14" s="657" t="s">
        <v>163</v>
      </c>
      <c r="D14" s="653"/>
      <c r="E14" s="654"/>
      <c r="F14" s="653"/>
      <c r="G14" s="653"/>
      <c r="H14" s="655"/>
      <c r="I14" s="655"/>
      <c r="J14" s="656"/>
      <c r="K14" s="6"/>
      <c r="L14" s="6"/>
      <c r="M14" s="6"/>
      <c r="N14" s="6"/>
    </row>
    <row r="15" spans="1:14">
      <c r="A15" s="7" t="s">
        <v>164</v>
      </c>
      <c r="B15" s="653">
        <v>0.65</v>
      </c>
      <c r="C15" s="653" t="s">
        <v>165</v>
      </c>
      <c r="D15" s="653"/>
      <c r="E15" s="654"/>
      <c r="F15" s="653"/>
      <c r="G15" s="653"/>
      <c r="H15" s="655"/>
      <c r="I15" s="655"/>
      <c r="J15" s="656"/>
      <c r="K15" s="6"/>
      <c r="L15" s="6"/>
      <c r="M15" s="6"/>
      <c r="N15" s="6"/>
    </row>
    <row r="16" spans="1:14">
      <c r="A16" s="7" t="s">
        <v>166</v>
      </c>
      <c r="B16" s="653">
        <v>34</v>
      </c>
      <c r="C16" s="653" t="s">
        <v>167</v>
      </c>
      <c r="D16" s="653"/>
      <c r="E16" s="654"/>
      <c r="F16" s="653"/>
      <c r="G16" s="653"/>
      <c r="H16" s="655"/>
      <c r="I16" s="655"/>
      <c r="J16" s="656"/>
      <c r="K16" s="6"/>
      <c r="L16" s="6"/>
      <c r="M16" s="6"/>
      <c r="N16" s="6"/>
    </row>
    <row r="17" spans="1:14">
      <c r="A17" s="7" t="s">
        <v>168</v>
      </c>
      <c r="B17" s="653">
        <v>21</v>
      </c>
      <c r="C17" s="653" t="s">
        <v>169</v>
      </c>
      <c r="D17" s="653"/>
      <c r="E17" s="654"/>
      <c r="F17" s="653"/>
      <c r="G17" s="653"/>
      <c r="H17" s="655"/>
      <c r="I17" s="655"/>
      <c r="J17" s="656"/>
      <c r="K17" s="6"/>
      <c r="L17" s="6"/>
      <c r="M17" s="6"/>
      <c r="N17" s="6"/>
    </row>
    <row r="18" spans="1:14">
      <c r="A18" s="7" t="s">
        <v>170</v>
      </c>
      <c r="B18" s="653">
        <v>6</v>
      </c>
      <c r="C18" s="659" t="s">
        <v>171</v>
      </c>
      <c r="D18" s="653"/>
      <c r="E18" s="654"/>
      <c r="F18" s="653"/>
      <c r="G18" s="653"/>
      <c r="H18" s="655"/>
      <c r="I18" s="655"/>
      <c r="J18" s="656"/>
      <c r="K18" s="6"/>
      <c r="L18" s="6"/>
      <c r="M18" s="6"/>
      <c r="N18" s="6"/>
    </row>
    <row r="19" spans="1:14">
      <c r="A19" s="7" t="s">
        <v>172</v>
      </c>
      <c r="B19" s="653">
        <v>8060</v>
      </c>
      <c r="C19" s="653" t="s">
        <v>165</v>
      </c>
      <c r="D19" s="653"/>
      <c r="E19" s="654"/>
      <c r="F19" s="653"/>
      <c r="G19" s="653"/>
      <c r="H19" s="655"/>
      <c r="I19" s="655"/>
      <c r="J19" s="656"/>
      <c r="K19" s="6"/>
      <c r="L19" s="6"/>
      <c r="M19" s="6"/>
      <c r="N19" s="6"/>
    </row>
    <row r="20" spans="1:14">
      <c r="A20" s="7" t="s">
        <v>173</v>
      </c>
      <c r="B20" s="653">
        <v>16</v>
      </c>
      <c r="C20" s="653" t="s">
        <v>174</v>
      </c>
      <c r="D20" s="653"/>
      <c r="E20" s="654"/>
      <c r="F20" s="653"/>
      <c r="G20" s="653"/>
      <c r="H20" s="655"/>
      <c r="I20" s="655"/>
      <c r="J20" s="656"/>
      <c r="K20" s="6"/>
      <c r="L20" s="6"/>
      <c r="M20" s="6"/>
      <c r="N20" s="6"/>
    </row>
    <row r="21" spans="1:14">
      <c r="A21" s="7" t="s">
        <v>175</v>
      </c>
      <c r="B21" s="653">
        <v>43</v>
      </c>
      <c r="C21" s="653" t="s">
        <v>174</v>
      </c>
      <c r="D21" s="653"/>
      <c r="E21" s="654"/>
      <c r="F21" s="653"/>
      <c r="G21" s="653"/>
      <c r="H21" s="655"/>
      <c r="I21" s="655"/>
      <c r="J21" s="656"/>
      <c r="K21" s="6"/>
      <c r="L21" s="6"/>
      <c r="M21" s="6"/>
      <c r="N21" s="6"/>
    </row>
    <row r="22" spans="1:14">
      <c r="A22" s="7" t="s">
        <v>176</v>
      </c>
      <c r="B22" s="661">
        <v>0.6</v>
      </c>
      <c r="C22" s="653" t="s">
        <v>174</v>
      </c>
      <c r="D22" s="653"/>
      <c r="E22" s="654"/>
      <c r="F22" s="653"/>
      <c r="G22" s="653"/>
      <c r="H22" s="655"/>
      <c r="I22" s="655"/>
      <c r="J22" s="656"/>
      <c r="K22" s="6"/>
      <c r="L22" s="6"/>
      <c r="M22" s="6"/>
      <c r="N22" s="6"/>
    </row>
    <row r="23" spans="1:14">
      <c r="A23" s="7" t="s">
        <v>177</v>
      </c>
      <c r="B23" s="661">
        <v>0.06</v>
      </c>
      <c r="C23" s="653" t="s">
        <v>174</v>
      </c>
      <c r="D23" s="653"/>
      <c r="E23" s="654"/>
      <c r="F23" s="653"/>
      <c r="G23" s="653"/>
      <c r="H23" s="655"/>
      <c r="I23" s="655"/>
      <c r="J23" s="656"/>
      <c r="K23" s="6"/>
      <c r="L23" s="6"/>
      <c r="M23" s="6"/>
      <c r="N23" s="6"/>
    </row>
    <row r="24" spans="1:14">
      <c r="A24" s="7" t="s">
        <v>178</v>
      </c>
      <c r="B24" s="661">
        <v>0.15</v>
      </c>
      <c r="C24" s="653" t="s">
        <v>174</v>
      </c>
      <c r="D24" s="653"/>
      <c r="E24" s="654"/>
      <c r="F24" s="653"/>
      <c r="G24" s="653"/>
      <c r="H24" s="655"/>
      <c r="I24" s="655"/>
      <c r="J24" s="656"/>
      <c r="K24" s="6"/>
      <c r="L24" s="6"/>
      <c r="M24" s="6"/>
      <c r="N24" s="6"/>
    </row>
    <row r="25" spans="1:14">
      <c r="A25" s="7" t="s">
        <v>179</v>
      </c>
      <c r="B25" s="661">
        <v>0.8</v>
      </c>
      <c r="C25" s="653" t="s">
        <v>174</v>
      </c>
      <c r="D25" s="653"/>
      <c r="E25" s="654"/>
      <c r="F25" s="653"/>
      <c r="G25" s="653"/>
      <c r="H25" s="655"/>
      <c r="I25" s="655"/>
      <c r="J25" s="656"/>
      <c r="K25" s="6"/>
      <c r="L25" s="6"/>
      <c r="M25" s="6"/>
      <c r="N25" s="6"/>
    </row>
    <row r="26" spans="1:14">
      <c r="A26" s="7" t="s">
        <v>180</v>
      </c>
      <c r="B26" s="661">
        <v>0.54963053796718997</v>
      </c>
      <c r="C26" s="653" t="s">
        <v>174</v>
      </c>
      <c r="D26" s="653"/>
      <c r="E26" s="654"/>
      <c r="F26" s="653"/>
      <c r="G26" s="653"/>
      <c r="H26" s="655"/>
      <c r="I26" s="655"/>
      <c r="J26" s="656"/>
      <c r="K26" s="6"/>
      <c r="L26" s="6"/>
      <c r="M26" s="6"/>
      <c r="N26" s="6"/>
    </row>
    <row r="27" spans="1:14">
      <c r="A27" s="5" t="s">
        <v>181</v>
      </c>
      <c r="B27" s="845">
        <v>0.3</v>
      </c>
      <c r="C27" s="846" t="s">
        <v>182</v>
      </c>
      <c r="D27" s="13"/>
      <c r="E27" s="13"/>
      <c r="F27" s="13"/>
      <c r="H27" s="6"/>
      <c r="I27" s="6"/>
      <c r="J27" s="6"/>
      <c r="K27" s="6"/>
      <c r="L27" s="6"/>
      <c r="M27" s="6"/>
      <c r="N27" s="6"/>
    </row>
    <row r="28" spans="1:14">
      <c r="A28" s="5" t="s">
        <v>183</v>
      </c>
      <c r="B28" s="847">
        <v>300</v>
      </c>
      <c r="C28" s="846" t="s">
        <v>184</v>
      </c>
      <c r="D28" s="13"/>
      <c r="E28" s="13"/>
      <c r="F28" s="13"/>
      <c r="H28" s="6"/>
      <c r="I28" s="6"/>
      <c r="J28" s="6"/>
      <c r="K28" s="6"/>
      <c r="L28" s="6"/>
      <c r="M28" s="6"/>
      <c r="N28" s="6"/>
    </row>
    <row r="29" spans="1:14">
      <c r="A29" s="5" t="s">
        <v>185</v>
      </c>
      <c r="B29" s="847">
        <v>0.22</v>
      </c>
      <c r="C29" s="846" t="s">
        <v>186</v>
      </c>
      <c r="D29" s="13"/>
      <c r="E29" s="13"/>
      <c r="F29" s="13"/>
      <c r="H29" s="6"/>
      <c r="I29" s="6"/>
      <c r="J29" s="6"/>
      <c r="K29" s="6"/>
      <c r="L29" s="6"/>
      <c r="M29" s="6"/>
      <c r="N29" s="6"/>
    </row>
    <row r="30" spans="1:14">
      <c r="A30" s="7" t="s">
        <v>187</v>
      </c>
      <c r="B30" s="662">
        <v>1.6</v>
      </c>
      <c r="C30" s="653" t="s">
        <v>188</v>
      </c>
      <c r="D30" s="653"/>
      <c r="E30" s="654"/>
      <c r="F30" s="653"/>
      <c r="G30" s="653"/>
      <c r="H30" s="655"/>
      <c r="I30" s="655"/>
      <c r="J30" s="656"/>
      <c r="K30" s="6"/>
      <c r="L30" s="6"/>
      <c r="M30" s="6"/>
      <c r="N30" s="6"/>
    </row>
    <row r="31" spans="1:14">
      <c r="A31" s="7" t="s">
        <v>189</v>
      </c>
      <c r="B31" s="662">
        <v>1</v>
      </c>
      <c r="C31" s="653" t="s">
        <v>174</v>
      </c>
      <c r="D31" s="653"/>
      <c r="E31" s="654"/>
      <c r="F31" s="653"/>
      <c r="G31" s="653"/>
      <c r="H31" s="655"/>
      <c r="I31" s="655"/>
      <c r="J31" s="656"/>
      <c r="K31" s="6"/>
      <c r="L31" s="6"/>
      <c r="M31" s="6"/>
      <c r="N31" s="6"/>
    </row>
    <row r="32" spans="1:14" ht="19.5" customHeight="1">
      <c r="A32" s="7" t="s">
        <v>190</v>
      </c>
      <c r="B32" s="663">
        <v>278</v>
      </c>
      <c r="C32" s="653" t="s">
        <v>191</v>
      </c>
      <c r="D32" s="653"/>
      <c r="E32" s="654"/>
      <c r="F32" s="653"/>
      <c r="G32" s="653"/>
      <c r="H32" s="655"/>
      <c r="I32" s="655"/>
      <c r="J32" s="656"/>
      <c r="K32" s="6"/>
      <c r="L32" s="6"/>
      <c r="M32" s="6"/>
      <c r="N32" s="6"/>
    </row>
    <row r="33" spans="1:14">
      <c r="A33" s="7" t="s">
        <v>192</v>
      </c>
      <c r="B33" s="663">
        <v>0.25</v>
      </c>
      <c r="C33" s="653" t="s">
        <v>174</v>
      </c>
      <c r="D33" s="653"/>
      <c r="E33" s="654"/>
      <c r="F33" s="653"/>
      <c r="G33" s="653"/>
      <c r="H33" s="655"/>
      <c r="I33" s="655"/>
      <c r="J33" s="656"/>
      <c r="K33" s="6"/>
      <c r="L33" s="6"/>
      <c r="M33" s="6"/>
      <c r="N33" s="6"/>
    </row>
    <row r="34" spans="1:14">
      <c r="A34" s="7" t="s">
        <v>193</v>
      </c>
      <c r="B34" s="687">
        <v>2.0000000000000001E-4</v>
      </c>
      <c r="C34" s="653" t="s">
        <v>194</v>
      </c>
      <c r="D34" s="653"/>
      <c r="E34" s="654"/>
      <c r="F34" s="653"/>
      <c r="G34" s="653"/>
      <c r="H34" s="655"/>
      <c r="I34" s="655"/>
      <c r="J34" s="656"/>
      <c r="K34" s="6"/>
      <c r="L34" s="6"/>
      <c r="M34" s="6"/>
      <c r="N34" s="6"/>
    </row>
    <row r="35" spans="1:14">
      <c r="A35" s="7" t="s">
        <v>195</v>
      </c>
      <c r="B35" s="653">
        <v>0.1</v>
      </c>
      <c r="C35" s="653"/>
      <c r="D35" s="653"/>
      <c r="E35" s="654"/>
      <c r="F35" s="653"/>
      <c r="G35" s="653"/>
      <c r="H35" s="655"/>
      <c r="I35" s="655"/>
      <c r="J35" s="656"/>
      <c r="K35" s="6"/>
      <c r="L35" s="6"/>
      <c r="M35" s="6"/>
      <c r="N35" s="6"/>
    </row>
    <row r="36" spans="1:14" ht="17.45" customHeight="1">
      <c r="A36" s="7" t="s">
        <v>196</v>
      </c>
      <c r="B36" s="653">
        <v>0.1</v>
      </c>
      <c r="C36" s="653"/>
      <c r="D36" s="653"/>
      <c r="E36" s="654"/>
      <c r="F36" s="653"/>
      <c r="G36" s="653"/>
      <c r="H36" s="655"/>
      <c r="I36" s="655"/>
      <c r="J36" s="656"/>
      <c r="K36" s="6"/>
      <c r="L36" s="6"/>
      <c r="M36" s="6"/>
      <c r="N36" s="6"/>
    </row>
    <row r="37" spans="1:14">
      <c r="A37" s="7" t="s">
        <v>197</v>
      </c>
      <c r="B37" s="653">
        <v>0.01</v>
      </c>
      <c r="C37" s="653"/>
      <c r="D37" s="653"/>
      <c r="E37" s="654"/>
      <c r="F37" s="653"/>
      <c r="G37" s="653"/>
      <c r="H37" s="655"/>
      <c r="I37" s="655"/>
      <c r="J37" s="656"/>
      <c r="K37" s="6"/>
      <c r="L37" s="6"/>
      <c r="M37" s="6"/>
      <c r="N37" s="6"/>
    </row>
    <row r="38" spans="1:14">
      <c r="A38" s="7" t="s">
        <v>198</v>
      </c>
      <c r="B38" s="653">
        <v>852.11300000000006</v>
      </c>
      <c r="C38" s="653"/>
      <c r="D38" s="653"/>
      <c r="E38" s="654"/>
      <c r="F38" s="653"/>
      <c r="H38" s="655"/>
      <c r="I38" s="655"/>
      <c r="J38" s="656"/>
      <c r="K38" s="6"/>
      <c r="L38" s="6"/>
      <c r="M38" s="6"/>
      <c r="N38" s="6"/>
    </row>
    <row r="39" spans="1:14">
      <c r="A39" s="7" t="s">
        <v>199</v>
      </c>
      <c r="B39" s="672">
        <v>1.1739999999999999E-3</v>
      </c>
      <c r="C39" s="653"/>
      <c r="D39" s="653"/>
      <c r="E39" s="654"/>
      <c r="F39" s="653"/>
      <c r="H39" s="655"/>
      <c r="I39" s="655"/>
      <c r="J39" s="656"/>
      <c r="K39" s="6"/>
      <c r="L39" s="6"/>
      <c r="M39" s="6"/>
      <c r="N39" s="6"/>
    </row>
    <row r="40" spans="1:14">
      <c r="A40" s="7" t="s">
        <v>200</v>
      </c>
      <c r="B40" s="672">
        <v>1E-3</v>
      </c>
      <c r="C40" s="653"/>
      <c r="D40" s="653"/>
      <c r="E40" s="654"/>
      <c r="F40" s="653"/>
      <c r="H40" s="655"/>
      <c r="I40" s="655"/>
      <c r="J40" s="656"/>
      <c r="K40" s="6"/>
      <c r="L40" s="6"/>
      <c r="M40" s="6"/>
      <c r="N40" s="6"/>
    </row>
    <row r="41" spans="1:14">
      <c r="A41" s="7" t="s">
        <v>201</v>
      </c>
      <c r="B41" s="671">
        <v>2.8319999999999999</v>
      </c>
      <c r="C41" s="653"/>
      <c r="D41" s="653"/>
      <c r="E41" s="654"/>
      <c r="F41" s="653"/>
      <c r="H41" s="655"/>
      <c r="I41" s="655"/>
      <c r="J41" s="656"/>
      <c r="K41" s="6"/>
      <c r="L41" s="6"/>
      <c r="M41" s="6"/>
      <c r="N41" s="6"/>
    </row>
    <row r="42" spans="1:14">
      <c r="A42" s="7" t="s">
        <v>202</v>
      </c>
      <c r="B42" s="671">
        <v>1000000</v>
      </c>
      <c r="C42" s="653"/>
      <c r="D42" s="653"/>
      <c r="E42" s="654"/>
      <c r="F42" s="653"/>
      <c r="H42" s="655"/>
      <c r="I42" s="655"/>
      <c r="J42" s="656"/>
      <c r="K42" s="6"/>
      <c r="L42" s="6"/>
      <c r="M42" s="6"/>
      <c r="N42" s="6"/>
    </row>
    <row r="43" spans="1:14">
      <c r="A43" s="7" t="s">
        <v>203</v>
      </c>
      <c r="B43" s="671">
        <v>3.6</v>
      </c>
      <c r="C43" s="653"/>
      <c r="D43" s="653"/>
      <c r="E43" s="654"/>
      <c r="F43" s="653"/>
      <c r="H43" s="655"/>
      <c r="I43" s="655"/>
      <c r="J43" s="656"/>
      <c r="K43" s="6"/>
      <c r="L43" s="6"/>
      <c r="M43" s="6"/>
      <c r="N43" s="6"/>
    </row>
    <row r="44" spans="1:14">
      <c r="A44" s="7" t="s">
        <v>204</v>
      </c>
      <c r="B44" s="671">
        <v>1000</v>
      </c>
      <c r="C44" s="653"/>
      <c r="D44" s="653"/>
      <c r="E44" s="654"/>
      <c r="F44" s="653"/>
      <c r="H44" s="655"/>
      <c r="I44" s="655"/>
      <c r="J44" s="656"/>
      <c r="K44" s="6"/>
      <c r="L44" s="6"/>
      <c r="M44" s="6"/>
      <c r="N44" s="6"/>
    </row>
    <row r="45" spans="1:14">
      <c r="A45" s="7" t="s">
        <v>205</v>
      </c>
      <c r="B45" s="671">
        <v>3.6</v>
      </c>
      <c r="C45" s="653"/>
      <c r="D45" s="653"/>
      <c r="E45" s="654"/>
      <c r="F45" s="653"/>
      <c r="H45" s="655"/>
      <c r="I45" s="655"/>
      <c r="J45" s="656"/>
      <c r="K45" s="6"/>
      <c r="L45" s="6"/>
      <c r="M45" s="6"/>
      <c r="N45" s="6"/>
    </row>
    <row r="46" spans="1:14">
      <c r="A46" s="7" t="s">
        <v>206</v>
      </c>
      <c r="B46" s="671">
        <v>1000</v>
      </c>
      <c r="C46" s="653"/>
      <c r="D46" s="653"/>
      <c r="E46" s="654"/>
      <c r="F46" s="653"/>
      <c r="H46" s="655"/>
      <c r="I46" s="655"/>
      <c r="J46" s="656"/>
      <c r="K46" s="6"/>
      <c r="L46" s="6"/>
      <c r="M46" s="6"/>
      <c r="N46" s="6"/>
    </row>
    <row r="47" spans="1:14">
      <c r="A47" s="7" t="s">
        <v>207</v>
      </c>
      <c r="B47" s="671">
        <v>1</v>
      </c>
      <c r="C47" s="653"/>
      <c r="D47" s="653"/>
      <c r="E47" s="654"/>
      <c r="F47" s="653"/>
      <c r="H47" s="655"/>
      <c r="I47" s="655"/>
      <c r="J47" s="656"/>
      <c r="K47" s="6"/>
      <c r="L47" s="6"/>
      <c r="M47" s="6"/>
      <c r="N47" s="6"/>
    </row>
    <row r="48" spans="1:14">
      <c r="A48" s="7" t="s">
        <v>208</v>
      </c>
      <c r="B48" s="671">
        <v>1000</v>
      </c>
      <c r="C48" s="653"/>
      <c r="D48" s="653"/>
      <c r="E48" s="654"/>
      <c r="F48" s="653"/>
      <c r="H48" s="655"/>
      <c r="I48" s="655"/>
      <c r="J48" s="656"/>
      <c r="K48" s="6"/>
      <c r="L48" s="6"/>
      <c r="M48" s="6"/>
      <c r="N48" s="6"/>
    </row>
    <row r="49" spans="1:14" ht="16.5">
      <c r="A49" s="690" t="s">
        <v>209</v>
      </c>
      <c r="B49" s="671"/>
      <c r="C49" s="653"/>
      <c r="D49" s="653"/>
      <c r="E49" s="654"/>
      <c r="F49" s="653"/>
      <c r="H49" s="655"/>
      <c r="I49" s="655"/>
      <c r="J49" s="656"/>
      <c r="K49" s="6"/>
      <c r="L49" s="6"/>
      <c r="M49" s="6"/>
      <c r="N49" s="6"/>
    </row>
    <row r="50" spans="1:14" ht="21">
      <c r="A50" s="691" t="s">
        <v>210</v>
      </c>
      <c r="B50" s="671"/>
      <c r="C50" s="653"/>
      <c r="D50" s="653"/>
      <c r="E50" s="654"/>
      <c r="F50" s="653"/>
      <c r="H50" s="655"/>
      <c r="I50" s="655"/>
      <c r="J50" s="656"/>
      <c r="K50" s="6"/>
      <c r="L50" s="6"/>
      <c r="M50" s="6"/>
      <c r="N50" s="6"/>
    </row>
    <row r="51" spans="1:14">
      <c r="A51" s="7"/>
      <c r="B51" s="671"/>
      <c r="C51" s="653"/>
      <c r="D51" s="653"/>
      <c r="E51" s="654"/>
      <c r="F51" s="653"/>
      <c r="H51" s="655"/>
      <c r="I51" s="655"/>
      <c r="J51" s="656"/>
      <c r="K51" s="6"/>
      <c r="L51" s="6"/>
      <c r="M51" s="6"/>
      <c r="N51" s="6"/>
    </row>
    <row r="52" spans="1:14">
      <c r="A52" s="7"/>
      <c r="B52" s="671"/>
      <c r="C52" s="653"/>
      <c r="D52" s="653"/>
      <c r="E52" s="654"/>
      <c r="F52" s="653"/>
      <c r="H52" s="655"/>
      <c r="I52" s="655"/>
      <c r="J52" s="656"/>
      <c r="K52" s="6"/>
      <c r="L52" s="6"/>
      <c r="M52" s="6"/>
      <c r="N52" s="6"/>
    </row>
    <row r="53" spans="1:14">
      <c r="A53" s="9" t="s">
        <v>211</v>
      </c>
      <c r="B53" s="671"/>
      <c r="C53" s="653"/>
      <c r="D53" s="653"/>
      <c r="E53" s="654"/>
      <c r="F53" s="653"/>
      <c r="H53" s="655"/>
      <c r="I53" s="655"/>
      <c r="J53" s="656"/>
      <c r="K53" s="6"/>
      <c r="L53" s="6"/>
      <c r="M53" s="6"/>
      <c r="N53" s="6"/>
    </row>
    <row r="54" spans="1:14">
      <c r="A54" s="7" t="s">
        <v>212</v>
      </c>
      <c r="B54" s="673">
        <v>0</v>
      </c>
      <c r="C54" s="653" t="s">
        <v>213</v>
      </c>
      <c r="D54" s="653"/>
      <c r="E54" s="654"/>
      <c r="F54" s="653"/>
      <c r="H54" s="655"/>
      <c r="I54" s="655"/>
      <c r="J54" s="656"/>
      <c r="K54" s="6"/>
      <c r="L54" s="6"/>
      <c r="M54" s="6"/>
      <c r="N54" s="6"/>
    </row>
    <row r="55" spans="1:14">
      <c r="A55" s="7" t="s">
        <v>214</v>
      </c>
      <c r="B55" s="673">
        <f>0.0075</f>
        <v>7.4999999999999997E-3</v>
      </c>
      <c r="C55" s="653"/>
      <c r="D55" s="653"/>
      <c r="E55" s="654"/>
      <c r="F55" s="653"/>
      <c r="H55" s="655"/>
      <c r="I55" s="655"/>
      <c r="J55" s="656"/>
      <c r="K55" s="6"/>
      <c r="L55" s="6"/>
      <c r="M55" s="6"/>
      <c r="N55" s="6"/>
    </row>
    <row r="56" spans="1:14">
      <c r="A56" s="7" t="s">
        <v>215</v>
      </c>
      <c r="B56" s="673">
        <v>0.12</v>
      </c>
      <c r="C56" s="653" t="s">
        <v>216</v>
      </c>
      <c r="D56" s="653"/>
      <c r="E56" s="654"/>
      <c r="F56" s="653"/>
      <c r="H56" s="655"/>
      <c r="I56" s="655"/>
      <c r="J56" s="656"/>
      <c r="K56" s="6"/>
      <c r="L56" s="6"/>
      <c r="M56" s="6"/>
      <c r="N56" s="6"/>
    </row>
    <row r="57" spans="1:14">
      <c r="A57" s="7" t="s">
        <v>217</v>
      </c>
      <c r="B57" s="674">
        <v>0.2</v>
      </c>
      <c r="C57" s="653" t="s">
        <v>218</v>
      </c>
      <c r="D57" s="653"/>
      <c r="E57" s="654"/>
      <c r="F57" s="653"/>
      <c r="H57" s="655"/>
      <c r="I57" s="655"/>
      <c r="J57" s="656"/>
      <c r="K57" s="6"/>
      <c r="L57" s="6"/>
      <c r="M57" s="6"/>
      <c r="N57" s="6"/>
    </row>
    <row r="58" spans="1:14">
      <c r="A58" s="7"/>
      <c r="H58" s="8"/>
      <c r="I58" s="8"/>
      <c r="J58" s="6"/>
      <c r="K58" s="6"/>
      <c r="L58" s="6"/>
      <c r="M58" s="6"/>
      <c r="N58" s="6"/>
    </row>
    <row r="59" spans="1:14">
      <c r="A59" s="9" t="s">
        <v>219</v>
      </c>
      <c r="F59" s="13"/>
      <c r="H59" s="6"/>
      <c r="I59" s="6"/>
      <c r="J59" s="6"/>
      <c r="K59" s="6"/>
      <c r="L59" s="6"/>
      <c r="M59" s="6"/>
      <c r="N59" s="6"/>
    </row>
    <row r="60" spans="1:14">
      <c r="A60" s="10" t="s">
        <v>220</v>
      </c>
      <c r="B60" s="11">
        <v>20</v>
      </c>
      <c r="H60" s="6"/>
      <c r="I60" s="6"/>
      <c r="J60" s="6"/>
      <c r="K60" s="6"/>
      <c r="L60" s="6"/>
      <c r="M60" s="6"/>
      <c r="N60" s="6"/>
    </row>
    <row r="61" spans="1:14">
      <c r="A61" s="5" t="s">
        <v>221</v>
      </c>
      <c r="B61" s="12">
        <f>'Assump&amp;Est_Senegal'!D24</f>
        <v>5218.5905985576919</v>
      </c>
      <c r="D61" s="13"/>
      <c r="E61" s="13"/>
      <c r="F61" s="13"/>
      <c r="H61" s="6"/>
      <c r="I61" s="6"/>
      <c r="J61" s="6"/>
      <c r="K61" s="6"/>
      <c r="L61" s="6"/>
      <c r="M61" s="6"/>
      <c r="N61" s="6"/>
    </row>
    <row r="62" spans="1:14">
      <c r="A62" s="5" t="s">
        <v>222</v>
      </c>
      <c r="B62" s="12">
        <f>B12*CapUtilFactorofBiodigester</f>
        <v>7923907.9648500001</v>
      </c>
      <c r="D62" s="13"/>
      <c r="E62" s="13"/>
      <c r="F62" s="13"/>
      <c r="H62" s="6"/>
      <c r="I62" s="6"/>
      <c r="J62" s="6"/>
      <c r="K62" s="6"/>
      <c r="L62" s="6"/>
      <c r="M62" s="6"/>
      <c r="N62" s="6"/>
    </row>
    <row r="63" spans="1:14">
      <c r="A63" s="5" t="s">
        <v>223</v>
      </c>
      <c r="B63" s="12">
        <f>B62*EfficiencyValBiogas</f>
        <v>4754344.7789099999</v>
      </c>
      <c r="D63" s="13"/>
      <c r="E63" s="13"/>
      <c r="F63" s="13"/>
      <c r="H63" s="6"/>
      <c r="I63" s="6"/>
      <c r="J63" s="6"/>
      <c r="K63" s="6"/>
      <c r="L63" s="6"/>
      <c r="M63" s="6"/>
      <c r="N63" s="6"/>
    </row>
    <row r="64" spans="1:14">
      <c r="A64" s="5" t="s">
        <v>224</v>
      </c>
      <c r="B64" s="12">
        <f>(EValKerosene/EvalBiogas)*(B63*0.3)*(1/B40)*EfficiencyValKerosene</f>
        <v>175231564.70839712</v>
      </c>
      <c r="D64" s="13"/>
      <c r="E64" s="13"/>
      <c r="F64" s="13"/>
      <c r="H64" s="6"/>
      <c r="I64" s="6"/>
      <c r="J64" s="6"/>
      <c r="K64" s="6"/>
      <c r="L64" s="6"/>
      <c r="M64" s="6"/>
      <c r="N64" s="6"/>
    </row>
    <row r="65" spans="1:28">
      <c r="A65" s="5" t="s">
        <v>225</v>
      </c>
      <c r="B65" s="12">
        <f>(EvalFuelwood/EvalBiogas)*(B63*0.7)*(1/B41)*EfficiencyValFuelwood</f>
        <v>134303.52482796609</v>
      </c>
      <c r="D65" s="13"/>
      <c r="E65" s="13"/>
      <c r="F65" s="13"/>
      <c r="H65" s="6"/>
      <c r="I65" s="6"/>
      <c r="J65" s="6"/>
      <c r="K65" s="6"/>
      <c r="L65" s="6"/>
      <c r="M65" s="6"/>
      <c r="N65" s="6"/>
    </row>
    <row r="66" spans="1:28">
      <c r="A66" s="5" t="s">
        <v>226</v>
      </c>
      <c r="B66" s="12">
        <f>B62*ValRtUrea_Utilization*(1/B39)</f>
        <v>1349899.1422231689</v>
      </c>
      <c r="D66" s="13"/>
      <c r="E66" s="13"/>
      <c r="F66" s="13"/>
      <c r="H66" s="6"/>
      <c r="I66" s="6"/>
      <c r="J66" s="6"/>
      <c r="K66" s="6"/>
      <c r="L66" s="6"/>
      <c r="M66" s="6"/>
      <c r="N66" s="6"/>
    </row>
    <row r="67" spans="1:28">
      <c r="A67" s="7" t="s">
        <v>227</v>
      </c>
      <c r="B67" s="658">
        <f>B12*EvalBiogas*Efficiency*(1/B45)</f>
        <v>17333548.673109375</v>
      </c>
      <c r="C67" s="14"/>
      <c r="D67" s="11"/>
      <c r="E67" s="658"/>
      <c r="F67" s="693"/>
      <c r="H67" s="6"/>
      <c r="I67" s="6"/>
      <c r="J67" s="6"/>
      <c r="K67" s="6"/>
      <c r="L67" s="6"/>
      <c r="M67" s="6"/>
      <c r="N67" s="6"/>
    </row>
    <row r="68" spans="1:28">
      <c r="A68" s="7" t="s">
        <v>228</v>
      </c>
      <c r="B68" s="658">
        <f>B67*GensetCapacityUtilFac</f>
        <v>9527047.6820815783</v>
      </c>
      <c r="C68" s="14"/>
      <c r="D68" s="11"/>
      <c r="E68" s="658"/>
      <c r="F68" s="693"/>
      <c r="H68" s="6"/>
      <c r="I68" s="6"/>
      <c r="J68" s="6"/>
      <c r="K68" s="6"/>
      <c r="L68" s="6"/>
      <c r="M68" s="6"/>
      <c r="N68" s="6"/>
    </row>
    <row r="69" spans="1:28">
      <c r="A69" s="7" t="s">
        <v>229</v>
      </c>
      <c r="B69" s="12">
        <f>B68/(365*12)</f>
        <v>2175.1250415711365</v>
      </c>
      <c r="C69" s="14"/>
      <c r="D69" s="11"/>
      <c r="E69" s="692"/>
      <c r="F69" s="11"/>
      <c r="H69" s="6"/>
      <c r="I69" s="6"/>
      <c r="J69" s="6"/>
      <c r="K69" s="6"/>
      <c r="L69" s="6"/>
      <c r="M69" s="6"/>
      <c r="N69" s="6"/>
    </row>
    <row r="70" spans="1:28">
      <c r="A70" s="7"/>
      <c r="B70" s="12"/>
      <c r="C70" s="14"/>
      <c r="D70" s="11"/>
      <c r="E70" s="11"/>
      <c r="F70" s="11"/>
      <c r="H70" s="6"/>
      <c r="I70" s="6"/>
      <c r="J70" s="6"/>
      <c r="K70" s="6"/>
      <c r="L70" s="6"/>
      <c r="M70" s="6"/>
      <c r="N70" s="6"/>
    </row>
    <row r="71" spans="1:28">
      <c r="A71" s="7"/>
      <c r="B71" s="12"/>
      <c r="C71" s="14"/>
      <c r="D71" s="11"/>
      <c r="E71" s="11"/>
      <c r="F71" s="11"/>
      <c r="H71" s="6"/>
      <c r="I71" s="6"/>
      <c r="J71" s="6"/>
      <c r="K71" s="6"/>
      <c r="L71" s="6"/>
      <c r="M71" s="6"/>
      <c r="N71" s="6"/>
    </row>
    <row r="72" spans="1:28">
      <c r="A72" s="7"/>
      <c r="B72" s="12"/>
      <c r="C72" s="14"/>
      <c r="D72" s="11"/>
      <c r="E72" s="11"/>
      <c r="F72" s="11"/>
      <c r="H72" s="6"/>
      <c r="I72" s="6"/>
      <c r="J72" s="6"/>
      <c r="K72" s="6"/>
      <c r="L72" s="6"/>
      <c r="M72" s="6"/>
      <c r="N72" s="6"/>
    </row>
    <row r="73" spans="1:28">
      <c r="A73" s="664" t="s">
        <v>230</v>
      </c>
      <c r="B73" s="665"/>
      <c r="C73" s="665" t="s">
        <v>231</v>
      </c>
      <c r="D73" s="665" t="s">
        <v>374</v>
      </c>
      <c r="E73" s="670" t="s">
        <v>375</v>
      </c>
      <c r="F73" s="665" t="str">
        <f>'SolarPV Financial Analysis'!F75</f>
        <v>20X3</v>
      </c>
      <c r="G73" s="665" t="str">
        <f>'SolarPV Financial Analysis'!G75</f>
        <v>20X4</v>
      </c>
      <c r="H73" s="666" t="str">
        <f>'SolarPV Financial Analysis'!H75</f>
        <v>20X5</v>
      </c>
      <c r="I73" s="666" t="str">
        <f>'SolarPV Financial Analysis'!I75</f>
        <v>20X6</v>
      </c>
      <c r="J73" s="667" t="str">
        <f>'SolarPV Financial Analysis'!J75</f>
        <v>20X7</v>
      </c>
      <c r="K73" s="668" t="str">
        <f>'SolarPV Financial Analysis'!K75</f>
        <v>20X8</v>
      </c>
      <c r="L73" s="668" t="str">
        <f>'SolarPV Financial Analysis'!L75</f>
        <v>20X9</v>
      </c>
      <c r="M73" s="668" t="str">
        <f>'SolarPV Financial Analysis'!M75</f>
        <v>20X10</v>
      </c>
      <c r="N73" s="668" t="str">
        <f>'SolarPV Financial Analysis'!N75</f>
        <v>20X11</v>
      </c>
      <c r="O73" s="669" t="str">
        <f>'SolarPV Financial Analysis'!O75</f>
        <v>20X12</v>
      </c>
      <c r="P73" s="669" t="str">
        <f>'SolarPV Financial Analysis'!P75</f>
        <v>20X13</v>
      </c>
      <c r="Q73" s="669" t="str">
        <f>'SolarPV Financial Analysis'!Q75</f>
        <v>20X14</v>
      </c>
      <c r="R73" s="669" t="str">
        <f>'SolarPV Financial Analysis'!R75</f>
        <v>20X15</v>
      </c>
      <c r="S73" s="669" t="str">
        <f>'SolarPV Financial Analysis'!S75</f>
        <v>20X16</v>
      </c>
      <c r="T73" s="669" t="str">
        <f>'SolarPV Financial Analysis'!T75</f>
        <v>20X17</v>
      </c>
      <c r="U73" s="669" t="str">
        <f>'SolarPV Financial Analysis'!U75</f>
        <v>20X18</v>
      </c>
      <c r="V73" s="669" t="str">
        <f>'SolarPV Financial Analysis'!V75</f>
        <v>20X19</v>
      </c>
      <c r="W73" s="669" t="str">
        <f>'SolarPV Financial Analysis'!W75</f>
        <v>20X20</v>
      </c>
      <c r="X73" s="669" t="str">
        <f>'SolarPV Financial Analysis'!X75</f>
        <v>20X21</v>
      </c>
      <c r="Y73" s="669" t="str">
        <f>'SolarPV Financial Analysis'!Y75</f>
        <v>20X22</v>
      </c>
      <c r="Z73" s="669" t="str">
        <f>'SolarPV Financial Analysis'!Z75</f>
        <v>20X23</v>
      </c>
      <c r="AA73" s="669" t="str">
        <f>'SolarPV Financial Analysis'!AA75</f>
        <v>20X24</v>
      </c>
      <c r="AB73" s="669" t="str">
        <f>'SolarPV Financial Analysis'!AB75</f>
        <v>20X25</v>
      </c>
    </row>
    <row r="74" spans="1:28">
      <c r="A74" s="675"/>
      <c r="B74" s="676"/>
      <c r="C74" s="676" t="s">
        <v>257</v>
      </c>
      <c r="D74" s="676">
        <v>0</v>
      </c>
      <c r="E74" s="677">
        <v>1</v>
      </c>
      <c r="F74" s="676">
        <v>2</v>
      </c>
      <c r="G74" s="676">
        <v>3</v>
      </c>
      <c r="H74" s="677">
        <v>4</v>
      </c>
      <c r="I74" s="676">
        <v>5</v>
      </c>
      <c r="J74" s="676">
        <v>6</v>
      </c>
      <c r="K74" s="677">
        <v>7</v>
      </c>
      <c r="L74" s="676">
        <v>8</v>
      </c>
      <c r="M74" s="676">
        <v>9</v>
      </c>
      <c r="N74" s="677">
        <v>10</v>
      </c>
      <c r="O74" s="676">
        <v>11</v>
      </c>
      <c r="P74" s="676">
        <v>12</v>
      </c>
      <c r="Q74" s="677">
        <v>13</v>
      </c>
      <c r="R74" s="676">
        <v>14</v>
      </c>
      <c r="S74" s="676">
        <v>15</v>
      </c>
      <c r="T74" s="677">
        <v>16</v>
      </c>
      <c r="U74" s="676">
        <v>17</v>
      </c>
      <c r="V74" s="676">
        <v>18</v>
      </c>
      <c r="W74" s="677">
        <v>19</v>
      </c>
      <c r="X74" s="676">
        <v>20</v>
      </c>
      <c r="Y74" s="676">
        <v>21</v>
      </c>
      <c r="Z74" s="677">
        <v>22</v>
      </c>
      <c r="AA74" s="676">
        <v>23</v>
      </c>
      <c r="AB74" s="676">
        <v>24</v>
      </c>
    </row>
    <row r="75" spans="1:28">
      <c r="A75" s="5" t="s">
        <v>258</v>
      </c>
      <c r="B75" s="653">
        <f>TFCostBiodigester*B61</f>
        <v>1565577.1795673075</v>
      </c>
      <c r="C75" s="653"/>
      <c r="D75" s="653">
        <f>B75</f>
        <v>1565577.1795673075</v>
      </c>
      <c r="E75" s="654">
        <v>0</v>
      </c>
      <c r="F75" s="653">
        <v>0</v>
      </c>
      <c r="G75" s="653">
        <v>0</v>
      </c>
      <c r="H75" s="653">
        <v>0</v>
      </c>
      <c r="I75" s="653">
        <v>0</v>
      </c>
      <c r="J75" s="653">
        <v>0</v>
      </c>
      <c r="K75" s="653">
        <v>0</v>
      </c>
      <c r="L75" s="653">
        <v>0</v>
      </c>
      <c r="M75" s="653">
        <v>0</v>
      </c>
      <c r="N75" s="653">
        <v>0</v>
      </c>
      <c r="O75" s="653">
        <v>0</v>
      </c>
      <c r="P75" s="653">
        <v>0</v>
      </c>
      <c r="Q75" s="653">
        <v>0</v>
      </c>
      <c r="R75" s="653">
        <v>0</v>
      </c>
      <c r="S75" s="653">
        <v>0</v>
      </c>
      <c r="T75" s="653">
        <v>0</v>
      </c>
      <c r="U75" s="653">
        <v>0</v>
      </c>
      <c r="V75" s="653">
        <v>0</v>
      </c>
      <c r="W75" s="653">
        <v>0</v>
      </c>
      <c r="X75" s="653">
        <v>0</v>
      </c>
      <c r="Y75" s="653">
        <v>0</v>
      </c>
      <c r="Z75" s="653">
        <v>0</v>
      </c>
      <c r="AA75" s="653">
        <v>0</v>
      </c>
      <c r="AB75" s="653">
        <v>0</v>
      </c>
    </row>
    <row r="76" spans="1:28">
      <c r="A76" s="5" t="s">
        <v>259</v>
      </c>
      <c r="B76" s="653">
        <f>B75*0.05</f>
        <v>78278.858978365373</v>
      </c>
      <c r="C76" s="653"/>
      <c r="D76" s="653">
        <f>B76</f>
        <v>78278.858978365373</v>
      </c>
      <c r="E76" s="653">
        <v>100233.11175343438</v>
      </c>
      <c r="F76" s="653">
        <v>100233.11175343438</v>
      </c>
      <c r="G76" s="653">
        <v>100233.11175343438</v>
      </c>
      <c r="H76" s="653">
        <v>100233.11175343438</v>
      </c>
      <c r="I76" s="653">
        <v>100233.11175343438</v>
      </c>
      <c r="J76" s="653">
        <v>100233.11175343438</v>
      </c>
      <c r="K76" s="653">
        <v>100233.11175343438</v>
      </c>
      <c r="L76" s="653">
        <v>100233.11175343438</v>
      </c>
      <c r="M76" s="653">
        <v>100233.11175343438</v>
      </c>
      <c r="N76" s="653">
        <v>100233.11175343438</v>
      </c>
      <c r="O76" s="653">
        <v>100233.11175343438</v>
      </c>
      <c r="P76" s="653">
        <v>100233.11175343438</v>
      </c>
      <c r="Q76" s="653">
        <v>100233.11175343438</v>
      </c>
      <c r="R76" s="653">
        <v>100233.11175343438</v>
      </c>
      <c r="S76" s="653">
        <v>100233.11175343438</v>
      </c>
      <c r="T76" s="653">
        <v>100233.11175343438</v>
      </c>
      <c r="U76" s="653">
        <v>100233.11175343438</v>
      </c>
      <c r="V76" s="653">
        <v>100233.11175343438</v>
      </c>
      <c r="W76" s="653">
        <v>100233.11175343438</v>
      </c>
      <c r="X76" s="653">
        <v>100233.11175343438</v>
      </c>
      <c r="Y76" s="653">
        <v>100233.11175343438</v>
      </c>
      <c r="Z76" s="653">
        <v>100233.11175343438</v>
      </c>
      <c r="AA76" s="653">
        <v>100233.11175343438</v>
      </c>
      <c r="AB76" s="653">
        <v>100233.11175343438</v>
      </c>
    </row>
    <row r="77" spans="1:28">
      <c r="A77" s="7" t="s">
        <v>260</v>
      </c>
      <c r="B77" s="12">
        <f>SUM(B75:B76)</f>
        <v>1643856.0385456728</v>
      </c>
      <c r="C77" s="14"/>
      <c r="D77" s="14">
        <f>SUM(D75:D76)</f>
        <v>1643856.0385456728</v>
      </c>
      <c r="E77" s="14">
        <f t="shared" ref="E77:AB77" si="8">SUM(E75:E76)</f>
        <v>100233.11175343438</v>
      </c>
      <c r="F77" s="14">
        <f t="shared" si="8"/>
        <v>100233.11175343438</v>
      </c>
      <c r="G77" s="14">
        <f t="shared" si="8"/>
        <v>100233.11175343438</v>
      </c>
      <c r="H77" s="14">
        <f t="shared" si="8"/>
        <v>100233.11175343438</v>
      </c>
      <c r="I77" s="14">
        <f t="shared" si="8"/>
        <v>100233.11175343438</v>
      </c>
      <c r="J77" s="14">
        <f t="shared" si="8"/>
        <v>100233.11175343438</v>
      </c>
      <c r="K77" s="14">
        <f t="shared" si="8"/>
        <v>100233.11175343438</v>
      </c>
      <c r="L77" s="14">
        <f t="shared" si="8"/>
        <v>100233.11175343438</v>
      </c>
      <c r="M77" s="14">
        <f t="shared" si="8"/>
        <v>100233.11175343438</v>
      </c>
      <c r="N77" s="14">
        <f t="shared" si="8"/>
        <v>100233.11175343438</v>
      </c>
      <c r="O77" s="14">
        <f t="shared" si="8"/>
        <v>100233.11175343438</v>
      </c>
      <c r="P77" s="14">
        <f t="shared" si="8"/>
        <v>100233.11175343438</v>
      </c>
      <c r="Q77" s="14">
        <f t="shared" si="8"/>
        <v>100233.11175343438</v>
      </c>
      <c r="R77" s="14">
        <f t="shared" si="8"/>
        <v>100233.11175343438</v>
      </c>
      <c r="S77" s="14">
        <f t="shared" si="8"/>
        <v>100233.11175343438</v>
      </c>
      <c r="T77" s="14">
        <f t="shared" si="8"/>
        <v>100233.11175343438</v>
      </c>
      <c r="U77" s="14">
        <f t="shared" si="8"/>
        <v>100233.11175343438</v>
      </c>
      <c r="V77" s="14">
        <f t="shared" si="8"/>
        <v>100233.11175343438</v>
      </c>
      <c r="W77" s="14">
        <f t="shared" si="8"/>
        <v>100233.11175343438</v>
      </c>
      <c r="X77" s="14">
        <f t="shared" si="8"/>
        <v>100233.11175343438</v>
      </c>
      <c r="Y77" s="14">
        <f t="shared" si="8"/>
        <v>100233.11175343438</v>
      </c>
      <c r="Z77" s="14">
        <f t="shared" si="8"/>
        <v>100233.11175343438</v>
      </c>
      <c r="AA77" s="14">
        <f t="shared" si="8"/>
        <v>100233.11175343438</v>
      </c>
      <c r="AB77" s="14">
        <f t="shared" si="8"/>
        <v>100233.11175343438</v>
      </c>
    </row>
    <row r="78" spans="1:28">
      <c r="A78" s="7" t="s">
        <v>261</v>
      </c>
      <c r="C78" s="14"/>
      <c r="D78" s="678">
        <f t="shared" ref="D78:AB78" si="9">(D77)/(1+SocDiscountRate)^D74</f>
        <v>1643856.0385456728</v>
      </c>
      <c r="E78" s="678">
        <f t="shared" si="9"/>
        <v>89493.849779852113</v>
      </c>
      <c r="F78" s="678">
        <f t="shared" si="9"/>
        <v>79905.223017725104</v>
      </c>
      <c r="G78" s="678">
        <f t="shared" si="9"/>
        <v>71343.949122968828</v>
      </c>
      <c r="H78" s="678">
        <f t="shared" si="9"/>
        <v>63699.954574079318</v>
      </c>
      <c r="I78" s="678">
        <f t="shared" si="9"/>
        <v>56874.959441142244</v>
      </c>
      <c r="J78" s="678">
        <f t="shared" si="9"/>
        <v>50781.213786734137</v>
      </c>
      <c r="K78" s="678">
        <f t="shared" si="9"/>
        <v>45340.369452441191</v>
      </c>
      <c r="L78" s="678">
        <f t="shared" si="9"/>
        <v>40482.47272539392</v>
      </c>
      <c r="M78" s="660">
        <f t="shared" si="9"/>
        <v>36145.064933387424</v>
      </c>
      <c r="N78" s="660">
        <f t="shared" si="9"/>
        <v>32272.379404810199</v>
      </c>
      <c r="O78" s="660">
        <f t="shared" si="9"/>
        <v>28814.624468580532</v>
      </c>
      <c r="P78" s="660">
        <f t="shared" si="9"/>
        <v>25727.343275518335</v>
      </c>
      <c r="Q78" s="660">
        <f t="shared" si="9"/>
        <v>22970.842210284223</v>
      </c>
      <c r="R78" s="660">
        <f t="shared" si="9"/>
        <v>20509.680544896626</v>
      </c>
      <c r="S78" s="660">
        <f t="shared" si="9"/>
        <v>18312.21477222913</v>
      </c>
      <c r="T78" s="660">
        <f t="shared" si="9"/>
        <v>16350.191760918864</v>
      </c>
      <c r="U78" s="660">
        <f t="shared" si="9"/>
        <v>14598.385500820414</v>
      </c>
      <c r="V78" s="660">
        <f t="shared" si="9"/>
        <v>13034.272768589653</v>
      </c>
      <c r="W78" s="660">
        <f t="shared" si="9"/>
        <v>11637.743543383618</v>
      </c>
      <c r="X78" s="660">
        <f t="shared" si="9"/>
        <v>10390.842449449659</v>
      </c>
      <c r="Y78" s="660">
        <f t="shared" si="9"/>
        <v>9277.5379012943376</v>
      </c>
      <c r="Z78" s="660">
        <f t="shared" si="9"/>
        <v>8283.5159832985155</v>
      </c>
      <c r="AA78" s="660">
        <f t="shared" si="9"/>
        <v>7395.996413659389</v>
      </c>
      <c r="AB78" s="660">
        <f t="shared" si="9"/>
        <v>6603.5682264815969</v>
      </c>
    </row>
    <row r="79" spans="1:28">
      <c r="A79" s="7" t="s">
        <v>262</v>
      </c>
      <c r="B79" s="12"/>
      <c r="C79" s="14"/>
      <c r="D79" s="678">
        <f t="shared" ref="D79:AB79" si="10">(D77)/(1+EscoDiscountRate)^D74</f>
        <v>1643856.0385456728</v>
      </c>
      <c r="E79" s="678">
        <f t="shared" si="10"/>
        <v>83527.593127861983</v>
      </c>
      <c r="F79" s="678">
        <f t="shared" si="10"/>
        <v>69606.327606551655</v>
      </c>
      <c r="G79" s="678">
        <f t="shared" si="10"/>
        <v>58005.273005459712</v>
      </c>
      <c r="H79" s="678">
        <f t="shared" si="10"/>
        <v>48337.727504549759</v>
      </c>
      <c r="I79" s="678">
        <f t="shared" si="10"/>
        <v>40281.439587124798</v>
      </c>
      <c r="J79" s="678">
        <f t="shared" si="10"/>
        <v>33567.866322604001</v>
      </c>
      <c r="K79" s="678">
        <f t="shared" si="10"/>
        <v>27973.221935503334</v>
      </c>
      <c r="L79" s="678">
        <f t="shared" si="10"/>
        <v>23311.018279586115</v>
      </c>
      <c r="M79" s="678">
        <f t="shared" si="10"/>
        <v>19425.848566321762</v>
      </c>
      <c r="N79" s="678">
        <f t="shared" si="10"/>
        <v>16188.207138601469</v>
      </c>
      <c r="O79" s="678">
        <f t="shared" si="10"/>
        <v>13490.172615501224</v>
      </c>
      <c r="P79" s="678">
        <f t="shared" si="10"/>
        <v>11241.810512917687</v>
      </c>
      <c r="Q79" s="678">
        <f t="shared" si="10"/>
        <v>9368.1754274314062</v>
      </c>
      <c r="R79" s="678">
        <f t="shared" si="10"/>
        <v>7806.8128561928388</v>
      </c>
      <c r="S79" s="678">
        <f t="shared" si="10"/>
        <v>6505.6773801606987</v>
      </c>
      <c r="T79" s="678">
        <f t="shared" si="10"/>
        <v>5421.3978168005833</v>
      </c>
      <c r="U79" s="678">
        <f t="shared" si="10"/>
        <v>4517.8315140004861</v>
      </c>
      <c r="V79" s="678">
        <f t="shared" si="10"/>
        <v>3764.8595950004046</v>
      </c>
      <c r="W79" s="678">
        <f t="shared" si="10"/>
        <v>3137.3829958336705</v>
      </c>
      <c r="X79" s="678">
        <f t="shared" si="10"/>
        <v>2614.4858298613922</v>
      </c>
      <c r="Y79" s="678">
        <f t="shared" si="10"/>
        <v>2178.7381915511601</v>
      </c>
      <c r="Z79" s="678">
        <f t="shared" si="10"/>
        <v>1815.6151596259672</v>
      </c>
      <c r="AA79" s="678">
        <f t="shared" si="10"/>
        <v>1513.0126330216392</v>
      </c>
      <c r="AB79" s="678">
        <f t="shared" si="10"/>
        <v>1260.8438608513661</v>
      </c>
    </row>
    <row r="80" spans="1:28">
      <c r="A80" s="7"/>
      <c r="B80" s="12"/>
      <c r="C80" s="14"/>
      <c r="D80" s="14"/>
      <c r="E80" s="14"/>
      <c r="F80" s="14"/>
      <c r="G80" s="14"/>
      <c r="H80" s="14"/>
      <c r="I80" s="14"/>
      <c r="J80" s="14"/>
      <c r="K80" s="14"/>
      <c r="L80" s="14"/>
      <c r="M80" s="14"/>
      <c r="N80" s="14"/>
      <c r="O80" s="14"/>
      <c r="P80" s="14"/>
      <c r="Q80" s="14"/>
      <c r="R80" s="14"/>
      <c r="S80" s="14"/>
      <c r="T80" s="14"/>
      <c r="U80" s="14"/>
      <c r="V80" s="14"/>
      <c r="W80" s="14"/>
      <c r="X80" s="14"/>
      <c r="Y80" s="14"/>
      <c r="Z80" s="14"/>
      <c r="AA80" s="14"/>
      <c r="AB80" s="14"/>
    </row>
    <row r="81" spans="1:30">
      <c r="A81" s="684" t="s">
        <v>263</v>
      </c>
      <c r="B81" s="685"/>
      <c r="C81" s="686"/>
      <c r="D81" s="686" t="s">
        <v>374</v>
      </c>
      <c r="E81" s="686" t="s">
        <v>375</v>
      </c>
      <c r="F81" s="686" t="s">
        <v>376</v>
      </c>
      <c r="G81" s="686" t="s">
        <v>377</v>
      </c>
      <c r="H81" s="686" t="s">
        <v>378</v>
      </c>
      <c r="I81" s="686" t="s">
        <v>379</v>
      </c>
      <c r="J81" s="686" t="s">
        <v>380</v>
      </c>
      <c r="K81" s="686" t="s">
        <v>381</v>
      </c>
      <c r="L81" s="686" t="s">
        <v>382</v>
      </c>
      <c r="M81" s="686" t="s">
        <v>383</v>
      </c>
      <c r="N81" s="686" t="s">
        <v>384</v>
      </c>
      <c r="O81" s="686" t="s">
        <v>385</v>
      </c>
      <c r="P81" s="686" t="s">
        <v>386</v>
      </c>
      <c r="Q81" s="686" t="s">
        <v>387</v>
      </c>
      <c r="R81" s="686" t="s">
        <v>388</v>
      </c>
      <c r="S81" s="686" t="s">
        <v>389</v>
      </c>
      <c r="T81" s="686" t="s">
        <v>390</v>
      </c>
      <c r="U81" s="686" t="s">
        <v>391</v>
      </c>
      <c r="V81" s="686" t="s">
        <v>392</v>
      </c>
      <c r="W81" s="686" t="s">
        <v>393</v>
      </c>
      <c r="X81" s="686" t="s">
        <v>394</v>
      </c>
      <c r="Y81" s="686" t="s">
        <v>395</v>
      </c>
      <c r="Z81" s="686" t="s">
        <v>396</v>
      </c>
      <c r="AA81" s="686" t="s">
        <v>397</v>
      </c>
      <c r="AB81" s="686" t="s">
        <v>398</v>
      </c>
    </row>
    <row r="82" spans="1:30">
      <c r="A82" s="7" t="s">
        <v>264</v>
      </c>
      <c r="B82" s="12">
        <f>E12*AvePrice_per_cubic_meter_of_methane*ValUncertainty_and_Market_Adjustment</f>
        <v>133141.46357939215</v>
      </c>
      <c r="C82" s="14"/>
      <c r="D82" s="14">
        <f>B82</f>
        <v>133141.46357939215</v>
      </c>
      <c r="E82" s="848">
        <v>170515.13648938225</v>
      </c>
      <c r="F82" s="848">
        <v>170515.13648938225</v>
      </c>
      <c r="G82" s="848">
        <v>170515.13648938225</v>
      </c>
      <c r="H82" s="848">
        <v>170515.13648938225</v>
      </c>
      <c r="I82" s="848">
        <v>170515.13648938225</v>
      </c>
      <c r="J82" s="848">
        <v>170515.13648938225</v>
      </c>
      <c r="K82" s="848">
        <v>170515.13648938225</v>
      </c>
      <c r="L82" s="848">
        <v>170515.13648938225</v>
      </c>
      <c r="M82" s="848">
        <v>170515.13648938225</v>
      </c>
      <c r="N82" s="848">
        <v>170515.13648938225</v>
      </c>
      <c r="O82" s="848">
        <v>170515.13648938225</v>
      </c>
      <c r="P82" s="848">
        <v>170515.13648938225</v>
      </c>
      <c r="Q82" s="848">
        <v>170515.13648938225</v>
      </c>
      <c r="R82" s="848">
        <v>170515.13648938225</v>
      </c>
      <c r="S82" s="848">
        <v>170515.13648938225</v>
      </c>
      <c r="T82" s="848">
        <v>170515.13648938225</v>
      </c>
      <c r="U82" s="848">
        <v>170515.13648938225</v>
      </c>
      <c r="V82" s="848">
        <v>170515.13648938225</v>
      </c>
      <c r="W82" s="848">
        <v>170515.13648938225</v>
      </c>
      <c r="X82" s="848">
        <v>170515.13648938225</v>
      </c>
      <c r="Y82" s="848">
        <v>170515.13648938225</v>
      </c>
      <c r="Z82" s="848">
        <v>170515.13648938225</v>
      </c>
      <c r="AA82" s="848">
        <v>170515.13648938225</v>
      </c>
      <c r="AB82" s="848">
        <v>170515.13648938225</v>
      </c>
    </row>
    <row r="83" spans="1:30">
      <c r="A83" s="7" t="s">
        <v>265</v>
      </c>
      <c r="B83" s="12">
        <f>B66*AvPrice_of_Urea*ValUncertainty_and_Market_Adjustment</f>
        <v>33747.478555579226</v>
      </c>
      <c r="C83" s="14"/>
      <c r="D83" s="14">
        <f>B83</f>
        <v>33747.478555579226</v>
      </c>
      <c r="E83" s="848">
        <v>43212.36708870381</v>
      </c>
      <c r="F83" s="848">
        <v>43212.36708870381</v>
      </c>
      <c r="G83" s="848">
        <v>43212.36708870381</v>
      </c>
      <c r="H83" s="848">
        <v>43212.36708870381</v>
      </c>
      <c r="I83" s="848">
        <v>43212.36708870381</v>
      </c>
      <c r="J83" s="848">
        <v>43212.36708870381</v>
      </c>
      <c r="K83" s="848">
        <v>43212.36708870381</v>
      </c>
      <c r="L83" s="848">
        <v>43212.36708870381</v>
      </c>
      <c r="M83" s="848">
        <v>43212.36708870381</v>
      </c>
      <c r="N83" s="848">
        <v>43212.36708870381</v>
      </c>
      <c r="O83" s="848">
        <v>43212.36708870381</v>
      </c>
      <c r="P83" s="848">
        <v>43212.36708870381</v>
      </c>
      <c r="Q83" s="848">
        <v>43212.36708870381</v>
      </c>
      <c r="R83" s="848">
        <v>43212.36708870381</v>
      </c>
      <c r="S83" s="848">
        <v>43212.36708870381</v>
      </c>
      <c r="T83" s="848">
        <v>43212.36708870381</v>
      </c>
      <c r="U83" s="848">
        <v>43212.36708870381</v>
      </c>
      <c r="V83" s="848">
        <v>43212.36708870381</v>
      </c>
      <c r="W83" s="848">
        <v>43212.36708870381</v>
      </c>
      <c r="X83" s="848">
        <v>43212.36708870381</v>
      </c>
      <c r="Y83" s="848">
        <v>43212.36708870381</v>
      </c>
      <c r="Z83" s="848">
        <v>43212.36708870381</v>
      </c>
      <c r="AA83" s="848">
        <v>43212.36708870381</v>
      </c>
      <c r="AB83" s="848">
        <v>43212.36708870381</v>
      </c>
    </row>
    <row r="84" spans="1:30">
      <c r="A84" s="7" t="s">
        <v>266</v>
      </c>
      <c r="B84" s="12">
        <f>SUM(B82:B83)</f>
        <v>166888.94213497138</v>
      </c>
      <c r="C84" s="14"/>
      <c r="D84" s="14">
        <f>SUM(D82:D83)</f>
        <v>166888.94213497138</v>
      </c>
      <c r="E84" s="14">
        <f t="shared" ref="E84:AB84" si="11">SUM(E82:E83)</f>
        <v>213727.50357808606</v>
      </c>
      <c r="F84" s="14">
        <f t="shared" si="11"/>
        <v>213727.50357808606</v>
      </c>
      <c r="G84" s="14">
        <f t="shared" si="11"/>
        <v>213727.50357808606</v>
      </c>
      <c r="H84" s="14">
        <f t="shared" si="11"/>
        <v>213727.50357808606</v>
      </c>
      <c r="I84" s="14">
        <f t="shared" si="11"/>
        <v>213727.50357808606</v>
      </c>
      <c r="J84" s="14">
        <f t="shared" si="11"/>
        <v>213727.50357808606</v>
      </c>
      <c r="K84" s="14">
        <f t="shared" si="11"/>
        <v>213727.50357808606</v>
      </c>
      <c r="L84" s="14">
        <f t="shared" si="11"/>
        <v>213727.50357808606</v>
      </c>
      <c r="M84" s="14">
        <f t="shared" si="11"/>
        <v>213727.50357808606</v>
      </c>
      <c r="N84" s="14">
        <f t="shared" si="11"/>
        <v>213727.50357808606</v>
      </c>
      <c r="O84" s="14">
        <f t="shared" si="11"/>
        <v>213727.50357808606</v>
      </c>
      <c r="P84" s="14">
        <f t="shared" si="11"/>
        <v>213727.50357808606</v>
      </c>
      <c r="Q84" s="14">
        <f t="shared" si="11"/>
        <v>213727.50357808606</v>
      </c>
      <c r="R84" s="14">
        <f t="shared" si="11"/>
        <v>213727.50357808606</v>
      </c>
      <c r="S84" s="14">
        <f t="shared" si="11"/>
        <v>213727.50357808606</v>
      </c>
      <c r="T84" s="14">
        <f t="shared" si="11"/>
        <v>213727.50357808606</v>
      </c>
      <c r="U84" s="14">
        <f t="shared" si="11"/>
        <v>213727.50357808606</v>
      </c>
      <c r="V84" s="14">
        <f t="shared" si="11"/>
        <v>213727.50357808606</v>
      </c>
      <c r="W84" s="14">
        <f t="shared" si="11"/>
        <v>213727.50357808606</v>
      </c>
      <c r="X84" s="14">
        <f t="shared" si="11"/>
        <v>213727.50357808606</v>
      </c>
      <c r="Y84" s="14">
        <f t="shared" si="11"/>
        <v>213727.50357808606</v>
      </c>
      <c r="Z84" s="14">
        <f t="shared" si="11"/>
        <v>213727.50357808606</v>
      </c>
      <c r="AA84" s="14">
        <f t="shared" si="11"/>
        <v>213727.50357808606</v>
      </c>
      <c r="AB84" s="14">
        <f t="shared" si="11"/>
        <v>213727.50357808606</v>
      </c>
    </row>
    <row r="85" spans="1:30">
      <c r="A85" s="7" t="s">
        <v>267</v>
      </c>
      <c r="B85" s="12"/>
      <c r="C85" s="14"/>
      <c r="D85" s="678">
        <f t="shared" ref="D85:AB85" si="12">(D84)/(1+SocDiscountRate)^D74</f>
        <v>166888.94213497138</v>
      </c>
      <c r="E85" s="678">
        <f t="shared" si="12"/>
        <v>190828.12819471967</v>
      </c>
      <c r="F85" s="678">
        <f t="shared" si="12"/>
        <v>170382.25731671401</v>
      </c>
      <c r="G85" s="678">
        <f t="shared" si="12"/>
        <v>152127.01546135175</v>
      </c>
      <c r="H85" s="678">
        <f t="shared" si="12"/>
        <v>135827.69237620692</v>
      </c>
      <c r="I85" s="678">
        <f t="shared" si="12"/>
        <v>121274.72533589904</v>
      </c>
      <c r="J85" s="678">
        <f t="shared" si="12"/>
        <v>108281.00476419556</v>
      </c>
      <c r="K85" s="678">
        <f t="shared" si="12"/>
        <v>96679.468539460315</v>
      </c>
      <c r="L85" s="678">
        <f t="shared" si="12"/>
        <v>86320.954053089561</v>
      </c>
      <c r="M85" s="678">
        <f t="shared" si="12"/>
        <v>77072.280404544246</v>
      </c>
      <c r="N85" s="678">
        <f t="shared" si="12"/>
        <v>68814.536075485928</v>
      </c>
      <c r="O85" s="678">
        <f t="shared" si="12"/>
        <v>61441.550067398144</v>
      </c>
      <c r="P85" s="678">
        <f t="shared" si="12"/>
        <v>54858.526845891203</v>
      </c>
      <c r="Q85" s="678">
        <f t="shared" si="12"/>
        <v>48980.827540974278</v>
      </c>
      <c r="R85" s="678">
        <f t="shared" si="12"/>
        <v>43732.881733012749</v>
      </c>
      <c r="S85" s="678">
        <f t="shared" si="12"/>
        <v>39047.215833047099</v>
      </c>
      <c r="T85" s="678">
        <f t="shared" si="12"/>
        <v>34863.585565220616</v>
      </c>
      <c r="U85" s="678">
        <f t="shared" si="12"/>
        <v>31128.201397518405</v>
      </c>
      <c r="V85" s="678">
        <f t="shared" si="12"/>
        <v>27793.03696207</v>
      </c>
      <c r="W85" s="678">
        <f t="shared" si="12"/>
        <v>24815.211573276785</v>
      </c>
      <c r="X85" s="678">
        <f t="shared" si="12"/>
        <v>22156.438904711416</v>
      </c>
      <c r="Y85" s="678">
        <f t="shared" si="12"/>
        <v>19782.534736349477</v>
      </c>
      <c r="Z85" s="678">
        <f t="shared" si="12"/>
        <v>17662.977443169173</v>
      </c>
      <c r="AA85" s="678">
        <f t="shared" si="12"/>
        <v>15770.515574258192</v>
      </c>
      <c r="AB85" s="678">
        <f t="shared" si="12"/>
        <v>14080.817477016242</v>
      </c>
    </row>
    <row r="86" spans="1:30">
      <c r="A86" s="7" t="s">
        <v>268</v>
      </c>
      <c r="B86" s="12"/>
      <c r="C86" s="14"/>
      <c r="D86" s="678">
        <f t="shared" ref="D86:AB86" si="13">(D84)/(1+EscoDiscountRate)^D74</f>
        <v>166888.94213497138</v>
      </c>
      <c r="E86" s="678">
        <f t="shared" si="13"/>
        <v>178106.25298173839</v>
      </c>
      <c r="F86" s="678">
        <f t="shared" si="13"/>
        <v>148421.87748478199</v>
      </c>
      <c r="G86" s="678">
        <f t="shared" si="13"/>
        <v>123684.89790398499</v>
      </c>
      <c r="H86" s="678">
        <f t="shared" si="13"/>
        <v>103070.74825332082</v>
      </c>
      <c r="I86" s="678">
        <f t="shared" si="13"/>
        <v>85892.290211100699</v>
      </c>
      <c r="J86" s="678">
        <f t="shared" si="13"/>
        <v>71576.908509250585</v>
      </c>
      <c r="K86" s="678">
        <f t="shared" si="13"/>
        <v>59647.423757708821</v>
      </c>
      <c r="L86" s="678">
        <f t="shared" si="13"/>
        <v>49706.186464757353</v>
      </c>
      <c r="M86" s="678">
        <f t="shared" si="13"/>
        <v>41421.822053964454</v>
      </c>
      <c r="N86" s="678">
        <f t="shared" si="13"/>
        <v>34518.185044970385</v>
      </c>
      <c r="O86" s="678">
        <f t="shared" si="13"/>
        <v>28765.154204141985</v>
      </c>
      <c r="P86" s="678">
        <f t="shared" si="13"/>
        <v>23970.961836784991</v>
      </c>
      <c r="Q86" s="678">
        <f t="shared" si="13"/>
        <v>19975.801530654157</v>
      </c>
      <c r="R86" s="678">
        <f t="shared" si="13"/>
        <v>16646.501275545132</v>
      </c>
      <c r="S86" s="678">
        <f t="shared" si="13"/>
        <v>13872.08439628761</v>
      </c>
      <c r="T86" s="678">
        <f t="shared" si="13"/>
        <v>11560.070330239676</v>
      </c>
      <c r="U86" s="678">
        <f t="shared" si="13"/>
        <v>9633.3919418663972</v>
      </c>
      <c r="V86" s="678">
        <f t="shared" si="13"/>
        <v>8027.8266182219977</v>
      </c>
      <c r="W86" s="678">
        <f t="shared" si="13"/>
        <v>6689.8555151849978</v>
      </c>
      <c r="X86" s="678">
        <f t="shared" si="13"/>
        <v>5574.8795959874979</v>
      </c>
      <c r="Y86" s="678">
        <f t="shared" si="13"/>
        <v>4645.7329966562484</v>
      </c>
      <c r="Z86" s="678">
        <f t="shared" si="13"/>
        <v>3871.4441638802077</v>
      </c>
      <c r="AA86" s="678">
        <f t="shared" si="13"/>
        <v>3226.2034699001729</v>
      </c>
      <c r="AB86" s="678">
        <f t="shared" si="13"/>
        <v>2688.5028915834778</v>
      </c>
    </row>
    <row r="87" spans="1:30">
      <c r="A87" s="7"/>
      <c r="B87" s="12"/>
      <c r="C87" s="14"/>
      <c r="D87" s="678"/>
      <c r="E87" s="678"/>
      <c r="F87" s="678"/>
      <c r="G87" s="678"/>
      <c r="H87" s="678"/>
      <c r="I87" s="678"/>
      <c r="J87" s="678"/>
      <c r="K87" s="678"/>
      <c r="L87" s="678"/>
      <c r="M87" s="678"/>
      <c r="N87" s="678"/>
      <c r="O87" s="678"/>
      <c r="P87" s="678"/>
      <c r="Q87" s="678"/>
      <c r="R87" s="678"/>
      <c r="S87" s="678"/>
      <c r="T87" s="678"/>
      <c r="U87" s="678"/>
      <c r="V87" s="678"/>
      <c r="W87" s="678"/>
      <c r="X87" s="678"/>
      <c r="Y87" s="678"/>
      <c r="Z87" s="678"/>
      <c r="AA87" s="678"/>
      <c r="AB87" s="678"/>
    </row>
    <row r="88" spans="1:30" s="700" customFormat="1">
      <c r="A88" s="698" t="s">
        <v>269</v>
      </c>
      <c r="B88" s="696"/>
      <c r="C88" s="697"/>
      <c r="D88" s="699">
        <f t="shared" ref="D88:AB88" si="14">D84-D77</f>
        <v>-1476967.0964107015</v>
      </c>
      <c r="E88" s="699">
        <f t="shared" si="14"/>
        <v>113494.39182465168</v>
      </c>
      <c r="F88" s="699">
        <f t="shared" si="14"/>
        <v>113494.39182465168</v>
      </c>
      <c r="G88" s="699">
        <f t="shared" si="14"/>
        <v>113494.39182465168</v>
      </c>
      <c r="H88" s="699">
        <f t="shared" si="14"/>
        <v>113494.39182465168</v>
      </c>
      <c r="I88" s="699">
        <f t="shared" si="14"/>
        <v>113494.39182465168</v>
      </c>
      <c r="J88" s="699">
        <f t="shared" si="14"/>
        <v>113494.39182465168</v>
      </c>
      <c r="K88" s="699">
        <f t="shared" si="14"/>
        <v>113494.39182465168</v>
      </c>
      <c r="L88" s="699">
        <f t="shared" si="14"/>
        <v>113494.39182465168</v>
      </c>
      <c r="M88" s="699">
        <f t="shared" si="14"/>
        <v>113494.39182465168</v>
      </c>
      <c r="N88" s="699">
        <f t="shared" si="14"/>
        <v>113494.39182465168</v>
      </c>
      <c r="O88" s="699">
        <f t="shared" si="14"/>
        <v>113494.39182465168</v>
      </c>
      <c r="P88" s="699">
        <f t="shared" si="14"/>
        <v>113494.39182465168</v>
      </c>
      <c r="Q88" s="699">
        <f t="shared" si="14"/>
        <v>113494.39182465168</v>
      </c>
      <c r="R88" s="699">
        <f t="shared" si="14"/>
        <v>113494.39182465168</v>
      </c>
      <c r="S88" s="699">
        <f t="shared" si="14"/>
        <v>113494.39182465168</v>
      </c>
      <c r="T88" s="699">
        <f t="shared" si="14"/>
        <v>113494.39182465168</v>
      </c>
      <c r="U88" s="699">
        <f t="shared" si="14"/>
        <v>113494.39182465168</v>
      </c>
      <c r="V88" s="699">
        <f t="shared" si="14"/>
        <v>113494.39182465168</v>
      </c>
      <c r="W88" s="699">
        <f t="shared" si="14"/>
        <v>113494.39182465168</v>
      </c>
      <c r="X88" s="699">
        <f t="shared" si="14"/>
        <v>113494.39182465168</v>
      </c>
      <c r="Y88" s="699">
        <f t="shared" si="14"/>
        <v>113494.39182465168</v>
      </c>
      <c r="Z88" s="699">
        <f t="shared" si="14"/>
        <v>113494.39182465168</v>
      </c>
      <c r="AA88" s="699">
        <f t="shared" si="14"/>
        <v>113494.39182465168</v>
      </c>
      <c r="AB88" s="699">
        <f t="shared" si="14"/>
        <v>113494.39182465168</v>
      </c>
    </row>
    <row r="89" spans="1:30">
      <c r="A89" s="7"/>
      <c r="B89" s="12"/>
      <c r="C89" s="14"/>
      <c r="D89" s="14"/>
      <c r="E89" s="14"/>
      <c r="F89" s="14"/>
      <c r="G89" s="14"/>
      <c r="H89" s="14"/>
      <c r="I89" s="14"/>
      <c r="J89" s="14"/>
      <c r="K89" s="14"/>
      <c r="L89" s="14"/>
      <c r="M89" s="14"/>
      <c r="N89" s="14"/>
      <c r="O89" s="14"/>
      <c r="P89" s="14"/>
      <c r="Q89" s="14"/>
      <c r="R89" s="14"/>
      <c r="S89" s="14"/>
      <c r="T89" s="14"/>
      <c r="U89" s="14"/>
      <c r="V89" s="14"/>
      <c r="W89" s="14"/>
      <c r="X89" s="14"/>
      <c r="Y89" s="14"/>
      <c r="Z89" s="14"/>
      <c r="AA89" s="14"/>
      <c r="AB89" s="14"/>
    </row>
    <row r="90" spans="1:30">
      <c r="A90" s="7"/>
      <c r="B90" s="12"/>
      <c r="C90" s="14"/>
      <c r="D90" s="14"/>
      <c r="E90" s="14"/>
      <c r="F90" s="14"/>
      <c r="G90" s="14"/>
      <c r="H90" s="14"/>
      <c r="I90" s="14"/>
      <c r="J90" s="14"/>
      <c r="K90" s="14"/>
      <c r="L90" s="14"/>
      <c r="M90" s="14"/>
      <c r="N90" s="14"/>
      <c r="O90" s="14"/>
      <c r="P90" s="14"/>
      <c r="Q90" s="14"/>
      <c r="R90" s="14"/>
      <c r="S90" s="14"/>
      <c r="T90" s="14"/>
      <c r="U90" s="14"/>
      <c r="V90" s="14"/>
      <c r="W90" s="14"/>
      <c r="X90" s="14"/>
      <c r="Y90" s="14"/>
      <c r="Z90" s="14"/>
      <c r="AA90" s="14"/>
      <c r="AB90" s="14"/>
    </row>
    <row r="91" spans="1:30">
      <c r="A91" s="664" t="s">
        <v>270</v>
      </c>
      <c r="B91" s="665"/>
      <c r="C91" s="665"/>
      <c r="D91" s="665" t="s">
        <v>374</v>
      </c>
      <c r="E91" s="670" t="s">
        <v>375</v>
      </c>
      <c r="F91" s="665" t="s">
        <v>376</v>
      </c>
      <c r="G91" s="665" t="s">
        <v>377</v>
      </c>
      <c r="H91" s="666" t="s">
        <v>378</v>
      </c>
      <c r="I91" s="666" t="s">
        <v>379</v>
      </c>
      <c r="J91" s="667" t="s">
        <v>380</v>
      </c>
      <c r="K91" s="668" t="s">
        <v>381</v>
      </c>
      <c r="L91" s="668" t="s">
        <v>382</v>
      </c>
      <c r="M91" s="668" t="s">
        <v>383</v>
      </c>
      <c r="N91" s="668" t="s">
        <v>384</v>
      </c>
      <c r="O91" s="669" t="s">
        <v>385</v>
      </c>
      <c r="P91" s="669" t="s">
        <v>386</v>
      </c>
      <c r="Q91" s="669" t="s">
        <v>387</v>
      </c>
      <c r="R91" s="669" t="s">
        <v>388</v>
      </c>
      <c r="S91" s="669" t="s">
        <v>389</v>
      </c>
      <c r="T91" s="669" t="s">
        <v>390</v>
      </c>
      <c r="U91" s="669" t="s">
        <v>391</v>
      </c>
      <c r="V91" s="669" t="s">
        <v>392</v>
      </c>
      <c r="W91" s="669" t="s">
        <v>393</v>
      </c>
      <c r="X91" s="669" t="s">
        <v>394</v>
      </c>
      <c r="Y91" s="669" t="s">
        <v>395</v>
      </c>
      <c r="Z91" s="669" t="s">
        <v>396</v>
      </c>
      <c r="AA91" s="669" t="s">
        <v>397</v>
      </c>
      <c r="AB91" s="669" t="s">
        <v>398</v>
      </c>
    </row>
    <row r="92" spans="1:30">
      <c r="A92" s="7" t="s">
        <v>271</v>
      </c>
      <c r="B92" s="12">
        <f>(B64)*AvePrice_per_liter_of_Kerosene*ValUncertainty_and_Market_Adjustment_for_Kerosene*ValQuality_and_Standards_Agjustment</f>
        <v>280370.50353343546</v>
      </c>
      <c r="C92" s="14"/>
      <c r="D92" s="848">
        <f>B92</f>
        <v>280370.50353343546</v>
      </c>
      <c r="E92" s="848">
        <v>359003.80230121152</v>
      </c>
      <c r="F92" s="848">
        <v>359003.80230121152</v>
      </c>
      <c r="G92" s="848">
        <v>359003.80230121152</v>
      </c>
      <c r="H92" s="848">
        <v>359003.80230121152</v>
      </c>
      <c r="I92" s="848">
        <v>359003.80230121152</v>
      </c>
      <c r="J92" s="848">
        <v>359003.80230121152</v>
      </c>
      <c r="K92" s="848">
        <v>359003.80230121152</v>
      </c>
      <c r="L92" s="848">
        <v>359003.80230121152</v>
      </c>
      <c r="M92" s="848">
        <v>359003.80230121152</v>
      </c>
      <c r="N92" s="848">
        <v>359003.80230121152</v>
      </c>
      <c r="O92" s="848">
        <v>359003.80230121152</v>
      </c>
      <c r="P92" s="848">
        <v>359003.80230121152</v>
      </c>
      <c r="Q92" s="848">
        <v>359003.80230121152</v>
      </c>
      <c r="R92" s="848">
        <v>359003.80230121152</v>
      </c>
      <c r="S92" s="848">
        <v>359003.80230121152</v>
      </c>
      <c r="T92" s="848">
        <v>359003.80230121152</v>
      </c>
      <c r="U92" s="848">
        <v>359003.80230121152</v>
      </c>
      <c r="V92" s="848">
        <v>359003.80230121152</v>
      </c>
      <c r="W92" s="848">
        <v>359003.80230121152</v>
      </c>
      <c r="X92" s="848">
        <v>359003.80230121152</v>
      </c>
      <c r="Y92" s="848">
        <v>359003.80230121152</v>
      </c>
      <c r="Z92" s="848">
        <v>359003.80230121152</v>
      </c>
      <c r="AA92" s="848">
        <v>359003.80230121152</v>
      </c>
      <c r="AB92" s="848">
        <v>359003.80230121152</v>
      </c>
      <c r="AC92" s="846"/>
      <c r="AD92" s="846"/>
    </row>
    <row r="93" spans="1:30">
      <c r="A93" s="7" t="s">
        <v>272</v>
      </c>
      <c r="B93" s="12">
        <f>(B65)*AvPriceWood_charcoal*ValQuality_and_Standards_Agjustment*ValUncertainty_and_Market_Adjustment_for_Kerosene</f>
        <v>37336.379902174573</v>
      </c>
      <c r="C93" s="14"/>
      <c r="D93" s="848">
        <f>B93</f>
        <v>37336.379902174573</v>
      </c>
      <c r="E93" s="848">
        <v>47807.81922533708</v>
      </c>
      <c r="F93" s="848">
        <v>47807.81922533708</v>
      </c>
      <c r="G93" s="848">
        <v>47807.81922533708</v>
      </c>
      <c r="H93" s="848">
        <v>47807.81922533708</v>
      </c>
      <c r="I93" s="848">
        <v>47807.81922533708</v>
      </c>
      <c r="J93" s="848">
        <v>47807.81922533708</v>
      </c>
      <c r="K93" s="848">
        <v>47807.81922533708</v>
      </c>
      <c r="L93" s="848">
        <v>47807.81922533708</v>
      </c>
      <c r="M93" s="848">
        <v>47807.81922533708</v>
      </c>
      <c r="N93" s="848">
        <v>47807.81922533708</v>
      </c>
      <c r="O93" s="848">
        <v>47807.81922533708</v>
      </c>
      <c r="P93" s="848">
        <v>47807.81922533708</v>
      </c>
      <c r="Q93" s="848">
        <v>47807.81922533708</v>
      </c>
      <c r="R93" s="848">
        <v>47807.81922533708</v>
      </c>
      <c r="S93" s="848">
        <v>47807.81922533708</v>
      </c>
      <c r="T93" s="848">
        <v>47807.81922533708</v>
      </c>
      <c r="U93" s="848">
        <v>47807.81922533708</v>
      </c>
      <c r="V93" s="848">
        <v>47807.81922533708</v>
      </c>
      <c r="W93" s="848">
        <v>47807.81922533708</v>
      </c>
      <c r="X93" s="848">
        <v>47807.81922533708</v>
      </c>
      <c r="Y93" s="848">
        <v>47807.81922533708</v>
      </c>
      <c r="Z93" s="848">
        <v>47807.81922533708</v>
      </c>
      <c r="AA93" s="848">
        <v>47807.81922533708</v>
      </c>
      <c r="AB93" s="848">
        <v>47807.81922533708</v>
      </c>
      <c r="AC93" s="846"/>
      <c r="AD93" s="846"/>
    </row>
    <row r="94" spans="1:30">
      <c r="A94" s="7" t="s">
        <v>273</v>
      </c>
      <c r="B94" s="12">
        <f>B83</f>
        <v>33747.478555579226</v>
      </c>
      <c r="C94" s="14"/>
      <c r="D94" s="848">
        <f>B94</f>
        <v>33747.478555579226</v>
      </c>
      <c r="E94" s="848">
        <v>43212.36708870381</v>
      </c>
      <c r="F94" s="848">
        <v>43212.36708870381</v>
      </c>
      <c r="G94" s="848">
        <v>43212.36708870381</v>
      </c>
      <c r="H94" s="848">
        <v>43212.36708870381</v>
      </c>
      <c r="I94" s="848">
        <v>43212.36708870381</v>
      </c>
      <c r="J94" s="848">
        <v>43212.36708870381</v>
      </c>
      <c r="K94" s="848">
        <v>43212.36708870381</v>
      </c>
      <c r="L94" s="848">
        <v>43212.36708870381</v>
      </c>
      <c r="M94" s="848">
        <v>43212.36708870381</v>
      </c>
      <c r="N94" s="848">
        <v>43212.36708870381</v>
      </c>
      <c r="O94" s="848">
        <v>43212.36708870381</v>
      </c>
      <c r="P94" s="848">
        <v>43212.36708870381</v>
      </c>
      <c r="Q94" s="848">
        <v>43212.36708870381</v>
      </c>
      <c r="R94" s="848">
        <v>43212.36708870381</v>
      </c>
      <c r="S94" s="848">
        <v>43212.36708870381</v>
      </c>
      <c r="T94" s="848">
        <v>43212.36708870381</v>
      </c>
      <c r="U94" s="848">
        <v>43212.36708870381</v>
      </c>
      <c r="V94" s="848">
        <v>43212.36708870381</v>
      </c>
      <c r="W94" s="848">
        <v>43212.36708870381</v>
      </c>
      <c r="X94" s="848">
        <v>43212.36708870381</v>
      </c>
      <c r="Y94" s="848">
        <v>43212.36708870381</v>
      </c>
      <c r="Z94" s="848">
        <v>43212.36708870381</v>
      </c>
      <c r="AA94" s="848">
        <v>43212.36708870381</v>
      </c>
      <c r="AB94" s="848">
        <v>43212.36708870381</v>
      </c>
      <c r="AC94" s="846"/>
      <c r="AD94" s="846"/>
    </row>
    <row r="95" spans="1:30">
      <c r="A95" s="7" t="s">
        <v>274</v>
      </c>
      <c r="B95" s="12">
        <f>SUM(B92:B94)</f>
        <v>351454.36199118925</v>
      </c>
      <c r="C95" s="14"/>
      <c r="D95" s="14">
        <f>SUM(D92:D94)</f>
        <v>351454.36199118925</v>
      </c>
      <c r="E95" s="14">
        <f t="shared" ref="E95:AB95" si="15">SUM(E92:E94)</f>
        <v>450023.98861525237</v>
      </c>
      <c r="F95" s="14">
        <f t="shared" si="15"/>
        <v>450023.98861525237</v>
      </c>
      <c r="G95" s="14">
        <f t="shared" si="15"/>
        <v>450023.98861525237</v>
      </c>
      <c r="H95" s="14">
        <f t="shared" si="15"/>
        <v>450023.98861525237</v>
      </c>
      <c r="I95" s="14">
        <f t="shared" si="15"/>
        <v>450023.98861525237</v>
      </c>
      <c r="J95" s="14">
        <f t="shared" si="15"/>
        <v>450023.98861525237</v>
      </c>
      <c r="K95" s="14">
        <f t="shared" si="15"/>
        <v>450023.98861525237</v>
      </c>
      <c r="L95" s="14">
        <f t="shared" si="15"/>
        <v>450023.98861525237</v>
      </c>
      <c r="M95" s="14">
        <f t="shared" si="15"/>
        <v>450023.98861525237</v>
      </c>
      <c r="N95" s="14">
        <f t="shared" si="15"/>
        <v>450023.98861525237</v>
      </c>
      <c r="O95" s="14">
        <f t="shared" si="15"/>
        <v>450023.98861525237</v>
      </c>
      <c r="P95" s="14">
        <f t="shared" si="15"/>
        <v>450023.98861525237</v>
      </c>
      <c r="Q95" s="14">
        <f t="shared" si="15"/>
        <v>450023.98861525237</v>
      </c>
      <c r="R95" s="14">
        <f t="shared" si="15"/>
        <v>450023.98861525237</v>
      </c>
      <c r="S95" s="14">
        <f t="shared" si="15"/>
        <v>450023.98861525237</v>
      </c>
      <c r="T95" s="14">
        <f t="shared" si="15"/>
        <v>450023.98861525237</v>
      </c>
      <c r="U95" s="14">
        <f t="shared" si="15"/>
        <v>450023.98861525237</v>
      </c>
      <c r="V95" s="14">
        <f t="shared" si="15"/>
        <v>450023.98861525237</v>
      </c>
      <c r="W95" s="14">
        <f t="shared" si="15"/>
        <v>450023.98861525237</v>
      </c>
      <c r="X95" s="14">
        <f t="shared" si="15"/>
        <v>450023.98861525237</v>
      </c>
      <c r="Y95" s="14">
        <f t="shared" si="15"/>
        <v>450023.98861525237</v>
      </c>
      <c r="Z95" s="14">
        <f t="shared" si="15"/>
        <v>450023.98861525237</v>
      </c>
      <c r="AA95" s="14">
        <f t="shared" si="15"/>
        <v>450023.98861525237</v>
      </c>
      <c r="AB95" s="14">
        <f t="shared" si="15"/>
        <v>450023.98861525237</v>
      </c>
    </row>
    <row r="96" spans="1:30">
      <c r="A96" s="7" t="s">
        <v>275</v>
      </c>
      <c r="B96" s="12"/>
      <c r="C96" s="14"/>
      <c r="D96" s="678">
        <f t="shared" ref="D96:AB96" si="16">(D95)/(1+SocDiscountRate)^D74</f>
        <v>351454.36199118925</v>
      </c>
      <c r="E96" s="678">
        <f t="shared" si="16"/>
        <v>401807.1326921896</v>
      </c>
      <c r="F96" s="678">
        <f t="shared" si="16"/>
        <v>358756.36847516923</v>
      </c>
      <c r="G96" s="678">
        <f t="shared" si="16"/>
        <v>320318.18613854394</v>
      </c>
      <c r="H96" s="678">
        <f t="shared" si="16"/>
        <v>285998.38048084278</v>
      </c>
      <c r="I96" s="678">
        <f t="shared" si="16"/>
        <v>255355.69685789535</v>
      </c>
      <c r="J96" s="678">
        <f t="shared" si="16"/>
        <v>227996.1579088351</v>
      </c>
      <c r="K96" s="678">
        <f t="shared" si="16"/>
        <v>203567.99813288849</v>
      </c>
      <c r="L96" s="678">
        <f t="shared" si="16"/>
        <v>181757.14119007898</v>
      </c>
      <c r="M96" s="678">
        <f t="shared" si="16"/>
        <v>162283.16177685623</v>
      </c>
      <c r="N96" s="678">
        <f t="shared" si="16"/>
        <v>144895.68015790734</v>
      </c>
      <c r="O96" s="678">
        <f t="shared" si="16"/>
        <v>129371.14299813153</v>
      </c>
      <c r="P96" s="678">
        <f t="shared" si="16"/>
        <v>115509.94910547459</v>
      </c>
      <c r="Q96" s="678">
        <f t="shared" si="16"/>
        <v>103133.88312988801</v>
      </c>
      <c r="R96" s="678">
        <f t="shared" si="16"/>
        <v>92083.824223114279</v>
      </c>
      <c r="S96" s="678">
        <f t="shared" si="16"/>
        <v>82217.700199209183</v>
      </c>
      <c r="T96" s="678">
        <f t="shared" si="16"/>
        <v>73408.660892151049</v>
      </c>
      <c r="U96" s="678">
        <f t="shared" si="16"/>
        <v>65543.447225134863</v>
      </c>
      <c r="V96" s="678">
        <f t="shared" si="16"/>
        <v>58520.93502244183</v>
      </c>
      <c r="W96" s="678">
        <f t="shared" si="16"/>
        <v>52250.834841465919</v>
      </c>
      <c r="X96" s="678">
        <f t="shared" si="16"/>
        <v>46652.531108451716</v>
      </c>
      <c r="Y96" s="678">
        <f t="shared" si="16"/>
        <v>41654.045632546171</v>
      </c>
      <c r="Z96" s="678">
        <f t="shared" si="16"/>
        <v>37191.112171916218</v>
      </c>
      <c r="AA96" s="678">
        <f t="shared" si="16"/>
        <v>33206.350153496627</v>
      </c>
      <c r="AB96" s="678">
        <f t="shared" si="16"/>
        <v>29648.526922764842</v>
      </c>
    </row>
    <row r="97" spans="1:28">
      <c r="A97" s="7" t="s">
        <v>276</v>
      </c>
      <c r="B97" s="12"/>
      <c r="C97" s="14"/>
      <c r="D97" s="678">
        <f t="shared" ref="D97:AB97" si="17">(D95)/(1+EscoDiscountRate)^D74</f>
        <v>351454.36199118925</v>
      </c>
      <c r="E97" s="678">
        <f t="shared" si="17"/>
        <v>375019.9905127103</v>
      </c>
      <c r="F97" s="678">
        <f t="shared" si="17"/>
        <v>312516.65876059193</v>
      </c>
      <c r="G97" s="678">
        <f t="shared" si="17"/>
        <v>260430.54896715994</v>
      </c>
      <c r="H97" s="678">
        <f t="shared" si="17"/>
        <v>217025.45747263328</v>
      </c>
      <c r="I97" s="678">
        <f t="shared" si="17"/>
        <v>180854.54789386108</v>
      </c>
      <c r="J97" s="678">
        <f t="shared" si="17"/>
        <v>150712.12324488422</v>
      </c>
      <c r="K97" s="678">
        <f t="shared" si="17"/>
        <v>125593.43603740353</v>
      </c>
      <c r="L97" s="678">
        <f t="shared" si="17"/>
        <v>104661.19669783628</v>
      </c>
      <c r="M97" s="678">
        <f t="shared" si="17"/>
        <v>87217.663914863559</v>
      </c>
      <c r="N97" s="678">
        <f t="shared" si="17"/>
        <v>72681.386595719639</v>
      </c>
      <c r="O97" s="678">
        <f t="shared" si="17"/>
        <v>60567.8221630997</v>
      </c>
      <c r="P97" s="678">
        <f t="shared" si="17"/>
        <v>50473.185135916421</v>
      </c>
      <c r="Q97" s="678">
        <f t="shared" si="17"/>
        <v>42060.987613263678</v>
      </c>
      <c r="R97" s="678">
        <f t="shared" si="17"/>
        <v>35050.823011053071</v>
      </c>
      <c r="S97" s="678">
        <f t="shared" si="17"/>
        <v>29209.019175877558</v>
      </c>
      <c r="T97" s="678">
        <f t="shared" si="17"/>
        <v>24340.849313231301</v>
      </c>
      <c r="U97" s="678">
        <f t="shared" si="17"/>
        <v>20284.041094359418</v>
      </c>
      <c r="V97" s="678">
        <f t="shared" si="17"/>
        <v>16903.367578632849</v>
      </c>
      <c r="W97" s="678">
        <f t="shared" si="17"/>
        <v>14086.139648860706</v>
      </c>
      <c r="X97" s="678">
        <f t="shared" si="17"/>
        <v>11738.449707383923</v>
      </c>
      <c r="Y97" s="678">
        <f t="shared" si="17"/>
        <v>9782.0414228199352</v>
      </c>
      <c r="Z97" s="678">
        <f t="shared" si="17"/>
        <v>8151.7011856832805</v>
      </c>
      <c r="AA97" s="678">
        <f t="shared" si="17"/>
        <v>6793.0843214027336</v>
      </c>
      <c r="AB97" s="678">
        <f t="shared" si="17"/>
        <v>5660.903601168945</v>
      </c>
    </row>
    <row r="98" spans="1:28">
      <c r="A98" s="7"/>
      <c r="B98" s="12"/>
      <c r="C98" s="14"/>
      <c r="D98" s="678"/>
      <c r="E98" s="678"/>
      <c r="F98" s="678"/>
      <c r="G98" s="678"/>
      <c r="H98" s="678"/>
      <c r="I98" s="678"/>
      <c r="J98" s="678"/>
      <c r="K98" s="678"/>
      <c r="L98" s="678"/>
      <c r="M98" s="678"/>
      <c r="N98" s="678"/>
      <c r="O98" s="678"/>
      <c r="P98" s="678"/>
      <c r="Q98" s="678"/>
      <c r="R98" s="678"/>
      <c r="S98" s="678"/>
      <c r="T98" s="678"/>
      <c r="U98" s="678"/>
      <c r="V98" s="678"/>
      <c r="W98" s="678"/>
      <c r="X98" s="678"/>
      <c r="Y98" s="678"/>
      <c r="Z98" s="678"/>
      <c r="AA98" s="678"/>
      <c r="AB98" s="678"/>
    </row>
    <row r="99" spans="1:28">
      <c r="A99" s="664" t="s">
        <v>277</v>
      </c>
      <c r="B99" s="685"/>
      <c r="C99" s="686"/>
      <c r="D99" s="695"/>
      <c r="E99" s="695"/>
      <c r="F99" s="695"/>
      <c r="G99" s="695"/>
      <c r="H99" s="695"/>
      <c r="I99" s="695"/>
      <c r="J99" s="695"/>
      <c r="K99" s="695"/>
      <c r="L99" s="695"/>
      <c r="M99" s="695"/>
      <c r="N99" s="695"/>
      <c r="O99" s="695"/>
      <c r="P99" s="695"/>
      <c r="Q99" s="695"/>
      <c r="R99" s="695"/>
      <c r="S99" s="695"/>
      <c r="T99" s="695"/>
      <c r="U99" s="695"/>
      <c r="V99" s="695"/>
      <c r="W99" s="695"/>
      <c r="X99" s="695"/>
      <c r="Y99" s="695"/>
      <c r="Z99" s="695"/>
      <c r="AA99" s="695"/>
      <c r="AB99" s="695"/>
    </row>
    <row r="100" spans="1:28">
      <c r="A100" s="5" t="s">
        <v>278</v>
      </c>
      <c r="B100" s="12">
        <f>B64*B47*ValUncertainty_and_Market_Adjustment_for_Kerosene</f>
        <v>17523156.470839713</v>
      </c>
      <c r="C100" s="14"/>
      <c r="D100" s="678">
        <f t="shared" ref="D100:D105" si="18">B100</f>
        <v>17523156.470839713</v>
      </c>
      <c r="E100" s="678">
        <v>22437737.643825717</v>
      </c>
      <c r="F100" s="678">
        <v>22437737.643825717</v>
      </c>
      <c r="G100" s="678">
        <v>22437737.643825717</v>
      </c>
      <c r="H100" s="678">
        <v>22437737.643825717</v>
      </c>
      <c r="I100" s="678">
        <v>22437737.643825717</v>
      </c>
      <c r="J100" s="678">
        <v>22437737.643825717</v>
      </c>
      <c r="K100" s="678">
        <v>22437737.643825717</v>
      </c>
      <c r="L100" s="678">
        <v>22437737.643825717</v>
      </c>
      <c r="M100" s="678">
        <v>22437737.643825717</v>
      </c>
      <c r="N100" s="678">
        <v>22437737.643825717</v>
      </c>
      <c r="O100" s="678">
        <v>22437737.643825717</v>
      </c>
      <c r="P100" s="678">
        <v>22437737.643825717</v>
      </c>
      <c r="Q100" s="678">
        <v>22437737.643825717</v>
      </c>
      <c r="R100" s="678">
        <v>22437737.643825717</v>
      </c>
      <c r="S100" s="678">
        <v>22437737.643825717</v>
      </c>
      <c r="T100" s="678">
        <v>22437737.643825717</v>
      </c>
      <c r="U100" s="678">
        <v>22437737.643825717</v>
      </c>
      <c r="V100" s="678">
        <v>22437737.643825717</v>
      </c>
      <c r="W100" s="678">
        <v>22437737.643825717</v>
      </c>
      <c r="X100" s="678">
        <v>22437737.643825717</v>
      </c>
      <c r="Y100" s="678">
        <v>22437737.643825717</v>
      </c>
      <c r="Z100" s="678">
        <v>22437737.643825717</v>
      </c>
      <c r="AA100" s="678">
        <v>22437737.643825717</v>
      </c>
      <c r="AB100" s="678">
        <v>22437737.643825717</v>
      </c>
    </row>
    <row r="101" spans="1:28">
      <c r="A101" s="7" t="s">
        <v>279</v>
      </c>
      <c r="B101" s="12">
        <f>B100*EValKerosene*EfficiencyValKerosene*(1/B45)</f>
        <v>12558262.137435129</v>
      </c>
      <c r="C101" s="14"/>
      <c r="D101" s="678">
        <f t="shared" si="18"/>
        <v>12558262.137435129</v>
      </c>
      <c r="E101" s="678">
        <v>16080378.644741764</v>
      </c>
      <c r="F101" s="678">
        <v>16080378.644741764</v>
      </c>
      <c r="G101" s="678">
        <v>16080378.644741764</v>
      </c>
      <c r="H101" s="678">
        <v>16080378.644741764</v>
      </c>
      <c r="I101" s="678">
        <v>16080378.644741764</v>
      </c>
      <c r="J101" s="678">
        <v>16080378.644741764</v>
      </c>
      <c r="K101" s="678">
        <v>16080378.644741764</v>
      </c>
      <c r="L101" s="678">
        <v>16080378.644741764</v>
      </c>
      <c r="M101" s="678">
        <v>16080378.644741764</v>
      </c>
      <c r="N101" s="678">
        <v>16080378.644741764</v>
      </c>
      <c r="O101" s="678">
        <v>16080378.644741764</v>
      </c>
      <c r="P101" s="678">
        <v>16080378.644741764</v>
      </c>
      <c r="Q101" s="678">
        <v>16080378.644741764</v>
      </c>
      <c r="R101" s="678">
        <v>16080378.644741764</v>
      </c>
      <c r="S101" s="678">
        <v>16080378.644741764</v>
      </c>
      <c r="T101" s="678">
        <v>16080378.644741764</v>
      </c>
      <c r="U101" s="678">
        <v>16080378.644741764</v>
      </c>
      <c r="V101" s="678">
        <v>16080378.644741764</v>
      </c>
      <c r="W101" s="678">
        <v>16080378.644741764</v>
      </c>
      <c r="X101" s="678">
        <v>16080378.644741764</v>
      </c>
      <c r="Y101" s="678">
        <v>16080378.644741764</v>
      </c>
      <c r="Z101" s="678">
        <v>16080378.644741764</v>
      </c>
      <c r="AA101" s="678">
        <v>16080378.644741764</v>
      </c>
      <c r="AB101" s="678">
        <v>16080378.644741764</v>
      </c>
    </row>
    <row r="102" spans="1:28" ht="24.95">
      <c r="A102" s="7" t="s">
        <v>280</v>
      </c>
      <c r="B102" s="12">
        <f>B101*GensetCapacityUtilFac</f>
        <v>6902404.3745314628</v>
      </c>
      <c r="C102" s="14"/>
      <c r="D102" s="678">
        <f t="shared" si="18"/>
        <v>6902404.3745314628</v>
      </c>
      <c r="E102" s="678">
        <v>8838267.1652255282</v>
      </c>
      <c r="F102" s="678">
        <v>8838267.1652255282</v>
      </c>
      <c r="G102" s="678">
        <v>8838267.1652255282</v>
      </c>
      <c r="H102" s="678">
        <v>8838267.1652255282</v>
      </c>
      <c r="I102" s="678">
        <v>8838267.1652255282</v>
      </c>
      <c r="J102" s="678">
        <v>8838267.1652255282</v>
      </c>
      <c r="K102" s="678">
        <v>8838267.1652255282</v>
      </c>
      <c r="L102" s="678">
        <v>8838267.1652255282</v>
      </c>
      <c r="M102" s="678">
        <v>8838267.1652255282</v>
      </c>
      <c r="N102" s="678">
        <v>8838267.1652255282</v>
      </c>
      <c r="O102" s="678">
        <v>8838267.1652255282</v>
      </c>
      <c r="P102" s="678">
        <v>8838267.1652255282</v>
      </c>
      <c r="Q102" s="678">
        <v>8838267.1652255282</v>
      </c>
      <c r="R102" s="678">
        <v>8838267.1652255282</v>
      </c>
      <c r="S102" s="678">
        <v>8838267.1652255282</v>
      </c>
      <c r="T102" s="678">
        <v>8838267.1652255282</v>
      </c>
      <c r="U102" s="678">
        <v>8838267.1652255282</v>
      </c>
      <c r="V102" s="678">
        <v>8838267.1652255282</v>
      </c>
      <c r="W102" s="678">
        <v>8838267.1652255282</v>
      </c>
      <c r="X102" s="678">
        <v>8838267.1652255282</v>
      </c>
      <c r="Y102" s="678">
        <v>8838267.1652255282</v>
      </c>
      <c r="Z102" s="678">
        <v>8838267.1652255282</v>
      </c>
      <c r="AA102" s="678">
        <v>8838267.1652255282</v>
      </c>
      <c r="AB102" s="678">
        <v>8838267.1652255282</v>
      </c>
    </row>
    <row r="103" spans="1:28">
      <c r="A103" s="5" t="s">
        <v>281</v>
      </c>
      <c r="B103" s="12">
        <f>B65*B48*ValUncertainty_and_Market_Adjustment_for_Kerosene</f>
        <v>13430352.482796609</v>
      </c>
      <c r="C103" s="14"/>
      <c r="D103" s="678">
        <f t="shared" si="18"/>
        <v>13430352.482796609</v>
      </c>
      <c r="E103" s="678">
        <v>17197057.275301106</v>
      </c>
      <c r="F103" s="678">
        <v>17197057.275301106</v>
      </c>
      <c r="G103" s="678">
        <v>17197057.275301106</v>
      </c>
      <c r="H103" s="678">
        <v>17197057.275301106</v>
      </c>
      <c r="I103" s="678">
        <v>17197057.275301106</v>
      </c>
      <c r="J103" s="678">
        <v>17197057.275301106</v>
      </c>
      <c r="K103" s="678">
        <v>17197057.275301106</v>
      </c>
      <c r="L103" s="678">
        <v>17197057.275301106</v>
      </c>
      <c r="M103" s="678">
        <v>17197057.275301106</v>
      </c>
      <c r="N103" s="678">
        <v>17197057.275301106</v>
      </c>
      <c r="O103" s="678">
        <v>17197057.275301106</v>
      </c>
      <c r="P103" s="678">
        <v>17197057.275301106</v>
      </c>
      <c r="Q103" s="678">
        <v>17197057.275301106</v>
      </c>
      <c r="R103" s="678">
        <v>17197057.275301106</v>
      </c>
      <c r="S103" s="678">
        <v>17197057.275301106</v>
      </c>
      <c r="T103" s="678">
        <v>17197057.275301106</v>
      </c>
      <c r="U103" s="678">
        <v>17197057.275301106</v>
      </c>
      <c r="V103" s="678">
        <v>17197057.275301106</v>
      </c>
      <c r="W103" s="678">
        <v>17197057.275301106</v>
      </c>
      <c r="X103" s="678">
        <v>17197057.275301106</v>
      </c>
      <c r="Y103" s="678">
        <v>17197057.275301106</v>
      </c>
      <c r="Z103" s="678">
        <v>17197057.275301106</v>
      </c>
      <c r="AA103" s="678">
        <v>17197057.275301106</v>
      </c>
      <c r="AB103" s="678">
        <v>17197057.275301106</v>
      </c>
    </row>
    <row r="104" spans="1:28">
      <c r="A104" s="846" t="s">
        <v>282</v>
      </c>
      <c r="B104" s="694">
        <f>B103*EvalFuelwood*EfficiencyValFuelwood*(1/B45)</f>
        <v>8953568.3218644075</v>
      </c>
      <c r="C104" s="14"/>
      <c r="D104" s="678">
        <f t="shared" si="18"/>
        <v>8953568.3218644075</v>
      </c>
      <c r="E104" s="678">
        <v>11464704.850200739</v>
      </c>
      <c r="F104" s="678">
        <v>11464704.850200739</v>
      </c>
      <c r="G104" s="678">
        <v>11464704.850200739</v>
      </c>
      <c r="H104" s="678">
        <v>11464704.850200739</v>
      </c>
      <c r="I104" s="678">
        <v>11464704.850200739</v>
      </c>
      <c r="J104" s="678">
        <v>11464704.850200739</v>
      </c>
      <c r="K104" s="678">
        <v>11464704.850200739</v>
      </c>
      <c r="L104" s="678">
        <v>11464704.850200739</v>
      </c>
      <c r="M104" s="678">
        <v>11464704.850200739</v>
      </c>
      <c r="N104" s="678">
        <v>11464704.850200739</v>
      </c>
      <c r="O104" s="678">
        <v>11464704.850200739</v>
      </c>
      <c r="P104" s="678">
        <v>11464704.850200739</v>
      </c>
      <c r="Q104" s="678">
        <v>11464704.850200739</v>
      </c>
      <c r="R104" s="678">
        <v>11464704.850200739</v>
      </c>
      <c r="S104" s="678">
        <v>11464704.850200739</v>
      </c>
      <c r="T104" s="678">
        <v>11464704.850200739</v>
      </c>
      <c r="U104" s="678">
        <v>11464704.850200739</v>
      </c>
      <c r="V104" s="678">
        <v>11464704.850200739</v>
      </c>
      <c r="W104" s="678">
        <v>11464704.850200739</v>
      </c>
      <c r="X104" s="678">
        <v>11464704.850200739</v>
      </c>
      <c r="Y104" s="678">
        <v>11464704.850200739</v>
      </c>
      <c r="Z104" s="678">
        <v>11464704.850200739</v>
      </c>
      <c r="AA104" s="678">
        <v>11464704.850200739</v>
      </c>
      <c r="AB104" s="678">
        <v>11464704.850200739</v>
      </c>
    </row>
    <row r="105" spans="1:28" ht="24.95">
      <c r="A105" s="7" t="s">
        <v>283</v>
      </c>
      <c r="B105" s="12">
        <f>B104*GensetCapacityUtilFac</f>
        <v>4921154.5734723248</v>
      </c>
      <c r="C105" s="14"/>
      <c r="D105" s="678">
        <f t="shared" si="18"/>
        <v>4921154.5734723248</v>
      </c>
      <c r="E105" s="678">
        <v>6301351.8944508843</v>
      </c>
      <c r="F105" s="678">
        <v>6301351.8944508843</v>
      </c>
      <c r="G105" s="678">
        <v>6301351.8944508843</v>
      </c>
      <c r="H105" s="678">
        <v>6301351.8944508843</v>
      </c>
      <c r="I105" s="678">
        <v>6301351.8944508843</v>
      </c>
      <c r="J105" s="678">
        <v>6301351.8944508843</v>
      </c>
      <c r="K105" s="678">
        <v>6301351.8944508843</v>
      </c>
      <c r="L105" s="678">
        <v>6301351.8944508843</v>
      </c>
      <c r="M105" s="678">
        <v>6301351.8944508843</v>
      </c>
      <c r="N105" s="678">
        <v>6301351.8944508843</v>
      </c>
      <c r="O105" s="678">
        <v>6301351.8944508843</v>
      </c>
      <c r="P105" s="678">
        <v>6301351.8944508843</v>
      </c>
      <c r="Q105" s="678">
        <v>6301351.8944508843</v>
      </c>
      <c r="R105" s="678">
        <v>6301351.8944508843</v>
      </c>
      <c r="S105" s="678">
        <v>6301351.8944508843</v>
      </c>
      <c r="T105" s="678">
        <v>6301351.8944508843</v>
      </c>
      <c r="U105" s="678">
        <v>6301351.8944508843</v>
      </c>
      <c r="V105" s="678">
        <v>6301351.8944508843</v>
      </c>
      <c r="W105" s="678">
        <v>6301351.8944508843</v>
      </c>
      <c r="X105" s="678">
        <v>6301351.8944508843</v>
      </c>
      <c r="Y105" s="678">
        <v>6301351.8944508843</v>
      </c>
      <c r="Z105" s="678">
        <v>6301351.8944508843</v>
      </c>
      <c r="AA105" s="678">
        <v>6301351.8944508843</v>
      </c>
      <c r="AB105" s="678">
        <v>6301351.8944508843</v>
      </c>
    </row>
    <row r="106" spans="1:28">
      <c r="A106" s="7"/>
      <c r="B106" s="12"/>
      <c r="C106" s="14"/>
      <c r="D106" s="678"/>
      <c r="E106" s="678"/>
      <c r="F106" s="678"/>
      <c r="G106" s="678"/>
      <c r="H106" s="678"/>
      <c r="I106" s="678"/>
      <c r="J106" s="678"/>
      <c r="K106" s="678"/>
      <c r="L106" s="678"/>
      <c r="M106" s="678"/>
      <c r="N106" s="678"/>
      <c r="O106" s="678"/>
      <c r="P106" s="678"/>
      <c r="Q106" s="678"/>
      <c r="R106" s="678"/>
      <c r="S106" s="678"/>
      <c r="T106" s="678"/>
      <c r="U106" s="678"/>
      <c r="V106" s="678"/>
      <c r="W106" s="678"/>
      <c r="X106" s="678"/>
      <c r="Y106" s="678"/>
      <c r="Z106" s="678"/>
      <c r="AA106" s="678"/>
      <c r="AB106" s="678"/>
    </row>
    <row r="107" spans="1:28">
      <c r="A107" s="7"/>
      <c r="B107" s="12"/>
      <c r="C107" s="14"/>
      <c r="D107" s="678"/>
      <c r="E107" s="678"/>
      <c r="F107" s="678"/>
      <c r="G107" s="678"/>
      <c r="H107" s="678"/>
      <c r="I107" s="678"/>
      <c r="J107" s="678"/>
      <c r="K107" s="678"/>
      <c r="L107" s="678"/>
      <c r="M107" s="678"/>
      <c r="N107" s="678"/>
      <c r="O107" s="678"/>
      <c r="P107" s="678"/>
      <c r="Q107" s="678"/>
      <c r="R107" s="678"/>
      <c r="S107" s="678"/>
      <c r="T107" s="678"/>
      <c r="U107" s="678"/>
      <c r="V107" s="678"/>
      <c r="W107" s="678"/>
      <c r="X107" s="678"/>
      <c r="Y107" s="678"/>
      <c r="Z107" s="678"/>
      <c r="AA107" s="678"/>
      <c r="AB107" s="678"/>
    </row>
    <row r="108" spans="1:28">
      <c r="A108" s="7" t="s">
        <v>284</v>
      </c>
      <c r="B108" s="12"/>
      <c r="C108" s="14"/>
      <c r="D108" s="678"/>
      <c r="E108" s="678"/>
      <c r="F108" s="678"/>
      <c r="G108" s="678"/>
      <c r="H108" s="678"/>
      <c r="I108" s="678"/>
      <c r="J108" s="678"/>
      <c r="K108" s="678"/>
      <c r="L108" s="678"/>
      <c r="M108" s="678"/>
      <c r="N108" s="678"/>
      <c r="O108" s="678"/>
      <c r="P108" s="678"/>
      <c r="Q108" s="678"/>
      <c r="R108" s="678"/>
      <c r="S108" s="678"/>
      <c r="T108" s="678"/>
      <c r="U108" s="678"/>
      <c r="V108" s="678"/>
      <c r="W108" s="678"/>
      <c r="X108" s="678"/>
      <c r="Y108" s="678"/>
      <c r="Z108" s="678"/>
      <c r="AA108" s="678"/>
      <c r="AB108" s="678"/>
    </row>
    <row r="109" spans="1:28" ht="24.95">
      <c r="A109" s="7" t="s">
        <v>88</v>
      </c>
      <c r="B109" s="12">
        <f>B95</f>
        <v>351454.36199118925</v>
      </c>
      <c r="C109" s="14"/>
      <c r="D109" s="678"/>
      <c r="E109" s="678"/>
      <c r="F109" s="678"/>
      <c r="G109" s="678"/>
      <c r="H109" s="678"/>
      <c r="I109" s="678"/>
      <c r="J109" s="678"/>
      <c r="K109" s="678"/>
      <c r="L109" s="678"/>
      <c r="M109" s="678"/>
      <c r="N109" s="678"/>
      <c r="O109" s="678"/>
      <c r="P109" s="678"/>
      <c r="Q109" s="678"/>
      <c r="R109" s="678"/>
      <c r="S109" s="678"/>
      <c r="T109" s="678"/>
      <c r="U109" s="678"/>
      <c r="V109" s="678"/>
      <c r="W109" s="678"/>
      <c r="X109" s="678"/>
      <c r="Y109" s="678"/>
      <c r="Z109" s="678"/>
      <c r="AA109" s="678"/>
      <c r="AB109" s="678"/>
    </row>
    <row r="110" spans="1:28" ht="24.95">
      <c r="A110" s="7" t="s">
        <v>89</v>
      </c>
      <c r="B110" s="12">
        <f>SUM(D96:AB96)</f>
        <v>3854583.2094285823</v>
      </c>
      <c r="C110" s="14"/>
      <c r="D110" s="678"/>
      <c r="E110" s="678"/>
      <c r="F110" s="678"/>
      <c r="G110" s="678"/>
      <c r="H110" s="678"/>
      <c r="I110" s="678"/>
      <c r="J110" s="678"/>
      <c r="K110" s="678"/>
      <c r="L110" s="678"/>
      <c r="M110" s="678"/>
      <c r="N110" s="678"/>
      <c r="O110" s="678"/>
      <c r="P110" s="678"/>
      <c r="Q110" s="678"/>
      <c r="R110" s="678"/>
      <c r="S110" s="678"/>
      <c r="T110" s="678"/>
      <c r="U110" s="678"/>
      <c r="V110" s="678"/>
      <c r="W110" s="678"/>
      <c r="X110" s="678"/>
      <c r="Y110" s="678"/>
      <c r="Z110" s="678"/>
      <c r="AA110" s="678"/>
      <c r="AB110" s="678"/>
    </row>
    <row r="111" spans="1:28" ht="24.95">
      <c r="A111" s="7" t="s">
        <v>90</v>
      </c>
      <c r="B111" s="12">
        <f>SUM(D97:AB97)</f>
        <v>2573269.7870616061</v>
      </c>
      <c r="C111" s="14"/>
      <c r="D111" s="678"/>
      <c r="E111" s="678"/>
      <c r="F111" s="678"/>
      <c r="G111" s="678"/>
      <c r="H111" s="678"/>
      <c r="I111" s="678"/>
      <c r="J111" s="678"/>
      <c r="K111" s="678"/>
      <c r="L111" s="678"/>
      <c r="M111" s="678"/>
      <c r="N111" s="678"/>
      <c r="O111" s="678"/>
      <c r="P111" s="678"/>
      <c r="Q111" s="678"/>
      <c r="R111" s="678"/>
      <c r="S111" s="678"/>
      <c r="T111" s="678"/>
      <c r="U111" s="678"/>
      <c r="V111" s="678"/>
      <c r="W111" s="678"/>
      <c r="X111" s="678"/>
      <c r="Y111" s="678"/>
      <c r="Z111" s="678"/>
      <c r="AA111" s="678"/>
      <c r="AB111" s="678"/>
    </row>
    <row r="112" spans="1:28" ht="15" thickBot="1">
      <c r="A112" s="7"/>
      <c r="B112" s="12"/>
      <c r="C112" s="14"/>
      <c r="D112" s="678"/>
      <c r="E112" s="678"/>
      <c r="F112" s="678"/>
      <c r="G112" s="678"/>
      <c r="H112" s="678"/>
      <c r="I112" s="678"/>
      <c r="J112" s="678"/>
      <c r="K112" s="678"/>
      <c r="L112" s="678"/>
      <c r="M112" s="678"/>
      <c r="N112" s="678"/>
      <c r="O112" s="678"/>
      <c r="P112" s="678"/>
      <c r="Q112" s="678"/>
      <c r="R112" s="678"/>
      <c r="S112" s="678"/>
      <c r="T112" s="678"/>
      <c r="U112" s="678"/>
      <c r="V112" s="678"/>
      <c r="W112" s="678"/>
      <c r="X112" s="678"/>
      <c r="Y112" s="678"/>
      <c r="Z112" s="678"/>
      <c r="AA112" s="678"/>
      <c r="AB112" s="678"/>
    </row>
    <row r="113" spans="1:28" ht="15" thickBot="1">
      <c r="A113" s="679" t="s">
        <v>498</v>
      </c>
      <c r="B113" s="688">
        <f>IRR(D88:AB88)</f>
        <v>5.6116820204650919E-2</v>
      </c>
      <c r="C113" s="680"/>
      <c r="D113" s="678"/>
      <c r="E113" s="678"/>
      <c r="F113" s="678"/>
      <c r="G113" s="678"/>
      <c r="H113" s="678"/>
      <c r="I113" s="678"/>
      <c r="J113" s="678"/>
      <c r="K113" s="678"/>
      <c r="L113" s="678"/>
      <c r="M113" s="678"/>
      <c r="N113" s="678"/>
      <c r="O113" s="678"/>
      <c r="P113" s="678"/>
      <c r="Q113" s="678"/>
      <c r="R113" s="678"/>
      <c r="S113" s="678"/>
      <c r="T113" s="678"/>
      <c r="U113" s="678"/>
      <c r="V113" s="678"/>
      <c r="W113" s="678"/>
      <c r="X113" s="678"/>
      <c r="Y113" s="678"/>
      <c r="Z113" s="678"/>
      <c r="AA113" s="678"/>
      <c r="AB113" s="678"/>
    </row>
    <row r="114" spans="1:28" ht="15" thickBot="1">
      <c r="A114" s="682" t="s">
        <v>609</v>
      </c>
      <c r="B114" s="683">
        <f>NPV(Cost_of_borrowing_from_GCF,D88:AB88)</f>
        <v>999829.51068855135</v>
      </c>
      <c r="C114" s="680"/>
      <c r="D114" s="678"/>
      <c r="E114" s="678"/>
      <c r="F114" s="678"/>
      <c r="G114" s="678"/>
      <c r="H114" s="678"/>
      <c r="I114" s="678"/>
      <c r="J114" s="678"/>
      <c r="K114" s="678"/>
      <c r="L114" s="678"/>
      <c r="M114" s="678"/>
      <c r="N114" s="678"/>
      <c r="O114" s="678"/>
      <c r="P114" s="678"/>
      <c r="Q114" s="678"/>
      <c r="R114" s="678"/>
      <c r="S114" s="678"/>
      <c r="T114" s="678"/>
      <c r="U114" s="678"/>
      <c r="V114" s="678"/>
      <c r="W114" s="678"/>
      <c r="X114" s="678"/>
      <c r="Y114" s="678"/>
      <c r="Z114" s="678"/>
      <c r="AA114" s="678"/>
      <c r="AB114" s="678"/>
    </row>
    <row r="115" spans="1:28" ht="15" thickBot="1">
      <c r="A115" s="682" t="s">
        <v>610</v>
      </c>
      <c r="B115" s="683">
        <f>NPV(SocDiscountRate,D88:AB88)</f>
        <v>-529902.59669023217</v>
      </c>
      <c r="C115" s="681"/>
      <c r="D115" s="678"/>
      <c r="E115" s="678"/>
      <c r="F115" s="678"/>
      <c r="G115" s="678"/>
      <c r="H115" s="678"/>
      <c r="I115" s="678"/>
      <c r="J115" s="678"/>
      <c r="K115" s="678"/>
      <c r="L115" s="678"/>
      <c r="M115" s="678"/>
      <c r="N115" s="678"/>
      <c r="O115" s="678"/>
      <c r="P115" s="678"/>
      <c r="Q115" s="678"/>
      <c r="R115" s="678"/>
      <c r="S115" s="678"/>
      <c r="T115" s="678"/>
      <c r="U115" s="678"/>
      <c r="V115" s="678"/>
      <c r="W115" s="678"/>
      <c r="X115" s="678"/>
      <c r="Y115" s="678"/>
      <c r="Z115" s="678"/>
      <c r="AA115" s="678"/>
      <c r="AB115" s="678"/>
    </row>
    <row r="116" spans="1:28">
      <c r="A116" s="682" t="s">
        <v>611</v>
      </c>
      <c r="B116" s="683">
        <f>NPV(EscoDiscountRate,D88:AB88)</f>
        <v>-763861.19370092009</v>
      </c>
      <c r="C116" s="681"/>
      <c r="D116" s="678"/>
      <c r="E116" s="678"/>
      <c r="F116" s="678"/>
      <c r="G116" s="678"/>
      <c r="H116" s="678"/>
      <c r="I116" s="678"/>
      <c r="J116" s="678"/>
      <c r="K116" s="678"/>
      <c r="L116" s="678"/>
      <c r="M116" s="678"/>
      <c r="N116" s="678"/>
      <c r="O116" s="678"/>
      <c r="P116" s="678"/>
      <c r="Q116" s="678"/>
      <c r="R116" s="678"/>
      <c r="S116" s="678"/>
      <c r="T116" s="678"/>
      <c r="U116" s="678"/>
      <c r="V116" s="678"/>
      <c r="W116" s="678"/>
      <c r="X116" s="678"/>
      <c r="Y116" s="678"/>
      <c r="Z116" s="678"/>
      <c r="AA116" s="678"/>
      <c r="AB116" s="678"/>
    </row>
    <row r="117" spans="1:28">
      <c r="A117" s="7"/>
      <c r="B117" s="12"/>
      <c r="C117" s="14"/>
      <c r="D117" s="678"/>
      <c r="E117" s="678"/>
      <c r="F117" s="678"/>
      <c r="G117" s="678"/>
      <c r="H117" s="678"/>
      <c r="I117" s="678"/>
      <c r="J117" s="678"/>
      <c r="K117" s="678"/>
      <c r="L117" s="678"/>
      <c r="M117" s="678"/>
      <c r="N117" s="678"/>
      <c r="O117" s="678"/>
      <c r="P117" s="678"/>
      <c r="Q117" s="678"/>
      <c r="R117" s="678"/>
      <c r="S117" s="678"/>
      <c r="T117" s="678"/>
      <c r="U117" s="678"/>
      <c r="V117" s="678"/>
      <c r="W117" s="678"/>
      <c r="X117" s="678"/>
      <c r="Y117" s="678"/>
      <c r="Z117" s="678"/>
      <c r="AA117" s="678"/>
      <c r="AB117" s="678"/>
    </row>
    <row r="118" spans="1:28">
      <c r="A118" s="7"/>
      <c r="B118" s="12"/>
      <c r="C118" s="14"/>
      <c r="D118" s="678"/>
      <c r="E118" s="678"/>
      <c r="F118" s="678"/>
      <c r="G118" s="678"/>
      <c r="H118" s="678"/>
      <c r="I118" s="678"/>
      <c r="J118" s="678"/>
      <c r="K118" s="678"/>
      <c r="L118" s="678"/>
      <c r="M118" s="678"/>
      <c r="N118" s="678"/>
      <c r="O118" s="678"/>
      <c r="P118" s="678"/>
      <c r="Q118" s="678"/>
      <c r="R118" s="678"/>
      <c r="S118" s="678"/>
      <c r="T118" s="678"/>
      <c r="U118" s="678"/>
      <c r="V118" s="678"/>
      <c r="W118" s="678"/>
      <c r="X118" s="678"/>
      <c r="Y118" s="678"/>
      <c r="Z118" s="678"/>
      <c r="AA118" s="678"/>
      <c r="AB118" s="678"/>
    </row>
    <row r="119" spans="1:28">
      <c r="C119" s="14"/>
      <c r="D119" s="678"/>
      <c r="E119" s="678"/>
      <c r="F119" s="678"/>
      <c r="G119" s="678"/>
      <c r="H119" s="678"/>
      <c r="I119" s="678"/>
      <c r="J119" s="678"/>
      <c r="K119" s="678"/>
      <c r="L119" s="678"/>
      <c r="M119" s="678"/>
      <c r="N119" s="678"/>
      <c r="O119" s="678"/>
      <c r="P119" s="678"/>
      <c r="Q119" s="678"/>
      <c r="R119" s="678"/>
      <c r="S119" s="678"/>
      <c r="T119" s="678"/>
      <c r="U119" s="678"/>
      <c r="V119" s="678"/>
      <c r="W119" s="678"/>
      <c r="X119" s="678"/>
      <c r="Y119" s="678"/>
      <c r="Z119" s="678"/>
      <c r="AA119" s="678"/>
      <c r="AB119" s="678"/>
    </row>
    <row r="120" spans="1:28">
      <c r="C120" s="14"/>
      <c r="D120" s="678"/>
      <c r="E120" s="678"/>
      <c r="F120" s="678"/>
      <c r="G120" s="678"/>
      <c r="H120" s="678"/>
      <c r="I120" s="678"/>
      <c r="J120" s="678"/>
      <c r="K120" s="678"/>
      <c r="L120" s="678"/>
      <c r="M120" s="678"/>
      <c r="N120" s="678"/>
      <c r="O120" s="678"/>
      <c r="P120" s="678"/>
      <c r="Q120" s="678"/>
      <c r="R120" s="678"/>
      <c r="S120" s="678"/>
      <c r="T120" s="678"/>
      <c r="U120" s="678"/>
      <c r="V120" s="678"/>
      <c r="W120" s="678"/>
      <c r="X120" s="678"/>
      <c r="Y120" s="678"/>
      <c r="Z120" s="678"/>
      <c r="AA120" s="678"/>
      <c r="AB120" s="678"/>
    </row>
    <row r="121" spans="1:28">
      <c r="C121" s="14"/>
      <c r="D121" s="678"/>
      <c r="E121" s="678"/>
      <c r="F121" s="678"/>
      <c r="G121" s="678"/>
      <c r="H121" s="678"/>
      <c r="I121" s="678"/>
      <c r="J121" s="678"/>
      <c r="K121" s="678"/>
      <c r="L121" s="678"/>
      <c r="M121" s="678"/>
      <c r="N121" s="678"/>
      <c r="O121" s="678"/>
      <c r="P121" s="678"/>
      <c r="Q121" s="678"/>
      <c r="R121" s="678"/>
      <c r="S121" s="678"/>
      <c r="T121" s="678"/>
      <c r="U121" s="678"/>
      <c r="V121" s="678"/>
      <c r="W121" s="678"/>
      <c r="X121" s="678"/>
      <c r="Y121" s="678"/>
      <c r="Z121" s="678"/>
      <c r="AA121" s="678"/>
      <c r="AB121" s="678"/>
    </row>
    <row r="122" spans="1:28">
      <c r="C122" s="14"/>
      <c r="D122" s="678"/>
      <c r="E122" s="678"/>
      <c r="F122" s="678"/>
      <c r="G122" s="678"/>
      <c r="H122" s="678"/>
      <c r="I122" s="678"/>
      <c r="J122" s="678"/>
      <c r="K122" s="678"/>
      <c r="L122" s="678"/>
      <c r="M122" s="678"/>
      <c r="N122" s="678"/>
      <c r="O122" s="678"/>
      <c r="P122" s="678"/>
      <c r="Q122" s="678"/>
      <c r="R122" s="678"/>
      <c r="S122" s="678"/>
      <c r="T122" s="678"/>
      <c r="U122" s="678"/>
      <c r="V122" s="678"/>
      <c r="W122" s="678"/>
      <c r="X122" s="678"/>
      <c r="Y122" s="678"/>
      <c r="Z122" s="678"/>
      <c r="AA122" s="678"/>
      <c r="AB122" s="678"/>
    </row>
    <row r="123" spans="1:28">
      <c r="A123" s="7"/>
      <c r="B123" s="12"/>
      <c r="C123" s="14"/>
      <c r="D123" s="678"/>
      <c r="E123" s="678"/>
      <c r="F123" s="678"/>
      <c r="G123" s="678"/>
      <c r="H123" s="678"/>
      <c r="I123" s="678"/>
      <c r="J123" s="678"/>
      <c r="K123" s="678"/>
      <c r="L123" s="678"/>
      <c r="M123" s="678"/>
      <c r="N123" s="678"/>
      <c r="O123" s="678"/>
      <c r="P123" s="678"/>
      <c r="Q123" s="678"/>
      <c r="R123" s="678"/>
      <c r="S123" s="678"/>
      <c r="T123" s="678"/>
      <c r="U123" s="678"/>
      <c r="V123" s="678"/>
      <c r="W123" s="678"/>
      <c r="X123" s="678"/>
      <c r="Y123" s="678"/>
      <c r="Z123" s="678"/>
      <c r="AA123" s="678"/>
      <c r="AB123" s="678"/>
    </row>
    <row r="127" spans="1:28">
      <c r="A127" s="846" t="s">
        <v>285</v>
      </c>
    </row>
    <row r="128" spans="1:28" ht="29.1">
      <c r="A128" s="849" t="s">
        <v>286</v>
      </c>
    </row>
    <row r="129" spans="1:2">
      <c r="A129" s="846" t="s">
        <v>287</v>
      </c>
    </row>
    <row r="130" spans="1:2">
      <c r="A130" s="846" t="s">
        <v>288</v>
      </c>
    </row>
    <row r="131" spans="1:2" ht="57.95">
      <c r="A131" s="660" t="s">
        <v>289</v>
      </c>
    </row>
    <row r="132" spans="1:2">
      <c r="A132" s="846" t="s">
        <v>290</v>
      </c>
    </row>
    <row r="133" spans="1:2">
      <c r="A133" s="15" t="s">
        <v>291</v>
      </c>
      <c r="B133" s="846" t="s">
        <v>292</v>
      </c>
    </row>
  </sheetData>
  <mergeCells count="1">
    <mergeCell ref="A3:A4"/>
  </mergeCells>
  <hyperlinks>
    <hyperlink ref="A133" r:id="rId1" display="https://ghgprotocol.org/calculation-tools" xr:uid="{46A6F94A-4A7F-465A-B343-DE2CFE4D71C8}"/>
  </hyperlinks>
  <pageMargins left="0.7" right="0.7" top="0.75" bottom="0.75" header="0.3" footer="0.3"/>
  <pageSetup paperSize="9" orientation="portrait"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A8CCB2-1B8E-44C0-85FC-FFF9A119D075}">
  <sheetPr>
    <tabColor rgb="FF7030A0"/>
  </sheetPr>
  <dimension ref="A1:AM170"/>
  <sheetViews>
    <sheetView showGridLines="0" topLeftCell="A27" zoomScale="80" zoomScaleNormal="80" workbookViewId="0">
      <selection activeCell="D9" sqref="D9"/>
    </sheetView>
  </sheetViews>
  <sheetFormatPr defaultColWidth="8.85546875" defaultRowHeight="12.6"/>
  <cols>
    <col min="1" max="1" width="7.42578125" style="215" customWidth="1"/>
    <col min="2" max="2" width="41" style="215" customWidth="1"/>
    <col min="3" max="3" width="16" style="215" customWidth="1"/>
    <col min="4" max="4" width="23" style="215" customWidth="1"/>
    <col min="5" max="7" width="16.140625" style="215" customWidth="1"/>
    <col min="8" max="9" width="14.42578125" style="215" customWidth="1"/>
    <col min="10" max="10" width="17.5703125" style="215" customWidth="1"/>
    <col min="11" max="11" width="13.5703125" style="215" bestFit="1" customWidth="1"/>
    <col min="12" max="12" width="14.5703125" style="215" bestFit="1" customWidth="1"/>
    <col min="13" max="13" width="14.85546875" style="215" bestFit="1" customWidth="1"/>
    <col min="14" max="14" width="17.140625" style="215" customWidth="1"/>
    <col min="15" max="15" width="16.42578125" style="215" bestFit="1" customWidth="1"/>
    <col min="16" max="16" width="17.140625" style="215" bestFit="1" customWidth="1"/>
    <col min="17" max="17" width="24.42578125" style="215" customWidth="1"/>
    <col min="18" max="18" width="18.42578125" style="215" bestFit="1" customWidth="1"/>
    <col min="19" max="19" width="18.5703125" style="215" bestFit="1" customWidth="1"/>
    <col min="20" max="20" width="19.42578125" style="215" bestFit="1" customWidth="1"/>
    <col min="21" max="21" width="20.42578125" style="215" bestFit="1" customWidth="1"/>
    <col min="22" max="22" width="20.85546875" style="215" bestFit="1" customWidth="1"/>
    <col min="23" max="23" width="21.42578125" style="215" bestFit="1" customWidth="1"/>
    <col min="24" max="25" width="22.42578125" style="215" bestFit="1" customWidth="1"/>
    <col min="26" max="27" width="23.85546875" style="215" bestFit="1" customWidth="1"/>
    <col min="28" max="29" width="24.85546875" style="215" bestFit="1" customWidth="1"/>
    <col min="30" max="34" width="11.42578125" style="215" bestFit="1" customWidth="1"/>
    <col min="35" max="39" width="12.42578125" style="215" bestFit="1" customWidth="1"/>
    <col min="40" max="40" width="12" style="215" bestFit="1" customWidth="1"/>
    <col min="41" max="256" width="8.85546875" style="215"/>
    <col min="257" max="257" width="7.42578125" style="215" customWidth="1"/>
    <col min="258" max="258" width="41" style="215" customWidth="1"/>
    <col min="259" max="259" width="16" style="215" customWidth="1"/>
    <col min="260" max="260" width="16.140625" style="215" bestFit="1" customWidth="1"/>
    <col min="261" max="261" width="11.85546875" style="215" customWidth="1"/>
    <col min="262" max="262" width="12.42578125" style="215" bestFit="1" customWidth="1"/>
    <col min="263" max="264" width="13" style="215" bestFit="1" customWidth="1"/>
    <col min="265" max="265" width="12.5703125" style="215" bestFit="1" customWidth="1"/>
    <col min="266" max="266" width="13.42578125" style="215" bestFit="1" customWidth="1"/>
    <col min="267" max="267" width="13.5703125" style="215" bestFit="1" customWidth="1"/>
    <col min="268" max="268" width="14.5703125" style="215" bestFit="1" customWidth="1"/>
    <col min="269" max="269" width="14.85546875" style="215" bestFit="1" customWidth="1"/>
    <col min="270" max="270" width="17.140625" style="215" customWidth="1"/>
    <col min="271" max="271" width="16.42578125" style="215" bestFit="1" customWidth="1"/>
    <col min="272" max="272" width="17.140625" style="215" bestFit="1" customWidth="1"/>
    <col min="273" max="273" width="24.42578125" style="215" customWidth="1"/>
    <col min="274" max="274" width="18.42578125" style="215" bestFit="1" customWidth="1"/>
    <col min="275" max="275" width="18.5703125" style="215" bestFit="1" customWidth="1"/>
    <col min="276" max="276" width="19.42578125" style="215" bestFit="1" customWidth="1"/>
    <col min="277" max="277" width="20.42578125" style="215" bestFit="1" customWidth="1"/>
    <col min="278" max="278" width="20.85546875" style="215" bestFit="1" customWidth="1"/>
    <col min="279" max="279" width="21.42578125" style="215" bestFit="1" customWidth="1"/>
    <col min="280" max="281" width="22.42578125" style="215" bestFit="1" customWidth="1"/>
    <col min="282" max="283" width="23.85546875" style="215" bestFit="1" customWidth="1"/>
    <col min="284" max="285" width="24.85546875" style="215" bestFit="1" customWidth="1"/>
    <col min="286" max="290" width="11.42578125" style="215" bestFit="1" customWidth="1"/>
    <col min="291" max="295" width="12.42578125" style="215" bestFit="1" customWidth="1"/>
    <col min="296" max="296" width="12" style="215" bestFit="1" customWidth="1"/>
    <col min="297" max="512" width="8.85546875" style="215"/>
    <col min="513" max="513" width="7.42578125" style="215" customWidth="1"/>
    <col min="514" max="514" width="41" style="215" customWidth="1"/>
    <col min="515" max="515" width="16" style="215" customWidth="1"/>
    <col min="516" max="516" width="16.140625" style="215" bestFit="1" customWidth="1"/>
    <col min="517" max="517" width="11.85546875" style="215" customWidth="1"/>
    <col min="518" max="518" width="12.42578125" style="215" bestFit="1" customWidth="1"/>
    <col min="519" max="520" width="13" style="215" bestFit="1" customWidth="1"/>
    <col min="521" max="521" width="12.5703125" style="215" bestFit="1" customWidth="1"/>
    <col min="522" max="522" width="13.42578125" style="215" bestFit="1" customWidth="1"/>
    <col min="523" max="523" width="13.5703125" style="215" bestFit="1" customWidth="1"/>
    <col min="524" max="524" width="14.5703125" style="215" bestFit="1" customWidth="1"/>
    <col min="525" max="525" width="14.85546875" style="215" bestFit="1" customWidth="1"/>
    <col min="526" max="526" width="17.140625" style="215" customWidth="1"/>
    <col min="527" max="527" width="16.42578125" style="215" bestFit="1" customWidth="1"/>
    <col min="528" max="528" width="17.140625" style="215" bestFit="1" customWidth="1"/>
    <col min="529" max="529" width="24.42578125" style="215" customWidth="1"/>
    <col min="530" max="530" width="18.42578125" style="215" bestFit="1" customWidth="1"/>
    <col min="531" max="531" width="18.5703125" style="215" bestFit="1" customWidth="1"/>
    <col min="532" max="532" width="19.42578125" style="215" bestFit="1" customWidth="1"/>
    <col min="533" max="533" width="20.42578125" style="215" bestFit="1" customWidth="1"/>
    <col min="534" max="534" width="20.85546875" style="215" bestFit="1" customWidth="1"/>
    <col min="535" max="535" width="21.42578125" style="215" bestFit="1" customWidth="1"/>
    <col min="536" max="537" width="22.42578125" style="215" bestFit="1" customWidth="1"/>
    <col min="538" max="539" width="23.85546875" style="215" bestFit="1" customWidth="1"/>
    <col min="540" max="541" width="24.85546875" style="215" bestFit="1" customWidth="1"/>
    <col min="542" max="546" width="11.42578125" style="215" bestFit="1" customWidth="1"/>
    <col min="547" max="551" width="12.42578125" style="215" bestFit="1" customWidth="1"/>
    <col min="552" max="552" width="12" style="215" bestFit="1" customWidth="1"/>
    <col min="553" max="768" width="8.85546875" style="215"/>
    <col min="769" max="769" width="7.42578125" style="215" customWidth="1"/>
    <col min="770" max="770" width="41" style="215" customWidth="1"/>
    <col min="771" max="771" width="16" style="215" customWidth="1"/>
    <col min="772" max="772" width="16.140625" style="215" bestFit="1" customWidth="1"/>
    <col min="773" max="773" width="11.85546875" style="215" customWidth="1"/>
    <col min="774" max="774" width="12.42578125" style="215" bestFit="1" customWidth="1"/>
    <col min="775" max="776" width="13" style="215" bestFit="1" customWidth="1"/>
    <col min="777" max="777" width="12.5703125" style="215" bestFit="1" customWidth="1"/>
    <col min="778" max="778" width="13.42578125" style="215" bestFit="1" customWidth="1"/>
    <col min="779" max="779" width="13.5703125" style="215" bestFit="1" customWidth="1"/>
    <col min="780" max="780" width="14.5703125" style="215" bestFit="1" customWidth="1"/>
    <col min="781" max="781" width="14.85546875" style="215" bestFit="1" customWidth="1"/>
    <col min="782" max="782" width="17.140625" style="215" customWidth="1"/>
    <col min="783" max="783" width="16.42578125" style="215" bestFit="1" customWidth="1"/>
    <col min="784" max="784" width="17.140625" style="215" bestFit="1" customWidth="1"/>
    <col min="785" max="785" width="24.42578125" style="215" customWidth="1"/>
    <col min="786" max="786" width="18.42578125" style="215" bestFit="1" customWidth="1"/>
    <col min="787" max="787" width="18.5703125" style="215" bestFit="1" customWidth="1"/>
    <col min="788" max="788" width="19.42578125" style="215" bestFit="1" customWidth="1"/>
    <col min="789" max="789" width="20.42578125" style="215" bestFit="1" customWidth="1"/>
    <col min="790" max="790" width="20.85546875" style="215" bestFit="1" customWidth="1"/>
    <col min="791" max="791" width="21.42578125" style="215" bestFit="1" customWidth="1"/>
    <col min="792" max="793" width="22.42578125" style="215" bestFit="1" customWidth="1"/>
    <col min="794" max="795" width="23.85546875" style="215" bestFit="1" customWidth="1"/>
    <col min="796" max="797" width="24.85546875" style="215" bestFit="1" customWidth="1"/>
    <col min="798" max="802" width="11.42578125" style="215" bestFit="1" customWidth="1"/>
    <col min="803" max="807" width="12.42578125" style="215" bestFit="1" customWidth="1"/>
    <col min="808" max="808" width="12" style="215" bestFit="1" customWidth="1"/>
    <col min="809" max="1024" width="8.85546875" style="215"/>
    <col min="1025" max="1025" width="7.42578125" style="215" customWidth="1"/>
    <col min="1026" max="1026" width="41" style="215" customWidth="1"/>
    <col min="1027" max="1027" width="16" style="215" customWidth="1"/>
    <col min="1028" max="1028" width="16.140625" style="215" bestFit="1" customWidth="1"/>
    <col min="1029" max="1029" width="11.85546875" style="215" customWidth="1"/>
    <col min="1030" max="1030" width="12.42578125" style="215" bestFit="1" customWidth="1"/>
    <col min="1031" max="1032" width="13" style="215" bestFit="1" customWidth="1"/>
    <col min="1033" max="1033" width="12.5703125" style="215" bestFit="1" customWidth="1"/>
    <col min="1034" max="1034" width="13.42578125" style="215" bestFit="1" customWidth="1"/>
    <col min="1035" max="1035" width="13.5703125" style="215" bestFit="1" customWidth="1"/>
    <col min="1036" max="1036" width="14.5703125" style="215" bestFit="1" customWidth="1"/>
    <col min="1037" max="1037" width="14.85546875" style="215" bestFit="1" customWidth="1"/>
    <col min="1038" max="1038" width="17.140625" style="215" customWidth="1"/>
    <col min="1039" max="1039" width="16.42578125" style="215" bestFit="1" customWidth="1"/>
    <col min="1040" max="1040" width="17.140625" style="215" bestFit="1" customWidth="1"/>
    <col min="1041" max="1041" width="24.42578125" style="215" customWidth="1"/>
    <col min="1042" max="1042" width="18.42578125" style="215" bestFit="1" customWidth="1"/>
    <col min="1043" max="1043" width="18.5703125" style="215" bestFit="1" customWidth="1"/>
    <col min="1044" max="1044" width="19.42578125" style="215" bestFit="1" customWidth="1"/>
    <col min="1045" max="1045" width="20.42578125" style="215" bestFit="1" customWidth="1"/>
    <col min="1046" max="1046" width="20.85546875" style="215" bestFit="1" customWidth="1"/>
    <col min="1047" max="1047" width="21.42578125" style="215" bestFit="1" customWidth="1"/>
    <col min="1048" max="1049" width="22.42578125" style="215" bestFit="1" customWidth="1"/>
    <col min="1050" max="1051" width="23.85546875" style="215" bestFit="1" customWidth="1"/>
    <col min="1052" max="1053" width="24.85546875" style="215" bestFit="1" customWidth="1"/>
    <col min="1054" max="1058" width="11.42578125" style="215" bestFit="1" customWidth="1"/>
    <col min="1059" max="1063" width="12.42578125" style="215" bestFit="1" customWidth="1"/>
    <col min="1064" max="1064" width="12" style="215" bestFit="1" customWidth="1"/>
    <col min="1065" max="1280" width="8.85546875" style="215"/>
    <col min="1281" max="1281" width="7.42578125" style="215" customWidth="1"/>
    <col min="1282" max="1282" width="41" style="215" customWidth="1"/>
    <col min="1283" max="1283" width="16" style="215" customWidth="1"/>
    <col min="1284" max="1284" width="16.140625" style="215" bestFit="1" customWidth="1"/>
    <col min="1285" max="1285" width="11.85546875" style="215" customWidth="1"/>
    <col min="1286" max="1286" width="12.42578125" style="215" bestFit="1" customWidth="1"/>
    <col min="1287" max="1288" width="13" style="215" bestFit="1" customWidth="1"/>
    <col min="1289" max="1289" width="12.5703125" style="215" bestFit="1" customWidth="1"/>
    <col min="1290" max="1290" width="13.42578125" style="215" bestFit="1" customWidth="1"/>
    <col min="1291" max="1291" width="13.5703125" style="215" bestFit="1" customWidth="1"/>
    <col min="1292" max="1292" width="14.5703125" style="215" bestFit="1" customWidth="1"/>
    <col min="1293" max="1293" width="14.85546875" style="215" bestFit="1" customWidth="1"/>
    <col min="1294" max="1294" width="17.140625" style="215" customWidth="1"/>
    <col min="1295" max="1295" width="16.42578125" style="215" bestFit="1" customWidth="1"/>
    <col min="1296" max="1296" width="17.140625" style="215" bestFit="1" customWidth="1"/>
    <col min="1297" max="1297" width="24.42578125" style="215" customWidth="1"/>
    <col min="1298" max="1298" width="18.42578125" style="215" bestFit="1" customWidth="1"/>
    <col min="1299" max="1299" width="18.5703125" style="215" bestFit="1" customWidth="1"/>
    <col min="1300" max="1300" width="19.42578125" style="215" bestFit="1" customWidth="1"/>
    <col min="1301" max="1301" width="20.42578125" style="215" bestFit="1" customWidth="1"/>
    <col min="1302" max="1302" width="20.85546875" style="215" bestFit="1" customWidth="1"/>
    <col min="1303" max="1303" width="21.42578125" style="215" bestFit="1" customWidth="1"/>
    <col min="1304" max="1305" width="22.42578125" style="215" bestFit="1" customWidth="1"/>
    <col min="1306" max="1307" width="23.85546875" style="215" bestFit="1" customWidth="1"/>
    <col min="1308" max="1309" width="24.85546875" style="215" bestFit="1" customWidth="1"/>
    <col min="1310" max="1314" width="11.42578125" style="215" bestFit="1" customWidth="1"/>
    <col min="1315" max="1319" width="12.42578125" style="215" bestFit="1" customWidth="1"/>
    <col min="1320" max="1320" width="12" style="215" bestFit="1" customWidth="1"/>
    <col min="1321" max="1536" width="8.85546875" style="215"/>
    <col min="1537" max="1537" width="7.42578125" style="215" customWidth="1"/>
    <col min="1538" max="1538" width="41" style="215" customWidth="1"/>
    <col min="1539" max="1539" width="16" style="215" customWidth="1"/>
    <col min="1540" max="1540" width="16.140625" style="215" bestFit="1" customWidth="1"/>
    <col min="1541" max="1541" width="11.85546875" style="215" customWidth="1"/>
    <col min="1542" max="1542" width="12.42578125" style="215" bestFit="1" customWidth="1"/>
    <col min="1543" max="1544" width="13" style="215" bestFit="1" customWidth="1"/>
    <col min="1545" max="1545" width="12.5703125" style="215" bestFit="1" customWidth="1"/>
    <col min="1546" max="1546" width="13.42578125" style="215" bestFit="1" customWidth="1"/>
    <col min="1547" max="1547" width="13.5703125" style="215" bestFit="1" customWidth="1"/>
    <col min="1548" max="1548" width="14.5703125" style="215" bestFit="1" customWidth="1"/>
    <col min="1549" max="1549" width="14.85546875" style="215" bestFit="1" customWidth="1"/>
    <col min="1550" max="1550" width="17.140625" style="215" customWidth="1"/>
    <col min="1551" max="1551" width="16.42578125" style="215" bestFit="1" customWidth="1"/>
    <col min="1552" max="1552" width="17.140625" style="215" bestFit="1" customWidth="1"/>
    <col min="1553" max="1553" width="24.42578125" style="215" customWidth="1"/>
    <col min="1554" max="1554" width="18.42578125" style="215" bestFit="1" customWidth="1"/>
    <col min="1555" max="1555" width="18.5703125" style="215" bestFit="1" customWidth="1"/>
    <col min="1556" max="1556" width="19.42578125" style="215" bestFit="1" customWidth="1"/>
    <col min="1557" max="1557" width="20.42578125" style="215" bestFit="1" customWidth="1"/>
    <col min="1558" max="1558" width="20.85546875" style="215" bestFit="1" customWidth="1"/>
    <col min="1559" max="1559" width="21.42578125" style="215" bestFit="1" customWidth="1"/>
    <col min="1560" max="1561" width="22.42578125" style="215" bestFit="1" customWidth="1"/>
    <col min="1562" max="1563" width="23.85546875" style="215" bestFit="1" customWidth="1"/>
    <col min="1564" max="1565" width="24.85546875" style="215" bestFit="1" customWidth="1"/>
    <col min="1566" max="1570" width="11.42578125" style="215" bestFit="1" customWidth="1"/>
    <col min="1571" max="1575" width="12.42578125" style="215" bestFit="1" customWidth="1"/>
    <col min="1576" max="1576" width="12" style="215" bestFit="1" customWidth="1"/>
    <col min="1577" max="1792" width="8.85546875" style="215"/>
    <col min="1793" max="1793" width="7.42578125" style="215" customWidth="1"/>
    <col min="1794" max="1794" width="41" style="215" customWidth="1"/>
    <col min="1795" max="1795" width="16" style="215" customWidth="1"/>
    <col min="1796" max="1796" width="16.140625" style="215" bestFit="1" customWidth="1"/>
    <col min="1797" max="1797" width="11.85546875" style="215" customWidth="1"/>
    <col min="1798" max="1798" width="12.42578125" style="215" bestFit="1" customWidth="1"/>
    <col min="1799" max="1800" width="13" style="215" bestFit="1" customWidth="1"/>
    <col min="1801" max="1801" width="12.5703125" style="215" bestFit="1" customWidth="1"/>
    <col min="1802" max="1802" width="13.42578125" style="215" bestFit="1" customWidth="1"/>
    <col min="1803" max="1803" width="13.5703125" style="215" bestFit="1" customWidth="1"/>
    <col min="1804" max="1804" width="14.5703125" style="215" bestFit="1" customWidth="1"/>
    <col min="1805" max="1805" width="14.85546875" style="215" bestFit="1" customWidth="1"/>
    <col min="1806" max="1806" width="17.140625" style="215" customWidth="1"/>
    <col min="1807" max="1807" width="16.42578125" style="215" bestFit="1" customWidth="1"/>
    <col min="1808" max="1808" width="17.140625" style="215" bestFit="1" customWidth="1"/>
    <col min="1809" max="1809" width="24.42578125" style="215" customWidth="1"/>
    <col min="1810" max="1810" width="18.42578125" style="215" bestFit="1" customWidth="1"/>
    <col min="1811" max="1811" width="18.5703125" style="215" bestFit="1" customWidth="1"/>
    <col min="1812" max="1812" width="19.42578125" style="215" bestFit="1" customWidth="1"/>
    <col min="1813" max="1813" width="20.42578125" style="215" bestFit="1" customWidth="1"/>
    <col min="1814" max="1814" width="20.85546875" style="215" bestFit="1" customWidth="1"/>
    <col min="1815" max="1815" width="21.42578125" style="215" bestFit="1" customWidth="1"/>
    <col min="1816" max="1817" width="22.42578125" style="215" bestFit="1" customWidth="1"/>
    <col min="1818" max="1819" width="23.85546875" style="215" bestFit="1" customWidth="1"/>
    <col min="1820" max="1821" width="24.85546875" style="215" bestFit="1" customWidth="1"/>
    <col min="1822" max="1826" width="11.42578125" style="215" bestFit="1" customWidth="1"/>
    <col min="1827" max="1831" width="12.42578125" style="215" bestFit="1" customWidth="1"/>
    <col min="1832" max="1832" width="12" style="215" bestFit="1" customWidth="1"/>
    <col min="1833" max="2048" width="8.85546875" style="215"/>
    <col min="2049" max="2049" width="7.42578125" style="215" customWidth="1"/>
    <col min="2050" max="2050" width="41" style="215" customWidth="1"/>
    <col min="2051" max="2051" width="16" style="215" customWidth="1"/>
    <col min="2052" max="2052" width="16.140625" style="215" bestFit="1" customWidth="1"/>
    <col min="2053" max="2053" width="11.85546875" style="215" customWidth="1"/>
    <col min="2054" max="2054" width="12.42578125" style="215" bestFit="1" customWidth="1"/>
    <col min="2055" max="2056" width="13" style="215" bestFit="1" customWidth="1"/>
    <col min="2057" max="2057" width="12.5703125" style="215" bestFit="1" customWidth="1"/>
    <col min="2058" max="2058" width="13.42578125" style="215" bestFit="1" customWidth="1"/>
    <col min="2059" max="2059" width="13.5703125" style="215" bestFit="1" customWidth="1"/>
    <col min="2060" max="2060" width="14.5703125" style="215" bestFit="1" customWidth="1"/>
    <col min="2061" max="2061" width="14.85546875" style="215" bestFit="1" customWidth="1"/>
    <col min="2062" max="2062" width="17.140625" style="215" customWidth="1"/>
    <col min="2063" max="2063" width="16.42578125" style="215" bestFit="1" customWidth="1"/>
    <col min="2064" max="2064" width="17.140625" style="215" bestFit="1" customWidth="1"/>
    <col min="2065" max="2065" width="24.42578125" style="215" customWidth="1"/>
    <col min="2066" max="2066" width="18.42578125" style="215" bestFit="1" customWidth="1"/>
    <col min="2067" max="2067" width="18.5703125" style="215" bestFit="1" customWidth="1"/>
    <col min="2068" max="2068" width="19.42578125" style="215" bestFit="1" customWidth="1"/>
    <col min="2069" max="2069" width="20.42578125" style="215" bestFit="1" customWidth="1"/>
    <col min="2070" max="2070" width="20.85546875" style="215" bestFit="1" customWidth="1"/>
    <col min="2071" max="2071" width="21.42578125" style="215" bestFit="1" customWidth="1"/>
    <col min="2072" max="2073" width="22.42578125" style="215" bestFit="1" customWidth="1"/>
    <col min="2074" max="2075" width="23.85546875" style="215" bestFit="1" customWidth="1"/>
    <col min="2076" max="2077" width="24.85546875" style="215" bestFit="1" customWidth="1"/>
    <col min="2078" max="2082" width="11.42578125" style="215" bestFit="1" customWidth="1"/>
    <col min="2083" max="2087" width="12.42578125" style="215" bestFit="1" customWidth="1"/>
    <col min="2088" max="2088" width="12" style="215" bestFit="1" customWidth="1"/>
    <col min="2089" max="2304" width="8.85546875" style="215"/>
    <col min="2305" max="2305" width="7.42578125" style="215" customWidth="1"/>
    <col min="2306" max="2306" width="41" style="215" customWidth="1"/>
    <col min="2307" max="2307" width="16" style="215" customWidth="1"/>
    <col min="2308" max="2308" width="16.140625" style="215" bestFit="1" customWidth="1"/>
    <col min="2309" max="2309" width="11.85546875" style="215" customWidth="1"/>
    <col min="2310" max="2310" width="12.42578125" style="215" bestFit="1" customWidth="1"/>
    <col min="2311" max="2312" width="13" style="215" bestFit="1" customWidth="1"/>
    <col min="2313" max="2313" width="12.5703125" style="215" bestFit="1" customWidth="1"/>
    <col min="2314" max="2314" width="13.42578125" style="215" bestFit="1" customWidth="1"/>
    <col min="2315" max="2315" width="13.5703125" style="215" bestFit="1" customWidth="1"/>
    <col min="2316" max="2316" width="14.5703125" style="215" bestFit="1" customWidth="1"/>
    <col min="2317" max="2317" width="14.85546875" style="215" bestFit="1" customWidth="1"/>
    <col min="2318" max="2318" width="17.140625" style="215" customWidth="1"/>
    <col min="2319" max="2319" width="16.42578125" style="215" bestFit="1" customWidth="1"/>
    <col min="2320" max="2320" width="17.140625" style="215" bestFit="1" customWidth="1"/>
    <col min="2321" max="2321" width="24.42578125" style="215" customWidth="1"/>
    <col min="2322" max="2322" width="18.42578125" style="215" bestFit="1" customWidth="1"/>
    <col min="2323" max="2323" width="18.5703125" style="215" bestFit="1" customWidth="1"/>
    <col min="2324" max="2324" width="19.42578125" style="215" bestFit="1" customWidth="1"/>
    <col min="2325" max="2325" width="20.42578125" style="215" bestFit="1" customWidth="1"/>
    <col min="2326" max="2326" width="20.85546875" style="215" bestFit="1" customWidth="1"/>
    <col min="2327" max="2327" width="21.42578125" style="215" bestFit="1" customWidth="1"/>
    <col min="2328" max="2329" width="22.42578125" style="215" bestFit="1" customWidth="1"/>
    <col min="2330" max="2331" width="23.85546875" style="215" bestFit="1" customWidth="1"/>
    <col min="2332" max="2333" width="24.85546875" style="215" bestFit="1" customWidth="1"/>
    <col min="2334" max="2338" width="11.42578125" style="215" bestFit="1" customWidth="1"/>
    <col min="2339" max="2343" width="12.42578125" style="215" bestFit="1" customWidth="1"/>
    <col min="2344" max="2344" width="12" style="215" bestFit="1" customWidth="1"/>
    <col min="2345" max="2560" width="8.85546875" style="215"/>
    <col min="2561" max="2561" width="7.42578125" style="215" customWidth="1"/>
    <col min="2562" max="2562" width="41" style="215" customWidth="1"/>
    <col min="2563" max="2563" width="16" style="215" customWidth="1"/>
    <col min="2564" max="2564" width="16.140625" style="215" bestFit="1" customWidth="1"/>
    <col min="2565" max="2565" width="11.85546875" style="215" customWidth="1"/>
    <col min="2566" max="2566" width="12.42578125" style="215" bestFit="1" customWidth="1"/>
    <col min="2567" max="2568" width="13" style="215" bestFit="1" customWidth="1"/>
    <col min="2569" max="2569" width="12.5703125" style="215" bestFit="1" customWidth="1"/>
    <col min="2570" max="2570" width="13.42578125" style="215" bestFit="1" customWidth="1"/>
    <col min="2571" max="2571" width="13.5703125" style="215" bestFit="1" customWidth="1"/>
    <col min="2572" max="2572" width="14.5703125" style="215" bestFit="1" customWidth="1"/>
    <col min="2573" max="2573" width="14.85546875" style="215" bestFit="1" customWidth="1"/>
    <col min="2574" max="2574" width="17.140625" style="215" customWidth="1"/>
    <col min="2575" max="2575" width="16.42578125" style="215" bestFit="1" customWidth="1"/>
    <col min="2576" max="2576" width="17.140625" style="215" bestFit="1" customWidth="1"/>
    <col min="2577" max="2577" width="24.42578125" style="215" customWidth="1"/>
    <col min="2578" max="2578" width="18.42578125" style="215" bestFit="1" customWidth="1"/>
    <col min="2579" max="2579" width="18.5703125" style="215" bestFit="1" customWidth="1"/>
    <col min="2580" max="2580" width="19.42578125" style="215" bestFit="1" customWidth="1"/>
    <col min="2581" max="2581" width="20.42578125" style="215" bestFit="1" customWidth="1"/>
    <col min="2582" max="2582" width="20.85546875" style="215" bestFit="1" customWidth="1"/>
    <col min="2583" max="2583" width="21.42578125" style="215" bestFit="1" customWidth="1"/>
    <col min="2584" max="2585" width="22.42578125" style="215" bestFit="1" customWidth="1"/>
    <col min="2586" max="2587" width="23.85546875" style="215" bestFit="1" customWidth="1"/>
    <col min="2588" max="2589" width="24.85546875" style="215" bestFit="1" customWidth="1"/>
    <col min="2590" max="2594" width="11.42578125" style="215" bestFit="1" customWidth="1"/>
    <col min="2595" max="2599" width="12.42578125" style="215" bestFit="1" customWidth="1"/>
    <col min="2600" max="2600" width="12" style="215" bestFit="1" customWidth="1"/>
    <col min="2601" max="2816" width="8.85546875" style="215"/>
    <col min="2817" max="2817" width="7.42578125" style="215" customWidth="1"/>
    <col min="2818" max="2818" width="41" style="215" customWidth="1"/>
    <col min="2819" max="2819" width="16" style="215" customWidth="1"/>
    <col min="2820" max="2820" width="16.140625" style="215" bestFit="1" customWidth="1"/>
    <col min="2821" max="2821" width="11.85546875" style="215" customWidth="1"/>
    <col min="2822" max="2822" width="12.42578125" style="215" bestFit="1" customWidth="1"/>
    <col min="2823" max="2824" width="13" style="215" bestFit="1" customWidth="1"/>
    <col min="2825" max="2825" width="12.5703125" style="215" bestFit="1" customWidth="1"/>
    <col min="2826" max="2826" width="13.42578125" style="215" bestFit="1" customWidth="1"/>
    <col min="2827" max="2827" width="13.5703125" style="215" bestFit="1" customWidth="1"/>
    <col min="2828" max="2828" width="14.5703125" style="215" bestFit="1" customWidth="1"/>
    <col min="2829" max="2829" width="14.85546875" style="215" bestFit="1" customWidth="1"/>
    <col min="2830" max="2830" width="17.140625" style="215" customWidth="1"/>
    <col min="2831" max="2831" width="16.42578125" style="215" bestFit="1" customWidth="1"/>
    <col min="2832" max="2832" width="17.140625" style="215" bestFit="1" customWidth="1"/>
    <col min="2833" max="2833" width="24.42578125" style="215" customWidth="1"/>
    <col min="2834" max="2834" width="18.42578125" style="215" bestFit="1" customWidth="1"/>
    <col min="2835" max="2835" width="18.5703125" style="215" bestFit="1" customWidth="1"/>
    <col min="2836" max="2836" width="19.42578125" style="215" bestFit="1" customWidth="1"/>
    <col min="2837" max="2837" width="20.42578125" style="215" bestFit="1" customWidth="1"/>
    <col min="2838" max="2838" width="20.85546875" style="215" bestFit="1" customWidth="1"/>
    <col min="2839" max="2839" width="21.42578125" style="215" bestFit="1" customWidth="1"/>
    <col min="2840" max="2841" width="22.42578125" style="215" bestFit="1" customWidth="1"/>
    <col min="2842" max="2843" width="23.85546875" style="215" bestFit="1" customWidth="1"/>
    <col min="2844" max="2845" width="24.85546875" style="215" bestFit="1" customWidth="1"/>
    <col min="2846" max="2850" width="11.42578125" style="215" bestFit="1" customWidth="1"/>
    <col min="2851" max="2855" width="12.42578125" style="215" bestFit="1" customWidth="1"/>
    <col min="2856" max="2856" width="12" style="215" bestFit="1" customWidth="1"/>
    <col min="2857" max="3072" width="8.85546875" style="215"/>
    <col min="3073" max="3073" width="7.42578125" style="215" customWidth="1"/>
    <col min="3074" max="3074" width="41" style="215" customWidth="1"/>
    <col min="3075" max="3075" width="16" style="215" customWidth="1"/>
    <col min="3076" max="3076" width="16.140625" style="215" bestFit="1" customWidth="1"/>
    <col min="3077" max="3077" width="11.85546875" style="215" customWidth="1"/>
    <col min="3078" max="3078" width="12.42578125" style="215" bestFit="1" customWidth="1"/>
    <col min="3079" max="3080" width="13" style="215" bestFit="1" customWidth="1"/>
    <col min="3081" max="3081" width="12.5703125" style="215" bestFit="1" customWidth="1"/>
    <col min="3082" max="3082" width="13.42578125" style="215" bestFit="1" customWidth="1"/>
    <col min="3083" max="3083" width="13.5703125" style="215" bestFit="1" customWidth="1"/>
    <col min="3084" max="3084" width="14.5703125" style="215" bestFit="1" customWidth="1"/>
    <col min="3085" max="3085" width="14.85546875" style="215" bestFit="1" customWidth="1"/>
    <col min="3086" max="3086" width="17.140625" style="215" customWidth="1"/>
    <col min="3087" max="3087" width="16.42578125" style="215" bestFit="1" customWidth="1"/>
    <col min="3088" max="3088" width="17.140625" style="215" bestFit="1" customWidth="1"/>
    <col min="3089" max="3089" width="24.42578125" style="215" customWidth="1"/>
    <col min="3090" max="3090" width="18.42578125" style="215" bestFit="1" customWidth="1"/>
    <col min="3091" max="3091" width="18.5703125" style="215" bestFit="1" customWidth="1"/>
    <col min="3092" max="3092" width="19.42578125" style="215" bestFit="1" customWidth="1"/>
    <col min="3093" max="3093" width="20.42578125" style="215" bestFit="1" customWidth="1"/>
    <col min="3094" max="3094" width="20.85546875" style="215" bestFit="1" customWidth="1"/>
    <col min="3095" max="3095" width="21.42578125" style="215" bestFit="1" customWidth="1"/>
    <col min="3096" max="3097" width="22.42578125" style="215" bestFit="1" customWidth="1"/>
    <col min="3098" max="3099" width="23.85546875" style="215" bestFit="1" customWidth="1"/>
    <col min="3100" max="3101" width="24.85546875" style="215" bestFit="1" customWidth="1"/>
    <col min="3102" max="3106" width="11.42578125" style="215" bestFit="1" customWidth="1"/>
    <col min="3107" max="3111" width="12.42578125" style="215" bestFit="1" customWidth="1"/>
    <col min="3112" max="3112" width="12" style="215" bestFit="1" customWidth="1"/>
    <col min="3113" max="3328" width="8.85546875" style="215"/>
    <col min="3329" max="3329" width="7.42578125" style="215" customWidth="1"/>
    <col min="3330" max="3330" width="41" style="215" customWidth="1"/>
    <col min="3331" max="3331" width="16" style="215" customWidth="1"/>
    <col min="3332" max="3332" width="16.140625" style="215" bestFit="1" customWidth="1"/>
    <col min="3333" max="3333" width="11.85546875" style="215" customWidth="1"/>
    <col min="3334" max="3334" width="12.42578125" style="215" bestFit="1" customWidth="1"/>
    <col min="3335" max="3336" width="13" style="215" bestFit="1" customWidth="1"/>
    <col min="3337" max="3337" width="12.5703125" style="215" bestFit="1" customWidth="1"/>
    <col min="3338" max="3338" width="13.42578125" style="215" bestFit="1" customWidth="1"/>
    <col min="3339" max="3339" width="13.5703125" style="215" bestFit="1" customWidth="1"/>
    <col min="3340" max="3340" width="14.5703125" style="215" bestFit="1" customWidth="1"/>
    <col min="3341" max="3341" width="14.85546875" style="215" bestFit="1" customWidth="1"/>
    <col min="3342" max="3342" width="17.140625" style="215" customWidth="1"/>
    <col min="3343" max="3343" width="16.42578125" style="215" bestFit="1" customWidth="1"/>
    <col min="3344" max="3344" width="17.140625" style="215" bestFit="1" customWidth="1"/>
    <col min="3345" max="3345" width="24.42578125" style="215" customWidth="1"/>
    <col min="3346" max="3346" width="18.42578125" style="215" bestFit="1" customWidth="1"/>
    <col min="3347" max="3347" width="18.5703125" style="215" bestFit="1" customWidth="1"/>
    <col min="3348" max="3348" width="19.42578125" style="215" bestFit="1" customWidth="1"/>
    <col min="3349" max="3349" width="20.42578125" style="215" bestFit="1" customWidth="1"/>
    <col min="3350" max="3350" width="20.85546875" style="215" bestFit="1" customWidth="1"/>
    <col min="3351" max="3351" width="21.42578125" style="215" bestFit="1" customWidth="1"/>
    <col min="3352" max="3353" width="22.42578125" style="215" bestFit="1" customWidth="1"/>
    <col min="3354" max="3355" width="23.85546875" style="215" bestFit="1" customWidth="1"/>
    <col min="3356" max="3357" width="24.85546875" style="215" bestFit="1" customWidth="1"/>
    <col min="3358" max="3362" width="11.42578125" style="215" bestFit="1" customWidth="1"/>
    <col min="3363" max="3367" width="12.42578125" style="215" bestFit="1" customWidth="1"/>
    <col min="3368" max="3368" width="12" style="215" bestFit="1" customWidth="1"/>
    <col min="3369" max="3584" width="8.85546875" style="215"/>
    <col min="3585" max="3585" width="7.42578125" style="215" customWidth="1"/>
    <col min="3586" max="3586" width="41" style="215" customWidth="1"/>
    <col min="3587" max="3587" width="16" style="215" customWidth="1"/>
    <col min="3588" max="3588" width="16.140625" style="215" bestFit="1" customWidth="1"/>
    <col min="3589" max="3589" width="11.85546875" style="215" customWidth="1"/>
    <col min="3590" max="3590" width="12.42578125" style="215" bestFit="1" customWidth="1"/>
    <col min="3591" max="3592" width="13" style="215" bestFit="1" customWidth="1"/>
    <col min="3593" max="3593" width="12.5703125" style="215" bestFit="1" customWidth="1"/>
    <col min="3594" max="3594" width="13.42578125" style="215" bestFit="1" customWidth="1"/>
    <col min="3595" max="3595" width="13.5703125" style="215" bestFit="1" customWidth="1"/>
    <col min="3596" max="3596" width="14.5703125" style="215" bestFit="1" customWidth="1"/>
    <col min="3597" max="3597" width="14.85546875" style="215" bestFit="1" customWidth="1"/>
    <col min="3598" max="3598" width="17.140625" style="215" customWidth="1"/>
    <col min="3599" max="3599" width="16.42578125" style="215" bestFit="1" customWidth="1"/>
    <col min="3600" max="3600" width="17.140625" style="215" bestFit="1" customWidth="1"/>
    <col min="3601" max="3601" width="24.42578125" style="215" customWidth="1"/>
    <col min="3602" max="3602" width="18.42578125" style="215" bestFit="1" customWidth="1"/>
    <col min="3603" max="3603" width="18.5703125" style="215" bestFit="1" customWidth="1"/>
    <col min="3604" max="3604" width="19.42578125" style="215" bestFit="1" customWidth="1"/>
    <col min="3605" max="3605" width="20.42578125" style="215" bestFit="1" customWidth="1"/>
    <col min="3606" max="3606" width="20.85546875" style="215" bestFit="1" customWidth="1"/>
    <col min="3607" max="3607" width="21.42578125" style="215" bestFit="1" customWidth="1"/>
    <col min="3608" max="3609" width="22.42578125" style="215" bestFit="1" customWidth="1"/>
    <col min="3610" max="3611" width="23.85546875" style="215" bestFit="1" customWidth="1"/>
    <col min="3612" max="3613" width="24.85546875" style="215" bestFit="1" customWidth="1"/>
    <col min="3614" max="3618" width="11.42578125" style="215" bestFit="1" customWidth="1"/>
    <col min="3619" max="3623" width="12.42578125" style="215" bestFit="1" customWidth="1"/>
    <col min="3624" max="3624" width="12" style="215" bestFit="1" customWidth="1"/>
    <col min="3625" max="3840" width="8.85546875" style="215"/>
    <col min="3841" max="3841" width="7.42578125" style="215" customWidth="1"/>
    <col min="3842" max="3842" width="41" style="215" customWidth="1"/>
    <col min="3843" max="3843" width="16" style="215" customWidth="1"/>
    <col min="3844" max="3844" width="16.140625" style="215" bestFit="1" customWidth="1"/>
    <col min="3845" max="3845" width="11.85546875" style="215" customWidth="1"/>
    <col min="3846" max="3846" width="12.42578125" style="215" bestFit="1" customWidth="1"/>
    <col min="3847" max="3848" width="13" style="215" bestFit="1" customWidth="1"/>
    <col min="3849" max="3849" width="12.5703125" style="215" bestFit="1" customWidth="1"/>
    <col min="3850" max="3850" width="13.42578125" style="215" bestFit="1" customWidth="1"/>
    <col min="3851" max="3851" width="13.5703125" style="215" bestFit="1" customWidth="1"/>
    <col min="3852" max="3852" width="14.5703125" style="215" bestFit="1" customWidth="1"/>
    <col min="3853" max="3853" width="14.85546875" style="215" bestFit="1" customWidth="1"/>
    <col min="3854" max="3854" width="17.140625" style="215" customWidth="1"/>
    <col min="3855" max="3855" width="16.42578125" style="215" bestFit="1" customWidth="1"/>
    <col min="3856" max="3856" width="17.140625" style="215" bestFit="1" customWidth="1"/>
    <col min="3857" max="3857" width="24.42578125" style="215" customWidth="1"/>
    <col min="3858" max="3858" width="18.42578125" style="215" bestFit="1" customWidth="1"/>
    <col min="3859" max="3859" width="18.5703125" style="215" bestFit="1" customWidth="1"/>
    <col min="3860" max="3860" width="19.42578125" style="215" bestFit="1" customWidth="1"/>
    <col min="3861" max="3861" width="20.42578125" style="215" bestFit="1" customWidth="1"/>
    <col min="3862" max="3862" width="20.85546875" style="215" bestFit="1" customWidth="1"/>
    <col min="3863" max="3863" width="21.42578125" style="215" bestFit="1" customWidth="1"/>
    <col min="3864" max="3865" width="22.42578125" style="215" bestFit="1" customWidth="1"/>
    <col min="3866" max="3867" width="23.85546875" style="215" bestFit="1" customWidth="1"/>
    <col min="3868" max="3869" width="24.85546875" style="215" bestFit="1" customWidth="1"/>
    <col min="3870" max="3874" width="11.42578125" style="215" bestFit="1" customWidth="1"/>
    <col min="3875" max="3879" width="12.42578125" style="215" bestFit="1" customWidth="1"/>
    <col min="3880" max="3880" width="12" style="215" bestFit="1" customWidth="1"/>
    <col min="3881" max="4096" width="8.85546875" style="215"/>
    <col min="4097" max="4097" width="7.42578125" style="215" customWidth="1"/>
    <col min="4098" max="4098" width="41" style="215" customWidth="1"/>
    <col min="4099" max="4099" width="16" style="215" customWidth="1"/>
    <col min="4100" max="4100" width="16.140625" style="215" bestFit="1" customWidth="1"/>
    <col min="4101" max="4101" width="11.85546875" style="215" customWidth="1"/>
    <col min="4102" max="4102" width="12.42578125" style="215" bestFit="1" customWidth="1"/>
    <col min="4103" max="4104" width="13" style="215" bestFit="1" customWidth="1"/>
    <col min="4105" max="4105" width="12.5703125" style="215" bestFit="1" customWidth="1"/>
    <col min="4106" max="4106" width="13.42578125" style="215" bestFit="1" customWidth="1"/>
    <col min="4107" max="4107" width="13.5703125" style="215" bestFit="1" customWidth="1"/>
    <col min="4108" max="4108" width="14.5703125" style="215" bestFit="1" customWidth="1"/>
    <col min="4109" max="4109" width="14.85546875" style="215" bestFit="1" customWidth="1"/>
    <col min="4110" max="4110" width="17.140625" style="215" customWidth="1"/>
    <col min="4111" max="4111" width="16.42578125" style="215" bestFit="1" customWidth="1"/>
    <col min="4112" max="4112" width="17.140625" style="215" bestFit="1" customWidth="1"/>
    <col min="4113" max="4113" width="24.42578125" style="215" customWidth="1"/>
    <col min="4114" max="4114" width="18.42578125" style="215" bestFit="1" customWidth="1"/>
    <col min="4115" max="4115" width="18.5703125" style="215" bestFit="1" customWidth="1"/>
    <col min="4116" max="4116" width="19.42578125" style="215" bestFit="1" customWidth="1"/>
    <col min="4117" max="4117" width="20.42578125" style="215" bestFit="1" customWidth="1"/>
    <col min="4118" max="4118" width="20.85546875" style="215" bestFit="1" customWidth="1"/>
    <col min="4119" max="4119" width="21.42578125" style="215" bestFit="1" customWidth="1"/>
    <col min="4120" max="4121" width="22.42578125" style="215" bestFit="1" customWidth="1"/>
    <col min="4122" max="4123" width="23.85546875" style="215" bestFit="1" customWidth="1"/>
    <col min="4124" max="4125" width="24.85546875" style="215" bestFit="1" customWidth="1"/>
    <col min="4126" max="4130" width="11.42578125" style="215" bestFit="1" customWidth="1"/>
    <col min="4131" max="4135" width="12.42578125" style="215" bestFit="1" customWidth="1"/>
    <col min="4136" max="4136" width="12" style="215" bestFit="1" customWidth="1"/>
    <col min="4137" max="4352" width="8.85546875" style="215"/>
    <col min="4353" max="4353" width="7.42578125" style="215" customWidth="1"/>
    <col min="4354" max="4354" width="41" style="215" customWidth="1"/>
    <col min="4355" max="4355" width="16" style="215" customWidth="1"/>
    <col min="4356" max="4356" width="16.140625" style="215" bestFit="1" customWidth="1"/>
    <col min="4357" max="4357" width="11.85546875" style="215" customWidth="1"/>
    <col min="4358" max="4358" width="12.42578125" style="215" bestFit="1" customWidth="1"/>
    <col min="4359" max="4360" width="13" style="215" bestFit="1" customWidth="1"/>
    <col min="4361" max="4361" width="12.5703125" style="215" bestFit="1" customWidth="1"/>
    <col min="4362" max="4362" width="13.42578125" style="215" bestFit="1" customWidth="1"/>
    <col min="4363" max="4363" width="13.5703125" style="215" bestFit="1" customWidth="1"/>
    <col min="4364" max="4364" width="14.5703125" style="215" bestFit="1" customWidth="1"/>
    <col min="4365" max="4365" width="14.85546875" style="215" bestFit="1" customWidth="1"/>
    <col min="4366" max="4366" width="17.140625" style="215" customWidth="1"/>
    <col min="4367" max="4367" width="16.42578125" style="215" bestFit="1" customWidth="1"/>
    <col min="4368" max="4368" width="17.140625" style="215" bestFit="1" customWidth="1"/>
    <col min="4369" max="4369" width="24.42578125" style="215" customWidth="1"/>
    <col min="4370" max="4370" width="18.42578125" style="215" bestFit="1" customWidth="1"/>
    <col min="4371" max="4371" width="18.5703125" style="215" bestFit="1" customWidth="1"/>
    <col min="4372" max="4372" width="19.42578125" style="215" bestFit="1" customWidth="1"/>
    <col min="4373" max="4373" width="20.42578125" style="215" bestFit="1" customWidth="1"/>
    <col min="4374" max="4374" width="20.85546875" style="215" bestFit="1" customWidth="1"/>
    <col min="4375" max="4375" width="21.42578125" style="215" bestFit="1" customWidth="1"/>
    <col min="4376" max="4377" width="22.42578125" style="215" bestFit="1" customWidth="1"/>
    <col min="4378" max="4379" width="23.85546875" style="215" bestFit="1" customWidth="1"/>
    <col min="4380" max="4381" width="24.85546875" style="215" bestFit="1" customWidth="1"/>
    <col min="4382" max="4386" width="11.42578125" style="215" bestFit="1" customWidth="1"/>
    <col min="4387" max="4391" width="12.42578125" style="215" bestFit="1" customWidth="1"/>
    <col min="4392" max="4392" width="12" style="215" bestFit="1" customWidth="1"/>
    <col min="4393" max="4608" width="8.85546875" style="215"/>
    <col min="4609" max="4609" width="7.42578125" style="215" customWidth="1"/>
    <col min="4610" max="4610" width="41" style="215" customWidth="1"/>
    <col min="4611" max="4611" width="16" style="215" customWidth="1"/>
    <col min="4612" max="4612" width="16.140625" style="215" bestFit="1" customWidth="1"/>
    <col min="4613" max="4613" width="11.85546875" style="215" customWidth="1"/>
    <col min="4614" max="4614" width="12.42578125" style="215" bestFit="1" customWidth="1"/>
    <col min="4615" max="4616" width="13" style="215" bestFit="1" customWidth="1"/>
    <col min="4617" max="4617" width="12.5703125" style="215" bestFit="1" customWidth="1"/>
    <col min="4618" max="4618" width="13.42578125" style="215" bestFit="1" customWidth="1"/>
    <col min="4619" max="4619" width="13.5703125" style="215" bestFit="1" customWidth="1"/>
    <col min="4620" max="4620" width="14.5703125" style="215" bestFit="1" customWidth="1"/>
    <col min="4621" max="4621" width="14.85546875" style="215" bestFit="1" customWidth="1"/>
    <col min="4622" max="4622" width="17.140625" style="215" customWidth="1"/>
    <col min="4623" max="4623" width="16.42578125" style="215" bestFit="1" customWidth="1"/>
    <col min="4624" max="4624" width="17.140625" style="215" bestFit="1" customWidth="1"/>
    <col min="4625" max="4625" width="24.42578125" style="215" customWidth="1"/>
    <col min="4626" max="4626" width="18.42578125" style="215" bestFit="1" customWidth="1"/>
    <col min="4627" max="4627" width="18.5703125" style="215" bestFit="1" customWidth="1"/>
    <col min="4628" max="4628" width="19.42578125" style="215" bestFit="1" customWidth="1"/>
    <col min="4629" max="4629" width="20.42578125" style="215" bestFit="1" customWidth="1"/>
    <col min="4630" max="4630" width="20.85546875" style="215" bestFit="1" customWidth="1"/>
    <col min="4631" max="4631" width="21.42578125" style="215" bestFit="1" customWidth="1"/>
    <col min="4632" max="4633" width="22.42578125" style="215" bestFit="1" customWidth="1"/>
    <col min="4634" max="4635" width="23.85546875" style="215" bestFit="1" customWidth="1"/>
    <col min="4636" max="4637" width="24.85546875" style="215" bestFit="1" customWidth="1"/>
    <col min="4638" max="4642" width="11.42578125" style="215" bestFit="1" customWidth="1"/>
    <col min="4643" max="4647" width="12.42578125" style="215" bestFit="1" customWidth="1"/>
    <col min="4648" max="4648" width="12" style="215" bestFit="1" customWidth="1"/>
    <col min="4649" max="4864" width="8.85546875" style="215"/>
    <col min="4865" max="4865" width="7.42578125" style="215" customWidth="1"/>
    <col min="4866" max="4866" width="41" style="215" customWidth="1"/>
    <col min="4867" max="4867" width="16" style="215" customWidth="1"/>
    <col min="4868" max="4868" width="16.140625" style="215" bestFit="1" customWidth="1"/>
    <col min="4869" max="4869" width="11.85546875" style="215" customWidth="1"/>
    <col min="4870" max="4870" width="12.42578125" style="215" bestFit="1" customWidth="1"/>
    <col min="4871" max="4872" width="13" style="215" bestFit="1" customWidth="1"/>
    <col min="4873" max="4873" width="12.5703125" style="215" bestFit="1" customWidth="1"/>
    <col min="4874" max="4874" width="13.42578125" style="215" bestFit="1" customWidth="1"/>
    <col min="4875" max="4875" width="13.5703125" style="215" bestFit="1" customWidth="1"/>
    <col min="4876" max="4876" width="14.5703125" style="215" bestFit="1" customWidth="1"/>
    <col min="4877" max="4877" width="14.85546875" style="215" bestFit="1" customWidth="1"/>
    <col min="4878" max="4878" width="17.140625" style="215" customWidth="1"/>
    <col min="4879" max="4879" width="16.42578125" style="215" bestFit="1" customWidth="1"/>
    <col min="4880" max="4880" width="17.140625" style="215" bestFit="1" customWidth="1"/>
    <col min="4881" max="4881" width="24.42578125" style="215" customWidth="1"/>
    <col min="4882" max="4882" width="18.42578125" style="215" bestFit="1" customWidth="1"/>
    <col min="4883" max="4883" width="18.5703125" style="215" bestFit="1" customWidth="1"/>
    <col min="4884" max="4884" width="19.42578125" style="215" bestFit="1" customWidth="1"/>
    <col min="4885" max="4885" width="20.42578125" style="215" bestFit="1" customWidth="1"/>
    <col min="4886" max="4886" width="20.85546875" style="215" bestFit="1" customWidth="1"/>
    <col min="4887" max="4887" width="21.42578125" style="215" bestFit="1" customWidth="1"/>
    <col min="4888" max="4889" width="22.42578125" style="215" bestFit="1" customWidth="1"/>
    <col min="4890" max="4891" width="23.85546875" style="215" bestFit="1" customWidth="1"/>
    <col min="4892" max="4893" width="24.85546875" style="215" bestFit="1" customWidth="1"/>
    <col min="4894" max="4898" width="11.42578125" style="215" bestFit="1" customWidth="1"/>
    <col min="4899" max="4903" width="12.42578125" style="215" bestFit="1" customWidth="1"/>
    <col min="4904" max="4904" width="12" style="215" bestFit="1" customWidth="1"/>
    <col min="4905" max="5120" width="8.85546875" style="215"/>
    <col min="5121" max="5121" width="7.42578125" style="215" customWidth="1"/>
    <col min="5122" max="5122" width="41" style="215" customWidth="1"/>
    <col min="5123" max="5123" width="16" style="215" customWidth="1"/>
    <col min="5124" max="5124" width="16.140625" style="215" bestFit="1" customWidth="1"/>
    <col min="5125" max="5125" width="11.85546875" style="215" customWidth="1"/>
    <col min="5126" max="5126" width="12.42578125" style="215" bestFit="1" customWidth="1"/>
    <col min="5127" max="5128" width="13" style="215" bestFit="1" customWidth="1"/>
    <col min="5129" max="5129" width="12.5703125" style="215" bestFit="1" customWidth="1"/>
    <col min="5130" max="5130" width="13.42578125" style="215" bestFit="1" customWidth="1"/>
    <col min="5131" max="5131" width="13.5703125" style="215" bestFit="1" customWidth="1"/>
    <col min="5132" max="5132" width="14.5703125" style="215" bestFit="1" customWidth="1"/>
    <col min="5133" max="5133" width="14.85546875" style="215" bestFit="1" customWidth="1"/>
    <col min="5134" max="5134" width="17.140625" style="215" customWidth="1"/>
    <col min="5135" max="5135" width="16.42578125" style="215" bestFit="1" customWidth="1"/>
    <col min="5136" max="5136" width="17.140625" style="215" bestFit="1" customWidth="1"/>
    <col min="5137" max="5137" width="24.42578125" style="215" customWidth="1"/>
    <col min="5138" max="5138" width="18.42578125" style="215" bestFit="1" customWidth="1"/>
    <col min="5139" max="5139" width="18.5703125" style="215" bestFit="1" customWidth="1"/>
    <col min="5140" max="5140" width="19.42578125" style="215" bestFit="1" customWidth="1"/>
    <col min="5141" max="5141" width="20.42578125" style="215" bestFit="1" customWidth="1"/>
    <col min="5142" max="5142" width="20.85546875" style="215" bestFit="1" customWidth="1"/>
    <col min="5143" max="5143" width="21.42578125" style="215" bestFit="1" customWidth="1"/>
    <col min="5144" max="5145" width="22.42578125" style="215" bestFit="1" customWidth="1"/>
    <col min="5146" max="5147" width="23.85546875" style="215" bestFit="1" customWidth="1"/>
    <col min="5148" max="5149" width="24.85546875" style="215" bestFit="1" customWidth="1"/>
    <col min="5150" max="5154" width="11.42578125" style="215" bestFit="1" customWidth="1"/>
    <col min="5155" max="5159" width="12.42578125" style="215" bestFit="1" customWidth="1"/>
    <col min="5160" max="5160" width="12" style="215" bestFit="1" customWidth="1"/>
    <col min="5161" max="5376" width="8.85546875" style="215"/>
    <col min="5377" max="5377" width="7.42578125" style="215" customWidth="1"/>
    <col min="5378" max="5378" width="41" style="215" customWidth="1"/>
    <col min="5379" max="5379" width="16" style="215" customWidth="1"/>
    <col min="5380" max="5380" width="16.140625" style="215" bestFit="1" customWidth="1"/>
    <col min="5381" max="5381" width="11.85546875" style="215" customWidth="1"/>
    <col min="5382" max="5382" width="12.42578125" style="215" bestFit="1" customWidth="1"/>
    <col min="5383" max="5384" width="13" style="215" bestFit="1" customWidth="1"/>
    <col min="5385" max="5385" width="12.5703125" style="215" bestFit="1" customWidth="1"/>
    <col min="5386" max="5386" width="13.42578125" style="215" bestFit="1" customWidth="1"/>
    <col min="5387" max="5387" width="13.5703125" style="215" bestFit="1" customWidth="1"/>
    <col min="5388" max="5388" width="14.5703125" style="215" bestFit="1" customWidth="1"/>
    <col min="5389" max="5389" width="14.85546875" style="215" bestFit="1" customWidth="1"/>
    <col min="5390" max="5390" width="17.140625" style="215" customWidth="1"/>
    <col min="5391" max="5391" width="16.42578125" style="215" bestFit="1" customWidth="1"/>
    <col min="5392" max="5392" width="17.140625" style="215" bestFit="1" customWidth="1"/>
    <col min="5393" max="5393" width="24.42578125" style="215" customWidth="1"/>
    <col min="5394" max="5394" width="18.42578125" style="215" bestFit="1" customWidth="1"/>
    <col min="5395" max="5395" width="18.5703125" style="215" bestFit="1" customWidth="1"/>
    <col min="5396" max="5396" width="19.42578125" style="215" bestFit="1" customWidth="1"/>
    <col min="5397" max="5397" width="20.42578125" style="215" bestFit="1" customWidth="1"/>
    <col min="5398" max="5398" width="20.85546875" style="215" bestFit="1" customWidth="1"/>
    <col min="5399" max="5399" width="21.42578125" style="215" bestFit="1" customWidth="1"/>
    <col min="5400" max="5401" width="22.42578125" style="215" bestFit="1" customWidth="1"/>
    <col min="5402" max="5403" width="23.85546875" style="215" bestFit="1" customWidth="1"/>
    <col min="5404" max="5405" width="24.85546875" style="215" bestFit="1" customWidth="1"/>
    <col min="5406" max="5410" width="11.42578125" style="215" bestFit="1" customWidth="1"/>
    <col min="5411" max="5415" width="12.42578125" style="215" bestFit="1" customWidth="1"/>
    <col min="5416" max="5416" width="12" style="215" bestFit="1" customWidth="1"/>
    <col min="5417" max="5632" width="8.85546875" style="215"/>
    <col min="5633" max="5633" width="7.42578125" style="215" customWidth="1"/>
    <col min="5634" max="5634" width="41" style="215" customWidth="1"/>
    <col min="5635" max="5635" width="16" style="215" customWidth="1"/>
    <col min="5636" max="5636" width="16.140625" style="215" bestFit="1" customWidth="1"/>
    <col min="5637" max="5637" width="11.85546875" style="215" customWidth="1"/>
    <col min="5638" max="5638" width="12.42578125" style="215" bestFit="1" customWidth="1"/>
    <col min="5639" max="5640" width="13" style="215" bestFit="1" customWidth="1"/>
    <col min="5641" max="5641" width="12.5703125" style="215" bestFit="1" customWidth="1"/>
    <col min="5642" max="5642" width="13.42578125" style="215" bestFit="1" customWidth="1"/>
    <col min="5643" max="5643" width="13.5703125" style="215" bestFit="1" customWidth="1"/>
    <col min="5644" max="5644" width="14.5703125" style="215" bestFit="1" customWidth="1"/>
    <col min="5645" max="5645" width="14.85546875" style="215" bestFit="1" customWidth="1"/>
    <col min="5646" max="5646" width="17.140625" style="215" customWidth="1"/>
    <col min="5647" max="5647" width="16.42578125" style="215" bestFit="1" customWidth="1"/>
    <col min="5648" max="5648" width="17.140625" style="215" bestFit="1" customWidth="1"/>
    <col min="5649" max="5649" width="24.42578125" style="215" customWidth="1"/>
    <col min="5650" max="5650" width="18.42578125" style="215" bestFit="1" customWidth="1"/>
    <col min="5651" max="5651" width="18.5703125" style="215" bestFit="1" customWidth="1"/>
    <col min="5652" max="5652" width="19.42578125" style="215" bestFit="1" customWidth="1"/>
    <col min="5653" max="5653" width="20.42578125" style="215" bestFit="1" customWidth="1"/>
    <col min="5654" max="5654" width="20.85546875" style="215" bestFit="1" customWidth="1"/>
    <col min="5655" max="5655" width="21.42578125" style="215" bestFit="1" customWidth="1"/>
    <col min="5656" max="5657" width="22.42578125" style="215" bestFit="1" customWidth="1"/>
    <col min="5658" max="5659" width="23.85546875" style="215" bestFit="1" customWidth="1"/>
    <col min="5660" max="5661" width="24.85546875" style="215" bestFit="1" customWidth="1"/>
    <col min="5662" max="5666" width="11.42578125" style="215" bestFit="1" customWidth="1"/>
    <col min="5667" max="5671" width="12.42578125" style="215" bestFit="1" customWidth="1"/>
    <col min="5672" max="5672" width="12" style="215" bestFit="1" customWidth="1"/>
    <col min="5673" max="5888" width="8.85546875" style="215"/>
    <col min="5889" max="5889" width="7.42578125" style="215" customWidth="1"/>
    <col min="5890" max="5890" width="41" style="215" customWidth="1"/>
    <col min="5891" max="5891" width="16" style="215" customWidth="1"/>
    <col min="5892" max="5892" width="16.140625" style="215" bestFit="1" customWidth="1"/>
    <col min="5893" max="5893" width="11.85546875" style="215" customWidth="1"/>
    <col min="5894" max="5894" width="12.42578125" style="215" bestFit="1" customWidth="1"/>
    <col min="5895" max="5896" width="13" style="215" bestFit="1" customWidth="1"/>
    <col min="5897" max="5897" width="12.5703125" style="215" bestFit="1" customWidth="1"/>
    <col min="5898" max="5898" width="13.42578125" style="215" bestFit="1" customWidth="1"/>
    <col min="5899" max="5899" width="13.5703125" style="215" bestFit="1" customWidth="1"/>
    <col min="5900" max="5900" width="14.5703125" style="215" bestFit="1" customWidth="1"/>
    <col min="5901" max="5901" width="14.85546875" style="215" bestFit="1" customWidth="1"/>
    <col min="5902" max="5902" width="17.140625" style="215" customWidth="1"/>
    <col min="5903" max="5903" width="16.42578125" style="215" bestFit="1" customWidth="1"/>
    <col min="5904" max="5904" width="17.140625" style="215" bestFit="1" customWidth="1"/>
    <col min="5905" max="5905" width="24.42578125" style="215" customWidth="1"/>
    <col min="5906" max="5906" width="18.42578125" style="215" bestFit="1" customWidth="1"/>
    <col min="5907" max="5907" width="18.5703125" style="215" bestFit="1" customWidth="1"/>
    <col min="5908" max="5908" width="19.42578125" style="215" bestFit="1" customWidth="1"/>
    <col min="5909" max="5909" width="20.42578125" style="215" bestFit="1" customWidth="1"/>
    <col min="5910" max="5910" width="20.85546875" style="215" bestFit="1" customWidth="1"/>
    <col min="5911" max="5911" width="21.42578125" style="215" bestFit="1" customWidth="1"/>
    <col min="5912" max="5913" width="22.42578125" style="215" bestFit="1" customWidth="1"/>
    <col min="5914" max="5915" width="23.85546875" style="215" bestFit="1" customWidth="1"/>
    <col min="5916" max="5917" width="24.85546875" style="215" bestFit="1" customWidth="1"/>
    <col min="5918" max="5922" width="11.42578125" style="215" bestFit="1" customWidth="1"/>
    <col min="5923" max="5927" width="12.42578125" style="215" bestFit="1" customWidth="1"/>
    <col min="5928" max="5928" width="12" style="215" bestFit="1" customWidth="1"/>
    <col min="5929" max="6144" width="8.85546875" style="215"/>
    <col min="6145" max="6145" width="7.42578125" style="215" customWidth="1"/>
    <col min="6146" max="6146" width="41" style="215" customWidth="1"/>
    <col min="6147" max="6147" width="16" style="215" customWidth="1"/>
    <col min="6148" max="6148" width="16.140625" style="215" bestFit="1" customWidth="1"/>
    <col min="6149" max="6149" width="11.85546875" style="215" customWidth="1"/>
    <col min="6150" max="6150" width="12.42578125" style="215" bestFit="1" customWidth="1"/>
    <col min="6151" max="6152" width="13" style="215" bestFit="1" customWidth="1"/>
    <col min="6153" max="6153" width="12.5703125" style="215" bestFit="1" customWidth="1"/>
    <col min="6154" max="6154" width="13.42578125" style="215" bestFit="1" customWidth="1"/>
    <col min="6155" max="6155" width="13.5703125" style="215" bestFit="1" customWidth="1"/>
    <col min="6156" max="6156" width="14.5703125" style="215" bestFit="1" customWidth="1"/>
    <col min="6157" max="6157" width="14.85546875" style="215" bestFit="1" customWidth="1"/>
    <col min="6158" max="6158" width="17.140625" style="215" customWidth="1"/>
    <col min="6159" max="6159" width="16.42578125" style="215" bestFit="1" customWidth="1"/>
    <col min="6160" max="6160" width="17.140625" style="215" bestFit="1" customWidth="1"/>
    <col min="6161" max="6161" width="24.42578125" style="215" customWidth="1"/>
    <col min="6162" max="6162" width="18.42578125" style="215" bestFit="1" customWidth="1"/>
    <col min="6163" max="6163" width="18.5703125" style="215" bestFit="1" customWidth="1"/>
    <col min="6164" max="6164" width="19.42578125" style="215" bestFit="1" customWidth="1"/>
    <col min="6165" max="6165" width="20.42578125" style="215" bestFit="1" customWidth="1"/>
    <col min="6166" max="6166" width="20.85546875" style="215" bestFit="1" customWidth="1"/>
    <col min="6167" max="6167" width="21.42578125" style="215" bestFit="1" customWidth="1"/>
    <col min="6168" max="6169" width="22.42578125" style="215" bestFit="1" customWidth="1"/>
    <col min="6170" max="6171" width="23.85546875" style="215" bestFit="1" customWidth="1"/>
    <col min="6172" max="6173" width="24.85546875" style="215" bestFit="1" customWidth="1"/>
    <col min="6174" max="6178" width="11.42578125" style="215" bestFit="1" customWidth="1"/>
    <col min="6179" max="6183" width="12.42578125" style="215" bestFit="1" customWidth="1"/>
    <col min="6184" max="6184" width="12" style="215" bestFit="1" customWidth="1"/>
    <col min="6185" max="6400" width="8.85546875" style="215"/>
    <col min="6401" max="6401" width="7.42578125" style="215" customWidth="1"/>
    <col min="6402" max="6402" width="41" style="215" customWidth="1"/>
    <col min="6403" max="6403" width="16" style="215" customWidth="1"/>
    <col min="6404" max="6404" width="16.140625" style="215" bestFit="1" customWidth="1"/>
    <col min="6405" max="6405" width="11.85546875" style="215" customWidth="1"/>
    <col min="6406" max="6406" width="12.42578125" style="215" bestFit="1" customWidth="1"/>
    <col min="6407" max="6408" width="13" style="215" bestFit="1" customWidth="1"/>
    <col min="6409" max="6409" width="12.5703125" style="215" bestFit="1" customWidth="1"/>
    <col min="6410" max="6410" width="13.42578125" style="215" bestFit="1" customWidth="1"/>
    <col min="6411" max="6411" width="13.5703125" style="215" bestFit="1" customWidth="1"/>
    <col min="6412" max="6412" width="14.5703125" style="215" bestFit="1" customWidth="1"/>
    <col min="6413" max="6413" width="14.85546875" style="215" bestFit="1" customWidth="1"/>
    <col min="6414" max="6414" width="17.140625" style="215" customWidth="1"/>
    <col min="6415" max="6415" width="16.42578125" style="215" bestFit="1" customWidth="1"/>
    <col min="6416" max="6416" width="17.140625" style="215" bestFit="1" customWidth="1"/>
    <col min="6417" max="6417" width="24.42578125" style="215" customWidth="1"/>
    <col min="6418" max="6418" width="18.42578125" style="215" bestFit="1" customWidth="1"/>
    <col min="6419" max="6419" width="18.5703125" style="215" bestFit="1" customWidth="1"/>
    <col min="6420" max="6420" width="19.42578125" style="215" bestFit="1" customWidth="1"/>
    <col min="6421" max="6421" width="20.42578125" style="215" bestFit="1" customWidth="1"/>
    <col min="6422" max="6422" width="20.85546875" style="215" bestFit="1" customWidth="1"/>
    <col min="6423" max="6423" width="21.42578125" style="215" bestFit="1" customWidth="1"/>
    <col min="6424" max="6425" width="22.42578125" style="215" bestFit="1" customWidth="1"/>
    <col min="6426" max="6427" width="23.85546875" style="215" bestFit="1" customWidth="1"/>
    <col min="6428" max="6429" width="24.85546875" style="215" bestFit="1" customWidth="1"/>
    <col min="6430" max="6434" width="11.42578125" style="215" bestFit="1" customWidth="1"/>
    <col min="6435" max="6439" width="12.42578125" style="215" bestFit="1" customWidth="1"/>
    <col min="6440" max="6440" width="12" style="215" bestFit="1" customWidth="1"/>
    <col min="6441" max="6656" width="8.85546875" style="215"/>
    <col min="6657" max="6657" width="7.42578125" style="215" customWidth="1"/>
    <col min="6658" max="6658" width="41" style="215" customWidth="1"/>
    <col min="6659" max="6659" width="16" style="215" customWidth="1"/>
    <col min="6660" max="6660" width="16.140625" style="215" bestFit="1" customWidth="1"/>
    <col min="6661" max="6661" width="11.85546875" style="215" customWidth="1"/>
    <col min="6662" max="6662" width="12.42578125" style="215" bestFit="1" customWidth="1"/>
    <col min="6663" max="6664" width="13" style="215" bestFit="1" customWidth="1"/>
    <col min="6665" max="6665" width="12.5703125" style="215" bestFit="1" customWidth="1"/>
    <col min="6666" max="6666" width="13.42578125" style="215" bestFit="1" customWidth="1"/>
    <col min="6667" max="6667" width="13.5703125" style="215" bestFit="1" customWidth="1"/>
    <col min="6668" max="6668" width="14.5703125" style="215" bestFit="1" customWidth="1"/>
    <col min="6669" max="6669" width="14.85546875" style="215" bestFit="1" customWidth="1"/>
    <col min="6670" max="6670" width="17.140625" style="215" customWidth="1"/>
    <col min="6671" max="6671" width="16.42578125" style="215" bestFit="1" customWidth="1"/>
    <col min="6672" max="6672" width="17.140625" style="215" bestFit="1" customWidth="1"/>
    <col min="6673" max="6673" width="24.42578125" style="215" customWidth="1"/>
    <col min="6674" max="6674" width="18.42578125" style="215" bestFit="1" customWidth="1"/>
    <col min="6675" max="6675" width="18.5703125" style="215" bestFit="1" customWidth="1"/>
    <col min="6676" max="6676" width="19.42578125" style="215" bestFit="1" customWidth="1"/>
    <col min="6677" max="6677" width="20.42578125" style="215" bestFit="1" customWidth="1"/>
    <col min="6678" max="6678" width="20.85546875" style="215" bestFit="1" customWidth="1"/>
    <col min="6679" max="6679" width="21.42578125" style="215" bestFit="1" customWidth="1"/>
    <col min="6680" max="6681" width="22.42578125" style="215" bestFit="1" customWidth="1"/>
    <col min="6682" max="6683" width="23.85546875" style="215" bestFit="1" customWidth="1"/>
    <col min="6684" max="6685" width="24.85546875" style="215" bestFit="1" customWidth="1"/>
    <col min="6686" max="6690" width="11.42578125" style="215" bestFit="1" customWidth="1"/>
    <col min="6691" max="6695" width="12.42578125" style="215" bestFit="1" customWidth="1"/>
    <col min="6696" max="6696" width="12" style="215" bestFit="1" customWidth="1"/>
    <col min="6697" max="6912" width="8.85546875" style="215"/>
    <col min="6913" max="6913" width="7.42578125" style="215" customWidth="1"/>
    <col min="6914" max="6914" width="41" style="215" customWidth="1"/>
    <col min="6915" max="6915" width="16" style="215" customWidth="1"/>
    <col min="6916" max="6916" width="16.140625" style="215" bestFit="1" customWidth="1"/>
    <col min="6917" max="6917" width="11.85546875" style="215" customWidth="1"/>
    <col min="6918" max="6918" width="12.42578125" style="215" bestFit="1" customWidth="1"/>
    <col min="6919" max="6920" width="13" style="215" bestFit="1" customWidth="1"/>
    <col min="6921" max="6921" width="12.5703125" style="215" bestFit="1" customWidth="1"/>
    <col min="6922" max="6922" width="13.42578125" style="215" bestFit="1" customWidth="1"/>
    <col min="6923" max="6923" width="13.5703125" style="215" bestFit="1" customWidth="1"/>
    <col min="6924" max="6924" width="14.5703125" style="215" bestFit="1" customWidth="1"/>
    <col min="6925" max="6925" width="14.85546875" style="215" bestFit="1" customWidth="1"/>
    <col min="6926" max="6926" width="17.140625" style="215" customWidth="1"/>
    <col min="6927" max="6927" width="16.42578125" style="215" bestFit="1" customWidth="1"/>
    <col min="6928" max="6928" width="17.140625" style="215" bestFit="1" customWidth="1"/>
    <col min="6929" max="6929" width="24.42578125" style="215" customWidth="1"/>
    <col min="6930" max="6930" width="18.42578125" style="215" bestFit="1" customWidth="1"/>
    <col min="6931" max="6931" width="18.5703125" style="215" bestFit="1" customWidth="1"/>
    <col min="6932" max="6932" width="19.42578125" style="215" bestFit="1" customWidth="1"/>
    <col min="6933" max="6933" width="20.42578125" style="215" bestFit="1" customWidth="1"/>
    <col min="6934" max="6934" width="20.85546875" style="215" bestFit="1" customWidth="1"/>
    <col min="6935" max="6935" width="21.42578125" style="215" bestFit="1" customWidth="1"/>
    <col min="6936" max="6937" width="22.42578125" style="215" bestFit="1" customWidth="1"/>
    <col min="6938" max="6939" width="23.85546875" style="215" bestFit="1" customWidth="1"/>
    <col min="6940" max="6941" width="24.85546875" style="215" bestFit="1" customWidth="1"/>
    <col min="6942" max="6946" width="11.42578125" style="215" bestFit="1" customWidth="1"/>
    <col min="6947" max="6951" width="12.42578125" style="215" bestFit="1" customWidth="1"/>
    <col min="6952" max="6952" width="12" style="215" bestFit="1" customWidth="1"/>
    <col min="6953" max="7168" width="8.85546875" style="215"/>
    <col min="7169" max="7169" width="7.42578125" style="215" customWidth="1"/>
    <col min="7170" max="7170" width="41" style="215" customWidth="1"/>
    <col min="7171" max="7171" width="16" style="215" customWidth="1"/>
    <col min="7172" max="7172" width="16.140625" style="215" bestFit="1" customWidth="1"/>
    <col min="7173" max="7173" width="11.85546875" style="215" customWidth="1"/>
    <col min="7174" max="7174" width="12.42578125" style="215" bestFit="1" customWidth="1"/>
    <col min="7175" max="7176" width="13" style="215" bestFit="1" customWidth="1"/>
    <col min="7177" max="7177" width="12.5703125" style="215" bestFit="1" customWidth="1"/>
    <col min="7178" max="7178" width="13.42578125" style="215" bestFit="1" customWidth="1"/>
    <col min="7179" max="7179" width="13.5703125" style="215" bestFit="1" customWidth="1"/>
    <col min="7180" max="7180" width="14.5703125" style="215" bestFit="1" customWidth="1"/>
    <col min="7181" max="7181" width="14.85546875" style="215" bestFit="1" customWidth="1"/>
    <col min="7182" max="7182" width="17.140625" style="215" customWidth="1"/>
    <col min="7183" max="7183" width="16.42578125" style="215" bestFit="1" customWidth="1"/>
    <col min="7184" max="7184" width="17.140625" style="215" bestFit="1" customWidth="1"/>
    <col min="7185" max="7185" width="24.42578125" style="215" customWidth="1"/>
    <col min="7186" max="7186" width="18.42578125" style="215" bestFit="1" customWidth="1"/>
    <col min="7187" max="7187" width="18.5703125" style="215" bestFit="1" customWidth="1"/>
    <col min="7188" max="7188" width="19.42578125" style="215" bestFit="1" customWidth="1"/>
    <col min="7189" max="7189" width="20.42578125" style="215" bestFit="1" customWidth="1"/>
    <col min="7190" max="7190" width="20.85546875" style="215" bestFit="1" customWidth="1"/>
    <col min="7191" max="7191" width="21.42578125" style="215" bestFit="1" customWidth="1"/>
    <col min="7192" max="7193" width="22.42578125" style="215" bestFit="1" customWidth="1"/>
    <col min="7194" max="7195" width="23.85546875" style="215" bestFit="1" customWidth="1"/>
    <col min="7196" max="7197" width="24.85546875" style="215" bestFit="1" customWidth="1"/>
    <col min="7198" max="7202" width="11.42578125" style="215" bestFit="1" customWidth="1"/>
    <col min="7203" max="7207" width="12.42578125" style="215" bestFit="1" customWidth="1"/>
    <col min="7208" max="7208" width="12" style="215" bestFit="1" customWidth="1"/>
    <col min="7209" max="7424" width="8.85546875" style="215"/>
    <col min="7425" max="7425" width="7.42578125" style="215" customWidth="1"/>
    <col min="7426" max="7426" width="41" style="215" customWidth="1"/>
    <col min="7427" max="7427" width="16" style="215" customWidth="1"/>
    <col min="7428" max="7428" width="16.140625" style="215" bestFit="1" customWidth="1"/>
    <col min="7429" max="7429" width="11.85546875" style="215" customWidth="1"/>
    <col min="7430" max="7430" width="12.42578125" style="215" bestFit="1" customWidth="1"/>
    <col min="7431" max="7432" width="13" style="215" bestFit="1" customWidth="1"/>
    <col min="7433" max="7433" width="12.5703125" style="215" bestFit="1" customWidth="1"/>
    <col min="7434" max="7434" width="13.42578125" style="215" bestFit="1" customWidth="1"/>
    <col min="7435" max="7435" width="13.5703125" style="215" bestFit="1" customWidth="1"/>
    <col min="7436" max="7436" width="14.5703125" style="215" bestFit="1" customWidth="1"/>
    <col min="7437" max="7437" width="14.85546875" style="215" bestFit="1" customWidth="1"/>
    <col min="7438" max="7438" width="17.140625" style="215" customWidth="1"/>
    <col min="7439" max="7439" width="16.42578125" style="215" bestFit="1" customWidth="1"/>
    <col min="7440" max="7440" width="17.140625" style="215" bestFit="1" customWidth="1"/>
    <col min="7441" max="7441" width="24.42578125" style="215" customWidth="1"/>
    <col min="7442" max="7442" width="18.42578125" style="215" bestFit="1" customWidth="1"/>
    <col min="7443" max="7443" width="18.5703125" style="215" bestFit="1" customWidth="1"/>
    <col min="7444" max="7444" width="19.42578125" style="215" bestFit="1" customWidth="1"/>
    <col min="7445" max="7445" width="20.42578125" style="215" bestFit="1" customWidth="1"/>
    <col min="7446" max="7446" width="20.85546875" style="215" bestFit="1" customWidth="1"/>
    <col min="7447" max="7447" width="21.42578125" style="215" bestFit="1" customWidth="1"/>
    <col min="7448" max="7449" width="22.42578125" style="215" bestFit="1" customWidth="1"/>
    <col min="7450" max="7451" width="23.85546875" style="215" bestFit="1" customWidth="1"/>
    <col min="7452" max="7453" width="24.85546875" style="215" bestFit="1" customWidth="1"/>
    <col min="7454" max="7458" width="11.42578125" style="215" bestFit="1" customWidth="1"/>
    <col min="7459" max="7463" width="12.42578125" style="215" bestFit="1" customWidth="1"/>
    <col min="7464" max="7464" width="12" style="215" bestFit="1" customWidth="1"/>
    <col min="7465" max="7680" width="8.85546875" style="215"/>
    <col min="7681" max="7681" width="7.42578125" style="215" customWidth="1"/>
    <col min="7682" max="7682" width="41" style="215" customWidth="1"/>
    <col min="7683" max="7683" width="16" style="215" customWidth="1"/>
    <col min="7684" max="7684" width="16.140625" style="215" bestFit="1" customWidth="1"/>
    <col min="7685" max="7685" width="11.85546875" style="215" customWidth="1"/>
    <col min="7686" max="7686" width="12.42578125" style="215" bestFit="1" customWidth="1"/>
    <col min="7687" max="7688" width="13" style="215" bestFit="1" customWidth="1"/>
    <col min="7689" max="7689" width="12.5703125" style="215" bestFit="1" customWidth="1"/>
    <col min="7690" max="7690" width="13.42578125" style="215" bestFit="1" customWidth="1"/>
    <col min="7691" max="7691" width="13.5703125" style="215" bestFit="1" customWidth="1"/>
    <col min="7692" max="7692" width="14.5703125" style="215" bestFit="1" customWidth="1"/>
    <col min="7693" max="7693" width="14.85546875" style="215" bestFit="1" customWidth="1"/>
    <col min="7694" max="7694" width="17.140625" style="215" customWidth="1"/>
    <col min="7695" max="7695" width="16.42578125" style="215" bestFit="1" customWidth="1"/>
    <col min="7696" max="7696" width="17.140625" style="215" bestFit="1" customWidth="1"/>
    <col min="7697" max="7697" width="24.42578125" style="215" customWidth="1"/>
    <col min="7698" max="7698" width="18.42578125" style="215" bestFit="1" customWidth="1"/>
    <col min="7699" max="7699" width="18.5703125" style="215" bestFit="1" customWidth="1"/>
    <col min="7700" max="7700" width="19.42578125" style="215" bestFit="1" customWidth="1"/>
    <col min="7701" max="7701" width="20.42578125" style="215" bestFit="1" customWidth="1"/>
    <col min="7702" max="7702" width="20.85546875" style="215" bestFit="1" customWidth="1"/>
    <col min="7703" max="7703" width="21.42578125" style="215" bestFit="1" customWidth="1"/>
    <col min="7704" max="7705" width="22.42578125" style="215" bestFit="1" customWidth="1"/>
    <col min="7706" max="7707" width="23.85546875" style="215" bestFit="1" customWidth="1"/>
    <col min="7708" max="7709" width="24.85546875" style="215" bestFit="1" customWidth="1"/>
    <col min="7710" max="7714" width="11.42578125" style="215" bestFit="1" customWidth="1"/>
    <col min="7715" max="7719" width="12.42578125" style="215" bestFit="1" customWidth="1"/>
    <col min="7720" max="7720" width="12" style="215" bestFit="1" customWidth="1"/>
    <col min="7721" max="7936" width="8.85546875" style="215"/>
    <col min="7937" max="7937" width="7.42578125" style="215" customWidth="1"/>
    <col min="7938" max="7938" width="41" style="215" customWidth="1"/>
    <col min="7939" max="7939" width="16" style="215" customWidth="1"/>
    <col min="7940" max="7940" width="16.140625" style="215" bestFit="1" customWidth="1"/>
    <col min="7941" max="7941" width="11.85546875" style="215" customWidth="1"/>
    <col min="7942" max="7942" width="12.42578125" style="215" bestFit="1" customWidth="1"/>
    <col min="7943" max="7944" width="13" style="215" bestFit="1" customWidth="1"/>
    <col min="7945" max="7945" width="12.5703125" style="215" bestFit="1" customWidth="1"/>
    <col min="7946" max="7946" width="13.42578125" style="215" bestFit="1" customWidth="1"/>
    <col min="7947" max="7947" width="13.5703125" style="215" bestFit="1" customWidth="1"/>
    <col min="7948" max="7948" width="14.5703125" style="215" bestFit="1" customWidth="1"/>
    <col min="7949" max="7949" width="14.85546875" style="215" bestFit="1" customWidth="1"/>
    <col min="7950" max="7950" width="17.140625" style="215" customWidth="1"/>
    <col min="7951" max="7951" width="16.42578125" style="215" bestFit="1" customWidth="1"/>
    <col min="7952" max="7952" width="17.140625" style="215" bestFit="1" customWidth="1"/>
    <col min="7953" max="7953" width="24.42578125" style="215" customWidth="1"/>
    <col min="7954" max="7954" width="18.42578125" style="215" bestFit="1" customWidth="1"/>
    <col min="7955" max="7955" width="18.5703125" style="215" bestFit="1" customWidth="1"/>
    <col min="7956" max="7956" width="19.42578125" style="215" bestFit="1" customWidth="1"/>
    <col min="7957" max="7957" width="20.42578125" style="215" bestFit="1" customWidth="1"/>
    <col min="7958" max="7958" width="20.85546875" style="215" bestFit="1" customWidth="1"/>
    <col min="7959" max="7959" width="21.42578125" style="215" bestFit="1" customWidth="1"/>
    <col min="7960" max="7961" width="22.42578125" style="215" bestFit="1" customWidth="1"/>
    <col min="7962" max="7963" width="23.85546875" style="215" bestFit="1" customWidth="1"/>
    <col min="7964" max="7965" width="24.85546875" style="215" bestFit="1" customWidth="1"/>
    <col min="7966" max="7970" width="11.42578125" style="215" bestFit="1" customWidth="1"/>
    <col min="7971" max="7975" width="12.42578125" style="215" bestFit="1" customWidth="1"/>
    <col min="7976" max="7976" width="12" style="215" bestFit="1" customWidth="1"/>
    <col min="7977" max="8192" width="8.85546875" style="215"/>
    <col min="8193" max="8193" width="7.42578125" style="215" customWidth="1"/>
    <col min="8194" max="8194" width="41" style="215" customWidth="1"/>
    <col min="8195" max="8195" width="16" style="215" customWidth="1"/>
    <col min="8196" max="8196" width="16.140625" style="215" bestFit="1" customWidth="1"/>
    <col min="8197" max="8197" width="11.85546875" style="215" customWidth="1"/>
    <col min="8198" max="8198" width="12.42578125" style="215" bestFit="1" customWidth="1"/>
    <col min="8199" max="8200" width="13" style="215" bestFit="1" customWidth="1"/>
    <col min="8201" max="8201" width="12.5703125" style="215" bestFit="1" customWidth="1"/>
    <col min="8202" max="8202" width="13.42578125" style="215" bestFit="1" customWidth="1"/>
    <col min="8203" max="8203" width="13.5703125" style="215" bestFit="1" customWidth="1"/>
    <col min="8204" max="8204" width="14.5703125" style="215" bestFit="1" customWidth="1"/>
    <col min="8205" max="8205" width="14.85546875" style="215" bestFit="1" customWidth="1"/>
    <col min="8206" max="8206" width="17.140625" style="215" customWidth="1"/>
    <col min="8207" max="8207" width="16.42578125" style="215" bestFit="1" customWidth="1"/>
    <col min="8208" max="8208" width="17.140625" style="215" bestFit="1" customWidth="1"/>
    <col min="8209" max="8209" width="24.42578125" style="215" customWidth="1"/>
    <col min="8210" max="8210" width="18.42578125" style="215" bestFit="1" customWidth="1"/>
    <col min="8211" max="8211" width="18.5703125" style="215" bestFit="1" customWidth="1"/>
    <col min="8212" max="8212" width="19.42578125" style="215" bestFit="1" customWidth="1"/>
    <col min="8213" max="8213" width="20.42578125" style="215" bestFit="1" customWidth="1"/>
    <col min="8214" max="8214" width="20.85546875" style="215" bestFit="1" customWidth="1"/>
    <col min="8215" max="8215" width="21.42578125" style="215" bestFit="1" customWidth="1"/>
    <col min="8216" max="8217" width="22.42578125" style="215" bestFit="1" customWidth="1"/>
    <col min="8218" max="8219" width="23.85546875" style="215" bestFit="1" customWidth="1"/>
    <col min="8220" max="8221" width="24.85546875" style="215" bestFit="1" customWidth="1"/>
    <col min="8222" max="8226" width="11.42578125" style="215" bestFit="1" customWidth="1"/>
    <col min="8227" max="8231" width="12.42578125" style="215" bestFit="1" customWidth="1"/>
    <col min="8232" max="8232" width="12" style="215" bestFit="1" customWidth="1"/>
    <col min="8233" max="8448" width="8.85546875" style="215"/>
    <col min="8449" max="8449" width="7.42578125" style="215" customWidth="1"/>
    <col min="8450" max="8450" width="41" style="215" customWidth="1"/>
    <col min="8451" max="8451" width="16" style="215" customWidth="1"/>
    <col min="8452" max="8452" width="16.140625" style="215" bestFit="1" customWidth="1"/>
    <col min="8453" max="8453" width="11.85546875" style="215" customWidth="1"/>
    <col min="8454" max="8454" width="12.42578125" style="215" bestFit="1" customWidth="1"/>
    <col min="8455" max="8456" width="13" style="215" bestFit="1" customWidth="1"/>
    <col min="8457" max="8457" width="12.5703125" style="215" bestFit="1" customWidth="1"/>
    <col min="8458" max="8458" width="13.42578125" style="215" bestFit="1" customWidth="1"/>
    <col min="8459" max="8459" width="13.5703125" style="215" bestFit="1" customWidth="1"/>
    <col min="8460" max="8460" width="14.5703125" style="215" bestFit="1" customWidth="1"/>
    <col min="8461" max="8461" width="14.85546875" style="215" bestFit="1" customWidth="1"/>
    <col min="8462" max="8462" width="17.140625" style="215" customWidth="1"/>
    <col min="8463" max="8463" width="16.42578125" style="215" bestFit="1" customWidth="1"/>
    <col min="8464" max="8464" width="17.140625" style="215" bestFit="1" customWidth="1"/>
    <col min="8465" max="8465" width="24.42578125" style="215" customWidth="1"/>
    <col min="8466" max="8466" width="18.42578125" style="215" bestFit="1" customWidth="1"/>
    <col min="8467" max="8467" width="18.5703125" style="215" bestFit="1" customWidth="1"/>
    <col min="8468" max="8468" width="19.42578125" style="215" bestFit="1" customWidth="1"/>
    <col min="8469" max="8469" width="20.42578125" style="215" bestFit="1" customWidth="1"/>
    <col min="8470" max="8470" width="20.85546875" style="215" bestFit="1" customWidth="1"/>
    <col min="8471" max="8471" width="21.42578125" style="215" bestFit="1" customWidth="1"/>
    <col min="8472" max="8473" width="22.42578125" style="215" bestFit="1" customWidth="1"/>
    <col min="8474" max="8475" width="23.85546875" style="215" bestFit="1" customWidth="1"/>
    <col min="8476" max="8477" width="24.85546875" style="215" bestFit="1" customWidth="1"/>
    <col min="8478" max="8482" width="11.42578125" style="215" bestFit="1" customWidth="1"/>
    <col min="8483" max="8487" width="12.42578125" style="215" bestFit="1" customWidth="1"/>
    <col min="8488" max="8488" width="12" style="215" bestFit="1" customWidth="1"/>
    <col min="8489" max="8704" width="8.85546875" style="215"/>
    <col min="8705" max="8705" width="7.42578125" style="215" customWidth="1"/>
    <col min="8706" max="8706" width="41" style="215" customWidth="1"/>
    <col min="8707" max="8707" width="16" style="215" customWidth="1"/>
    <col min="8708" max="8708" width="16.140625" style="215" bestFit="1" customWidth="1"/>
    <col min="8709" max="8709" width="11.85546875" style="215" customWidth="1"/>
    <col min="8710" max="8710" width="12.42578125" style="215" bestFit="1" customWidth="1"/>
    <col min="8711" max="8712" width="13" style="215" bestFit="1" customWidth="1"/>
    <col min="8713" max="8713" width="12.5703125" style="215" bestFit="1" customWidth="1"/>
    <col min="8714" max="8714" width="13.42578125" style="215" bestFit="1" customWidth="1"/>
    <col min="8715" max="8715" width="13.5703125" style="215" bestFit="1" customWidth="1"/>
    <col min="8716" max="8716" width="14.5703125" style="215" bestFit="1" customWidth="1"/>
    <col min="8717" max="8717" width="14.85546875" style="215" bestFit="1" customWidth="1"/>
    <col min="8718" max="8718" width="17.140625" style="215" customWidth="1"/>
    <col min="8719" max="8719" width="16.42578125" style="215" bestFit="1" customWidth="1"/>
    <col min="8720" max="8720" width="17.140625" style="215" bestFit="1" customWidth="1"/>
    <col min="8721" max="8721" width="24.42578125" style="215" customWidth="1"/>
    <col min="8722" max="8722" width="18.42578125" style="215" bestFit="1" customWidth="1"/>
    <col min="8723" max="8723" width="18.5703125" style="215" bestFit="1" customWidth="1"/>
    <col min="8724" max="8724" width="19.42578125" style="215" bestFit="1" customWidth="1"/>
    <col min="8725" max="8725" width="20.42578125" style="215" bestFit="1" customWidth="1"/>
    <col min="8726" max="8726" width="20.85546875" style="215" bestFit="1" customWidth="1"/>
    <col min="8727" max="8727" width="21.42578125" style="215" bestFit="1" customWidth="1"/>
    <col min="8728" max="8729" width="22.42578125" style="215" bestFit="1" customWidth="1"/>
    <col min="8730" max="8731" width="23.85546875" style="215" bestFit="1" customWidth="1"/>
    <col min="8732" max="8733" width="24.85546875" style="215" bestFit="1" customWidth="1"/>
    <col min="8734" max="8738" width="11.42578125" style="215" bestFit="1" customWidth="1"/>
    <col min="8739" max="8743" width="12.42578125" style="215" bestFit="1" customWidth="1"/>
    <col min="8744" max="8744" width="12" style="215" bestFit="1" customWidth="1"/>
    <col min="8745" max="8960" width="8.85546875" style="215"/>
    <col min="8961" max="8961" width="7.42578125" style="215" customWidth="1"/>
    <col min="8962" max="8962" width="41" style="215" customWidth="1"/>
    <col min="8963" max="8963" width="16" style="215" customWidth="1"/>
    <col min="8964" max="8964" width="16.140625" style="215" bestFit="1" customWidth="1"/>
    <col min="8965" max="8965" width="11.85546875" style="215" customWidth="1"/>
    <col min="8966" max="8966" width="12.42578125" style="215" bestFit="1" customWidth="1"/>
    <col min="8967" max="8968" width="13" style="215" bestFit="1" customWidth="1"/>
    <col min="8969" max="8969" width="12.5703125" style="215" bestFit="1" customWidth="1"/>
    <col min="8970" max="8970" width="13.42578125" style="215" bestFit="1" customWidth="1"/>
    <col min="8971" max="8971" width="13.5703125" style="215" bestFit="1" customWidth="1"/>
    <col min="8972" max="8972" width="14.5703125" style="215" bestFit="1" customWidth="1"/>
    <col min="8973" max="8973" width="14.85546875" style="215" bestFit="1" customWidth="1"/>
    <col min="8974" max="8974" width="17.140625" style="215" customWidth="1"/>
    <col min="8975" max="8975" width="16.42578125" style="215" bestFit="1" customWidth="1"/>
    <col min="8976" max="8976" width="17.140625" style="215" bestFit="1" customWidth="1"/>
    <col min="8977" max="8977" width="24.42578125" style="215" customWidth="1"/>
    <col min="8978" max="8978" width="18.42578125" style="215" bestFit="1" customWidth="1"/>
    <col min="8979" max="8979" width="18.5703125" style="215" bestFit="1" customWidth="1"/>
    <col min="8980" max="8980" width="19.42578125" style="215" bestFit="1" customWidth="1"/>
    <col min="8981" max="8981" width="20.42578125" style="215" bestFit="1" customWidth="1"/>
    <col min="8982" max="8982" width="20.85546875" style="215" bestFit="1" customWidth="1"/>
    <col min="8983" max="8983" width="21.42578125" style="215" bestFit="1" customWidth="1"/>
    <col min="8984" max="8985" width="22.42578125" style="215" bestFit="1" customWidth="1"/>
    <col min="8986" max="8987" width="23.85546875" style="215" bestFit="1" customWidth="1"/>
    <col min="8988" max="8989" width="24.85546875" style="215" bestFit="1" customWidth="1"/>
    <col min="8990" max="8994" width="11.42578125" style="215" bestFit="1" customWidth="1"/>
    <col min="8995" max="8999" width="12.42578125" style="215" bestFit="1" customWidth="1"/>
    <col min="9000" max="9000" width="12" style="215" bestFit="1" customWidth="1"/>
    <col min="9001" max="9216" width="8.85546875" style="215"/>
    <col min="9217" max="9217" width="7.42578125" style="215" customWidth="1"/>
    <col min="9218" max="9218" width="41" style="215" customWidth="1"/>
    <col min="9219" max="9219" width="16" style="215" customWidth="1"/>
    <col min="9220" max="9220" width="16.140625" style="215" bestFit="1" customWidth="1"/>
    <col min="9221" max="9221" width="11.85546875" style="215" customWidth="1"/>
    <col min="9222" max="9222" width="12.42578125" style="215" bestFit="1" customWidth="1"/>
    <col min="9223" max="9224" width="13" style="215" bestFit="1" customWidth="1"/>
    <col min="9225" max="9225" width="12.5703125" style="215" bestFit="1" customWidth="1"/>
    <col min="9226" max="9226" width="13.42578125" style="215" bestFit="1" customWidth="1"/>
    <col min="9227" max="9227" width="13.5703125" style="215" bestFit="1" customWidth="1"/>
    <col min="9228" max="9228" width="14.5703125" style="215" bestFit="1" customWidth="1"/>
    <col min="9229" max="9229" width="14.85546875" style="215" bestFit="1" customWidth="1"/>
    <col min="9230" max="9230" width="17.140625" style="215" customWidth="1"/>
    <col min="9231" max="9231" width="16.42578125" style="215" bestFit="1" customWidth="1"/>
    <col min="9232" max="9232" width="17.140625" style="215" bestFit="1" customWidth="1"/>
    <col min="9233" max="9233" width="24.42578125" style="215" customWidth="1"/>
    <col min="9234" max="9234" width="18.42578125" style="215" bestFit="1" customWidth="1"/>
    <col min="9235" max="9235" width="18.5703125" style="215" bestFit="1" customWidth="1"/>
    <col min="9236" max="9236" width="19.42578125" style="215" bestFit="1" customWidth="1"/>
    <col min="9237" max="9237" width="20.42578125" style="215" bestFit="1" customWidth="1"/>
    <col min="9238" max="9238" width="20.85546875" style="215" bestFit="1" customWidth="1"/>
    <col min="9239" max="9239" width="21.42578125" style="215" bestFit="1" customWidth="1"/>
    <col min="9240" max="9241" width="22.42578125" style="215" bestFit="1" customWidth="1"/>
    <col min="9242" max="9243" width="23.85546875" style="215" bestFit="1" customWidth="1"/>
    <col min="9244" max="9245" width="24.85546875" style="215" bestFit="1" customWidth="1"/>
    <col min="9246" max="9250" width="11.42578125" style="215" bestFit="1" customWidth="1"/>
    <col min="9251" max="9255" width="12.42578125" style="215" bestFit="1" customWidth="1"/>
    <col min="9256" max="9256" width="12" style="215" bestFit="1" customWidth="1"/>
    <col min="9257" max="9472" width="8.85546875" style="215"/>
    <col min="9473" max="9473" width="7.42578125" style="215" customWidth="1"/>
    <col min="9474" max="9474" width="41" style="215" customWidth="1"/>
    <col min="9475" max="9475" width="16" style="215" customWidth="1"/>
    <col min="9476" max="9476" width="16.140625" style="215" bestFit="1" customWidth="1"/>
    <col min="9477" max="9477" width="11.85546875" style="215" customWidth="1"/>
    <col min="9478" max="9478" width="12.42578125" style="215" bestFit="1" customWidth="1"/>
    <col min="9479" max="9480" width="13" style="215" bestFit="1" customWidth="1"/>
    <col min="9481" max="9481" width="12.5703125" style="215" bestFit="1" customWidth="1"/>
    <col min="9482" max="9482" width="13.42578125" style="215" bestFit="1" customWidth="1"/>
    <col min="9483" max="9483" width="13.5703125" style="215" bestFit="1" customWidth="1"/>
    <col min="9484" max="9484" width="14.5703125" style="215" bestFit="1" customWidth="1"/>
    <col min="9485" max="9485" width="14.85546875" style="215" bestFit="1" customWidth="1"/>
    <col min="9486" max="9486" width="17.140625" style="215" customWidth="1"/>
    <col min="9487" max="9487" width="16.42578125" style="215" bestFit="1" customWidth="1"/>
    <col min="9488" max="9488" width="17.140625" style="215" bestFit="1" customWidth="1"/>
    <col min="9489" max="9489" width="24.42578125" style="215" customWidth="1"/>
    <col min="9490" max="9490" width="18.42578125" style="215" bestFit="1" customWidth="1"/>
    <col min="9491" max="9491" width="18.5703125" style="215" bestFit="1" customWidth="1"/>
    <col min="9492" max="9492" width="19.42578125" style="215" bestFit="1" customWidth="1"/>
    <col min="9493" max="9493" width="20.42578125" style="215" bestFit="1" customWidth="1"/>
    <col min="9494" max="9494" width="20.85546875" style="215" bestFit="1" customWidth="1"/>
    <col min="9495" max="9495" width="21.42578125" style="215" bestFit="1" customWidth="1"/>
    <col min="9496" max="9497" width="22.42578125" style="215" bestFit="1" customWidth="1"/>
    <col min="9498" max="9499" width="23.85546875" style="215" bestFit="1" customWidth="1"/>
    <col min="9500" max="9501" width="24.85546875" style="215" bestFit="1" customWidth="1"/>
    <col min="9502" max="9506" width="11.42578125" style="215" bestFit="1" customWidth="1"/>
    <col min="9507" max="9511" width="12.42578125" style="215" bestFit="1" customWidth="1"/>
    <col min="9512" max="9512" width="12" style="215" bestFit="1" customWidth="1"/>
    <col min="9513" max="9728" width="8.85546875" style="215"/>
    <col min="9729" max="9729" width="7.42578125" style="215" customWidth="1"/>
    <col min="9730" max="9730" width="41" style="215" customWidth="1"/>
    <col min="9731" max="9731" width="16" style="215" customWidth="1"/>
    <col min="9732" max="9732" width="16.140625" style="215" bestFit="1" customWidth="1"/>
    <col min="9733" max="9733" width="11.85546875" style="215" customWidth="1"/>
    <col min="9734" max="9734" width="12.42578125" style="215" bestFit="1" customWidth="1"/>
    <col min="9735" max="9736" width="13" style="215" bestFit="1" customWidth="1"/>
    <col min="9737" max="9737" width="12.5703125" style="215" bestFit="1" customWidth="1"/>
    <col min="9738" max="9738" width="13.42578125" style="215" bestFit="1" customWidth="1"/>
    <col min="9739" max="9739" width="13.5703125" style="215" bestFit="1" customWidth="1"/>
    <col min="9740" max="9740" width="14.5703125" style="215" bestFit="1" customWidth="1"/>
    <col min="9741" max="9741" width="14.85546875" style="215" bestFit="1" customWidth="1"/>
    <col min="9742" max="9742" width="17.140625" style="215" customWidth="1"/>
    <col min="9743" max="9743" width="16.42578125" style="215" bestFit="1" customWidth="1"/>
    <col min="9744" max="9744" width="17.140625" style="215" bestFit="1" customWidth="1"/>
    <col min="9745" max="9745" width="24.42578125" style="215" customWidth="1"/>
    <col min="9746" max="9746" width="18.42578125" style="215" bestFit="1" customWidth="1"/>
    <col min="9747" max="9747" width="18.5703125" style="215" bestFit="1" customWidth="1"/>
    <col min="9748" max="9748" width="19.42578125" style="215" bestFit="1" customWidth="1"/>
    <col min="9749" max="9749" width="20.42578125" style="215" bestFit="1" customWidth="1"/>
    <col min="9750" max="9750" width="20.85546875" style="215" bestFit="1" customWidth="1"/>
    <col min="9751" max="9751" width="21.42578125" style="215" bestFit="1" customWidth="1"/>
    <col min="9752" max="9753" width="22.42578125" style="215" bestFit="1" customWidth="1"/>
    <col min="9754" max="9755" width="23.85546875" style="215" bestFit="1" customWidth="1"/>
    <col min="9756" max="9757" width="24.85546875" style="215" bestFit="1" customWidth="1"/>
    <col min="9758" max="9762" width="11.42578125" style="215" bestFit="1" customWidth="1"/>
    <col min="9763" max="9767" width="12.42578125" style="215" bestFit="1" customWidth="1"/>
    <col min="9768" max="9768" width="12" style="215" bestFit="1" customWidth="1"/>
    <col min="9769" max="9984" width="8.85546875" style="215"/>
    <col min="9985" max="9985" width="7.42578125" style="215" customWidth="1"/>
    <col min="9986" max="9986" width="41" style="215" customWidth="1"/>
    <col min="9987" max="9987" width="16" style="215" customWidth="1"/>
    <col min="9988" max="9988" width="16.140625" style="215" bestFit="1" customWidth="1"/>
    <col min="9989" max="9989" width="11.85546875" style="215" customWidth="1"/>
    <col min="9990" max="9990" width="12.42578125" style="215" bestFit="1" customWidth="1"/>
    <col min="9991" max="9992" width="13" style="215" bestFit="1" customWidth="1"/>
    <col min="9993" max="9993" width="12.5703125" style="215" bestFit="1" customWidth="1"/>
    <col min="9994" max="9994" width="13.42578125" style="215" bestFit="1" customWidth="1"/>
    <col min="9995" max="9995" width="13.5703125" style="215" bestFit="1" customWidth="1"/>
    <col min="9996" max="9996" width="14.5703125" style="215" bestFit="1" customWidth="1"/>
    <col min="9997" max="9997" width="14.85546875" style="215" bestFit="1" customWidth="1"/>
    <col min="9998" max="9998" width="17.140625" style="215" customWidth="1"/>
    <col min="9999" max="9999" width="16.42578125" style="215" bestFit="1" customWidth="1"/>
    <col min="10000" max="10000" width="17.140625" style="215" bestFit="1" customWidth="1"/>
    <col min="10001" max="10001" width="24.42578125" style="215" customWidth="1"/>
    <col min="10002" max="10002" width="18.42578125" style="215" bestFit="1" customWidth="1"/>
    <col min="10003" max="10003" width="18.5703125" style="215" bestFit="1" customWidth="1"/>
    <col min="10004" max="10004" width="19.42578125" style="215" bestFit="1" customWidth="1"/>
    <col min="10005" max="10005" width="20.42578125" style="215" bestFit="1" customWidth="1"/>
    <col min="10006" max="10006" width="20.85546875" style="215" bestFit="1" customWidth="1"/>
    <col min="10007" max="10007" width="21.42578125" style="215" bestFit="1" customWidth="1"/>
    <col min="10008" max="10009" width="22.42578125" style="215" bestFit="1" customWidth="1"/>
    <col min="10010" max="10011" width="23.85546875" style="215" bestFit="1" customWidth="1"/>
    <col min="10012" max="10013" width="24.85546875" style="215" bestFit="1" customWidth="1"/>
    <col min="10014" max="10018" width="11.42578125" style="215" bestFit="1" customWidth="1"/>
    <col min="10019" max="10023" width="12.42578125" style="215" bestFit="1" customWidth="1"/>
    <col min="10024" max="10024" width="12" style="215" bestFit="1" customWidth="1"/>
    <col min="10025" max="10240" width="8.85546875" style="215"/>
    <col min="10241" max="10241" width="7.42578125" style="215" customWidth="1"/>
    <col min="10242" max="10242" width="41" style="215" customWidth="1"/>
    <col min="10243" max="10243" width="16" style="215" customWidth="1"/>
    <col min="10244" max="10244" width="16.140625" style="215" bestFit="1" customWidth="1"/>
    <col min="10245" max="10245" width="11.85546875" style="215" customWidth="1"/>
    <col min="10246" max="10246" width="12.42578125" style="215" bestFit="1" customWidth="1"/>
    <col min="10247" max="10248" width="13" style="215" bestFit="1" customWidth="1"/>
    <col min="10249" max="10249" width="12.5703125" style="215" bestFit="1" customWidth="1"/>
    <col min="10250" max="10250" width="13.42578125" style="215" bestFit="1" customWidth="1"/>
    <col min="10251" max="10251" width="13.5703125" style="215" bestFit="1" customWidth="1"/>
    <col min="10252" max="10252" width="14.5703125" style="215" bestFit="1" customWidth="1"/>
    <col min="10253" max="10253" width="14.85546875" style="215" bestFit="1" customWidth="1"/>
    <col min="10254" max="10254" width="17.140625" style="215" customWidth="1"/>
    <col min="10255" max="10255" width="16.42578125" style="215" bestFit="1" customWidth="1"/>
    <col min="10256" max="10256" width="17.140625" style="215" bestFit="1" customWidth="1"/>
    <col min="10257" max="10257" width="24.42578125" style="215" customWidth="1"/>
    <col min="10258" max="10258" width="18.42578125" style="215" bestFit="1" customWidth="1"/>
    <col min="10259" max="10259" width="18.5703125" style="215" bestFit="1" customWidth="1"/>
    <col min="10260" max="10260" width="19.42578125" style="215" bestFit="1" customWidth="1"/>
    <col min="10261" max="10261" width="20.42578125" style="215" bestFit="1" customWidth="1"/>
    <col min="10262" max="10262" width="20.85546875" style="215" bestFit="1" customWidth="1"/>
    <col min="10263" max="10263" width="21.42578125" style="215" bestFit="1" customWidth="1"/>
    <col min="10264" max="10265" width="22.42578125" style="215" bestFit="1" customWidth="1"/>
    <col min="10266" max="10267" width="23.85546875" style="215" bestFit="1" customWidth="1"/>
    <col min="10268" max="10269" width="24.85546875" style="215" bestFit="1" customWidth="1"/>
    <col min="10270" max="10274" width="11.42578125" style="215" bestFit="1" customWidth="1"/>
    <col min="10275" max="10279" width="12.42578125" style="215" bestFit="1" customWidth="1"/>
    <col min="10280" max="10280" width="12" style="215" bestFit="1" customWidth="1"/>
    <col min="10281" max="10496" width="8.85546875" style="215"/>
    <col min="10497" max="10497" width="7.42578125" style="215" customWidth="1"/>
    <col min="10498" max="10498" width="41" style="215" customWidth="1"/>
    <col min="10499" max="10499" width="16" style="215" customWidth="1"/>
    <col min="10500" max="10500" width="16.140625" style="215" bestFit="1" customWidth="1"/>
    <col min="10501" max="10501" width="11.85546875" style="215" customWidth="1"/>
    <col min="10502" max="10502" width="12.42578125" style="215" bestFit="1" customWidth="1"/>
    <col min="10503" max="10504" width="13" style="215" bestFit="1" customWidth="1"/>
    <col min="10505" max="10505" width="12.5703125" style="215" bestFit="1" customWidth="1"/>
    <col min="10506" max="10506" width="13.42578125" style="215" bestFit="1" customWidth="1"/>
    <col min="10507" max="10507" width="13.5703125" style="215" bestFit="1" customWidth="1"/>
    <col min="10508" max="10508" width="14.5703125" style="215" bestFit="1" customWidth="1"/>
    <col min="10509" max="10509" width="14.85546875" style="215" bestFit="1" customWidth="1"/>
    <col min="10510" max="10510" width="17.140625" style="215" customWidth="1"/>
    <col min="10511" max="10511" width="16.42578125" style="215" bestFit="1" customWidth="1"/>
    <col min="10512" max="10512" width="17.140625" style="215" bestFit="1" customWidth="1"/>
    <col min="10513" max="10513" width="24.42578125" style="215" customWidth="1"/>
    <col min="10514" max="10514" width="18.42578125" style="215" bestFit="1" customWidth="1"/>
    <col min="10515" max="10515" width="18.5703125" style="215" bestFit="1" customWidth="1"/>
    <col min="10516" max="10516" width="19.42578125" style="215" bestFit="1" customWidth="1"/>
    <col min="10517" max="10517" width="20.42578125" style="215" bestFit="1" customWidth="1"/>
    <col min="10518" max="10518" width="20.85546875" style="215" bestFit="1" customWidth="1"/>
    <col min="10519" max="10519" width="21.42578125" style="215" bestFit="1" customWidth="1"/>
    <col min="10520" max="10521" width="22.42578125" style="215" bestFit="1" customWidth="1"/>
    <col min="10522" max="10523" width="23.85546875" style="215" bestFit="1" customWidth="1"/>
    <col min="10524" max="10525" width="24.85546875" style="215" bestFit="1" customWidth="1"/>
    <col min="10526" max="10530" width="11.42578125" style="215" bestFit="1" customWidth="1"/>
    <col min="10531" max="10535" width="12.42578125" style="215" bestFit="1" customWidth="1"/>
    <col min="10536" max="10536" width="12" style="215" bestFit="1" customWidth="1"/>
    <col min="10537" max="10752" width="8.85546875" style="215"/>
    <col min="10753" max="10753" width="7.42578125" style="215" customWidth="1"/>
    <col min="10754" max="10754" width="41" style="215" customWidth="1"/>
    <col min="10755" max="10755" width="16" style="215" customWidth="1"/>
    <col min="10756" max="10756" width="16.140625" style="215" bestFit="1" customWidth="1"/>
    <col min="10757" max="10757" width="11.85546875" style="215" customWidth="1"/>
    <col min="10758" max="10758" width="12.42578125" style="215" bestFit="1" customWidth="1"/>
    <col min="10759" max="10760" width="13" style="215" bestFit="1" customWidth="1"/>
    <col min="10761" max="10761" width="12.5703125" style="215" bestFit="1" customWidth="1"/>
    <col min="10762" max="10762" width="13.42578125" style="215" bestFit="1" customWidth="1"/>
    <col min="10763" max="10763" width="13.5703125" style="215" bestFit="1" customWidth="1"/>
    <col min="10764" max="10764" width="14.5703125" style="215" bestFit="1" customWidth="1"/>
    <col min="10765" max="10765" width="14.85546875" style="215" bestFit="1" customWidth="1"/>
    <col min="10766" max="10766" width="17.140625" style="215" customWidth="1"/>
    <col min="10767" max="10767" width="16.42578125" style="215" bestFit="1" customWidth="1"/>
    <col min="10768" max="10768" width="17.140625" style="215" bestFit="1" customWidth="1"/>
    <col min="10769" max="10769" width="24.42578125" style="215" customWidth="1"/>
    <col min="10770" max="10770" width="18.42578125" style="215" bestFit="1" customWidth="1"/>
    <col min="10771" max="10771" width="18.5703125" style="215" bestFit="1" customWidth="1"/>
    <col min="10772" max="10772" width="19.42578125" style="215" bestFit="1" customWidth="1"/>
    <col min="10773" max="10773" width="20.42578125" style="215" bestFit="1" customWidth="1"/>
    <col min="10774" max="10774" width="20.85546875" style="215" bestFit="1" customWidth="1"/>
    <col min="10775" max="10775" width="21.42578125" style="215" bestFit="1" customWidth="1"/>
    <col min="10776" max="10777" width="22.42578125" style="215" bestFit="1" customWidth="1"/>
    <col min="10778" max="10779" width="23.85546875" style="215" bestFit="1" customWidth="1"/>
    <col min="10780" max="10781" width="24.85546875" style="215" bestFit="1" customWidth="1"/>
    <col min="10782" max="10786" width="11.42578125" style="215" bestFit="1" customWidth="1"/>
    <col min="10787" max="10791" width="12.42578125" style="215" bestFit="1" customWidth="1"/>
    <col min="10792" max="10792" width="12" style="215" bestFit="1" customWidth="1"/>
    <col min="10793" max="11008" width="8.85546875" style="215"/>
    <col min="11009" max="11009" width="7.42578125" style="215" customWidth="1"/>
    <col min="11010" max="11010" width="41" style="215" customWidth="1"/>
    <col min="11011" max="11011" width="16" style="215" customWidth="1"/>
    <col min="11012" max="11012" width="16.140625" style="215" bestFit="1" customWidth="1"/>
    <col min="11013" max="11013" width="11.85546875" style="215" customWidth="1"/>
    <col min="11014" max="11014" width="12.42578125" style="215" bestFit="1" customWidth="1"/>
    <col min="11015" max="11016" width="13" style="215" bestFit="1" customWidth="1"/>
    <col min="11017" max="11017" width="12.5703125" style="215" bestFit="1" customWidth="1"/>
    <col min="11018" max="11018" width="13.42578125" style="215" bestFit="1" customWidth="1"/>
    <col min="11019" max="11019" width="13.5703125" style="215" bestFit="1" customWidth="1"/>
    <col min="11020" max="11020" width="14.5703125" style="215" bestFit="1" customWidth="1"/>
    <col min="11021" max="11021" width="14.85546875" style="215" bestFit="1" customWidth="1"/>
    <col min="11022" max="11022" width="17.140625" style="215" customWidth="1"/>
    <col min="11023" max="11023" width="16.42578125" style="215" bestFit="1" customWidth="1"/>
    <col min="11024" max="11024" width="17.140625" style="215" bestFit="1" customWidth="1"/>
    <col min="11025" max="11025" width="24.42578125" style="215" customWidth="1"/>
    <col min="11026" max="11026" width="18.42578125" style="215" bestFit="1" customWidth="1"/>
    <col min="11027" max="11027" width="18.5703125" style="215" bestFit="1" customWidth="1"/>
    <col min="11028" max="11028" width="19.42578125" style="215" bestFit="1" customWidth="1"/>
    <col min="11029" max="11029" width="20.42578125" style="215" bestFit="1" customWidth="1"/>
    <col min="11030" max="11030" width="20.85546875" style="215" bestFit="1" customWidth="1"/>
    <col min="11031" max="11031" width="21.42578125" style="215" bestFit="1" customWidth="1"/>
    <col min="11032" max="11033" width="22.42578125" style="215" bestFit="1" customWidth="1"/>
    <col min="11034" max="11035" width="23.85546875" style="215" bestFit="1" customWidth="1"/>
    <col min="11036" max="11037" width="24.85546875" style="215" bestFit="1" customWidth="1"/>
    <col min="11038" max="11042" width="11.42578125" style="215" bestFit="1" customWidth="1"/>
    <col min="11043" max="11047" width="12.42578125" style="215" bestFit="1" customWidth="1"/>
    <col min="11048" max="11048" width="12" style="215" bestFit="1" customWidth="1"/>
    <col min="11049" max="11264" width="8.85546875" style="215"/>
    <col min="11265" max="11265" width="7.42578125" style="215" customWidth="1"/>
    <col min="11266" max="11266" width="41" style="215" customWidth="1"/>
    <col min="11267" max="11267" width="16" style="215" customWidth="1"/>
    <col min="11268" max="11268" width="16.140625" style="215" bestFit="1" customWidth="1"/>
    <col min="11269" max="11269" width="11.85546875" style="215" customWidth="1"/>
    <col min="11270" max="11270" width="12.42578125" style="215" bestFit="1" customWidth="1"/>
    <col min="11271" max="11272" width="13" style="215" bestFit="1" customWidth="1"/>
    <col min="11273" max="11273" width="12.5703125" style="215" bestFit="1" customWidth="1"/>
    <col min="11274" max="11274" width="13.42578125" style="215" bestFit="1" customWidth="1"/>
    <col min="11275" max="11275" width="13.5703125" style="215" bestFit="1" customWidth="1"/>
    <col min="11276" max="11276" width="14.5703125" style="215" bestFit="1" customWidth="1"/>
    <col min="11277" max="11277" width="14.85546875" style="215" bestFit="1" customWidth="1"/>
    <col min="11278" max="11278" width="17.140625" style="215" customWidth="1"/>
    <col min="11279" max="11279" width="16.42578125" style="215" bestFit="1" customWidth="1"/>
    <col min="11280" max="11280" width="17.140625" style="215" bestFit="1" customWidth="1"/>
    <col min="11281" max="11281" width="24.42578125" style="215" customWidth="1"/>
    <col min="11282" max="11282" width="18.42578125" style="215" bestFit="1" customWidth="1"/>
    <col min="11283" max="11283" width="18.5703125" style="215" bestFit="1" customWidth="1"/>
    <col min="11284" max="11284" width="19.42578125" style="215" bestFit="1" customWidth="1"/>
    <col min="11285" max="11285" width="20.42578125" style="215" bestFit="1" customWidth="1"/>
    <col min="11286" max="11286" width="20.85546875" style="215" bestFit="1" customWidth="1"/>
    <col min="11287" max="11287" width="21.42578125" style="215" bestFit="1" customWidth="1"/>
    <col min="11288" max="11289" width="22.42578125" style="215" bestFit="1" customWidth="1"/>
    <col min="11290" max="11291" width="23.85546875" style="215" bestFit="1" customWidth="1"/>
    <col min="11292" max="11293" width="24.85546875" style="215" bestFit="1" customWidth="1"/>
    <col min="11294" max="11298" width="11.42578125" style="215" bestFit="1" customWidth="1"/>
    <col min="11299" max="11303" width="12.42578125" style="215" bestFit="1" customWidth="1"/>
    <col min="11304" max="11304" width="12" style="215" bestFit="1" customWidth="1"/>
    <col min="11305" max="11520" width="8.85546875" style="215"/>
    <col min="11521" max="11521" width="7.42578125" style="215" customWidth="1"/>
    <col min="11522" max="11522" width="41" style="215" customWidth="1"/>
    <col min="11523" max="11523" width="16" style="215" customWidth="1"/>
    <col min="11524" max="11524" width="16.140625" style="215" bestFit="1" customWidth="1"/>
    <col min="11525" max="11525" width="11.85546875" style="215" customWidth="1"/>
    <col min="11526" max="11526" width="12.42578125" style="215" bestFit="1" customWidth="1"/>
    <col min="11527" max="11528" width="13" style="215" bestFit="1" customWidth="1"/>
    <col min="11529" max="11529" width="12.5703125" style="215" bestFit="1" customWidth="1"/>
    <col min="11530" max="11530" width="13.42578125" style="215" bestFit="1" customWidth="1"/>
    <col min="11531" max="11531" width="13.5703125" style="215" bestFit="1" customWidth="1"/>
    <col min="11532" max="11532" width="14.5703125" style="215" bestFit="1" customWidth="1"/>
    <col min="11533" max="11533" width="14.85546875" style="215" bestFit="1" customWidth="1"/>
    <col min="11534" max="11534" width="17.140625" style="215" customWidth="1"/>
    <col min="11535" max="11535" width="16.42578125" style="215" bestFit="1" customWidth="1"/>
    <col min="11536" max="11536" width="17.140625" style="215" bestFit="1" customWidth="1"/>
    <col min="11537" max="11537" width="24.42578125" style="215" customWidth="1"/>
    <col min="11538" max="11538" width="18.42578125" style="215" bestFit="1" customWidth="1"/>
    <col min="11539" max="11539" width="18.5703125" style="215" bestFit="1" customWidth="1"/>
    <col min="11540" max="11540" width="19.42578125" style="215" bestFit="1" customWidth="1"/>
    <col min="11541" max="11541" width="20.42578125" style="215" bestFit="1" customWidth="1"/>
    <col min="11542" max="11542" width="20.85546875" style="215" bestFit="1" customWidth="1"/>
    <col min="11543" max="11543" width="21.42578125" style="215" bestFit="1" customWidth="1"/>
    <col min="11544" max="11545" width="22.42578125" style="215" bestFit="1" customWidth="1"/>
    <col min="11546" max="11547" width="23.85546875" style="215" bestFit="1" customWidth="1"/>
    <col min="11548" max="11549" width="24.85546875" style="215" bestFit="1" customWidth="1"/>
    <col min="11550" max="11554" width="11.42578125" style="215" bestFit="1" customWidth="1"/>
    <col min="11555" max="11559" width="12.42578125" style="215" bestFit="1" customWidth="1"/>
    <col min="11560" max="11560" width="12" style="215" bestFit="1" customWidth="1"/>
    <col min="11561" max="11776" width="8.85546875" style="215"/>
    <col min="11777" max="11777" width="7.42578125" style="215" customWidth="1"/>
    <col min="11778" max="11778" width="41" style="215" customWidth="1"/>
    <col min="11779" max="11779" width="16" style="215" customWidth="1"/>
    <col min="11780" max="11780" width="16.140625" style="215" bestFit="1" customWidth="1"/>
    <col min="11781" max="11781" width="11.85546875" style="215" customWidth="1"/>
    <col min="11782" max="11782" width="12.42578125" style="215" bestFit="1" customWidth="1"/>
    <col min="11783" max="11784" width="13" style="215" bestFit="1" customWidth="1"/>
    <col min="11785" max="11785" width="12.5703125" style="215" bestFit="1" customWidth="1"/>
    <col min="11786" max="11786" width="13.42578125" style="215" bestFit="1" customWidth="1"/>
    <col min="11787" max="11787" width="13.5703125" style="215" bestFit="1" customWidth="1"/>
    <col min="11788" max="11788" width="14.5703125" style="215" bestFit="1" customWidth="1"/>
    <col min="11789" max="11789" width="14.85546875" style="215" bestFit="1" customWidth="1"/>
    <col min="11790" max="11790" width="17.140625" style="215" customWidth="1"/>
    <col min="11791" max="11791" width="16.42578125" style="215" bestFit="1" customWidth="1"/>
    <col min="11792" max="11792" width="17.140625" style="215" bestFit="1" customWidth="1"/>
    <col min="11793" max="11793" width="24.42578125" style="215" customWidth="1"/>
    <col min="11794" max="11794" width="18.42578125" style="215" bestFit="1" customWidth="1"/>
    <col min="11795" max="11795" width="18.5703125" style="215" bestFit="1" customWidth="1"/>
    <col min="11796" max="11796" width="19.42578125" style="215" bestFit="1" customWidth="1"/>
    <col min="11797" max="11797" width="20.42578125" style="215" bestFit="1" customWidth="1"/>
    <col min="11798" max="11798" width="20.85546875" style="215" bestFit="1" customWidth="1"/>
    <col min="11799" max="11799" width="21.42578125" style="215" bestFit="1" customWidth="1"/>
    <col min="11800" max="11801" width="22.42578125" style="215" bestFit="1" customWidth="1"/>
    <col min="11802" max="11803" width="23.85546875" style="215" bestFit="1" customWidth="1"/>
    <col min="11804" max="11805" width="24.85546875" style="215" bestFit="1" customWidth="1"/>
    <col min="11806" max="11810" width="11.42578125" style="215" bestFit="1" customWidth="1"/>
    <col min="11811" max="11815" width="12.42578125" style="215" bestFit="1" customWidth="1"/>
    <col min="11816" max="11816" width="12" style="215" bestFit="1" customWidth="1"/>
    <col min="11817" max="12032" width="8.85546875" style="215"/>
    <col min="12033" max="12033" width="7.42578125" style="215" customWidth="1"/>
    <col min="12034" max="12034" width="41" style="215" customWidth="1"/>
    <col min="12035" max="12035" width="16" style="215" customWidth="1"/>
    <col min="12036" max="12036" width="16.140625" style="215" bestFit="1" customWidth="1"/>
    <col min="12037" max="12037" width="11.85546875" style="215" customWidth="1"/>
    <col min="12038" max="12038" width="12.42578125" style="215" bestFit="1" customWidth="1"/>
    <col min="12039" max="12040" width="13" style="215" bestFit="1" customWidth="1"/>
    <col min="12041" max="12041" width="12.5703125" style="215" bestFit="1" customWidth="1"/>
    <col min="12042" max="12042" width="13.42578125" style="215" bestFit="1" customWidth="1"/>
    <col min="12043" max="12043" width="13.5703125" style="215" bestFit="1" customWidth="1"/>
    <col min="12044" max="12044" width="14.5703125" style="215" bestFit="1" customWidth="1"/>
    <col min="12045" max="12045" width="14.85546875" style="215" bestFit="1" customWidth="1"/>
    <col min="12046" max="12046" width="17.140625" style="215" customWidth="1"/>
    <col min="12047" max="12047" width="16.42578125" style="215" bestFit="1" customWidth="1"/>
    <col min="12048" max="12048" width="17.140625" style="215" bestFit="1" customWidth="1"/>
    <col min="12049" max="12049" width="24.42578125" style="215" customWidth="1"/>
    <col min="12050" max="12050" width="18.42578125" style="215" bestFit="1" customWidth="1"/>
    <col min="12051" max="12051" width="18.5703125" style="215" bestFit="1" customWidth="1"/>
    <col min="12052" max="12052" width="19.42578125" style="215" bestFit="1" customWidth="1"/>
    <col min="12053" max="12053" width="20.42578125" style="215" bestFit="1" customWidth="1"/>
    <col min="12054" max="12054" width="20.85546875" style="215" bestFit="1" customWidth="1"/>
    <col min="12055" max="12055" width="21.42578125" style="215" bestFit="1" customWidth="1"/>
    <col min="12056" max="12057" width="22.42578125" style="215" bestFit="1" customWidth="1"/>
    <col min="12058" max="12059" width="23.85546875" style="215" bestFit="1" customWidth="1"/>
    <col min="12060" max="12061" width="24.85546875" style="215" bestFit="1" customWidth="1"/>
    <col min="12062" max="12066" width="11.42578125" style="215" bestFit="1" customWidth="1"/>
    <col min="12067" max="12071" width="12.42578125" style="215" bestFit="1" customWidth="1"/>
    <col min="12072" max="12072" width="12" style="215" bestFit="1" customWidth="1"/>
    <col min="12073" max="12288" width="8.85546875" style="215"/>
    <col min="12289" max="12289" width="7.42578125" style="215" customWidth="1"/>
    <col min="12290" max="12290" width="41" style="215" customWidth="1"/>
    <col min="12291" max="12291" width="16" style="215" customWidth="1"/>
    <col min="12292" max="12292" width="16.140625" style="215" bestFit="1" customWidth="1"/>
    <col min="12293" max="12293" width="11.85546875" style="215" customWidth="1"/>
    <col min="12294" max="12294" width="12.42578125" style="215" bestFit="1" customWidth="1"/>
    <col min="12295" max="12296" width="13" style="215" bestFit="1" customWidth="1"/>
    <col min="12297" max="12297" width="12.5703125" style="215" bestFit="1" customWidth="1"/>
    <col min="12298" max="12298" width="13.42578125" style="215" bestFit="1" customWidth="1"/>
    <col min="12299" max="12299" width="13.5703125" style="215" bestFit="1" customWidth="1"/>
    <col min="12300" max="12300" width="14.5703125" style="215" bestFit="1" customWidth="1"/>
    <col min="12301" max="12301" width="14.85546875" style="215" bestFit="1" customWidth="1"/>
    <col min="12302" max="12302" width="17.140625" style="215" customWidth="1"/>
    <col min="12303" max="12303" width="16.42578125" style="215" bestFit="1" customWidth="1"/>
    <col min="12304" max="12304" width="17.140625" style="215" bestFit="1" customWidth="1"/>
    <col min="12305" max="12305" width="24.42578125" style="215" customWidth="1"/>
    <col min="12306" max="12306" width="18.42578125" style="215" bestFit="1" customWidth="1"/>
    <col min="12307" max="12307" width="18.5703125" style="215" bestFit="1" customWidth="1"/>
    <col min="12308" max="12308" width="19.42578125" style="215" bestFit="1" customWidth="1"/>
    <col min="12309" max="12309" width="20.42578125" style="215" bestFit="1" customWidth="1"/>
    <col min="12310" max="12310" width="20.85546875" style="215" bestFit="1" customWidth="1"/>
    <col min="12311" max="12311" width="21.42578125" style="215" bestFit="1" customWidth="1"/>
    <col min="12312" max="12313" width="22.42578125" style="215" bestFit="1" customWidth="1"/>
    <col min="12314" max="12315" width="23.85546875" style="215" bestFit="1" customWidth="1"/>
    <col min="12316" max="12317" width="24.85546875" style="215" bestFit="1" customWidth="1"/>
    <col min="12318" max="12322" width="11.42578125" style="215" bestFit="1" customWidth="1"/>
    <col min="12323" max="12327" width="12.42578125" style="215" bestFit="1" customWidth="1"/>
    <col min="12328" max="12328" width="12" style="215" bestFit="1" customWidth="1"/>
    <col min="12329" max="12544" width="8.85546875" style="215"/>
    <col min="12545" max="12545" width="7.42578125" style="215" customWidth="1"/>
    <col min="12546" max="12546" width="41" style="215" customWidth="1"/>
    <col min="12547" max="12547" width="16" style="215" customWidth="1"/>
    <col min="12548" max="12548" width="16.140625" style="215" bestFit="1" customWidth="1"/>
    <col min="12549" max="12549" width="11.85546875" style="215" customWidth="1"/>
    <col min="12550" max="12550" width="12.42578125" style="215" bestFit="1" customWidth="1"/>
    <col min="12551" max="12552" width="13" style="215" bestFit="1" customWidth="1"/>
    <col min="12553" max="12553" width="12.5703125" style="215" bestFit="1" customWidth="1"/>
    <col min="12554" max="12554" width="13.42578125" style="215" bestFit="1" customWidth="1"/>
    <col min="12555" max="12555" width="13.5703125" style="215" bestFit="1" customWidth="1"/>
    <col min="12556" max="12556" width="14.5703125" style="215" bestFit="1" customWidth="1"/>
    <col min="12557" max="12557" width="14.85546875" style="215" bestFit="1" customWidth="1"/>
    <col min="12558" max="12558" width="17.140625" style="215" customWidth="1"/>
    <col min="12559" max="12559" width="16.42578125" style="215" bestFit="1" customWidth="1"/>
    <col min="12560" max="12560" width="17.140625" style="215" bestFit="1" customWidth="1"/>
    <col min="12561" max="12561" width="24.42578125" style="215" customWidth="1"/>
    <col min="12562" max="12562" width="18.42578125" style="215" bestFit="1" customWidth="1"/>
    <col min="12563" max="12563" width="18.5703125" style="215" bestFit="1" customWidth="1"/>
    <col min="12564" max="12564" width="19.42578125" style="215" bestFit="1" customWidth="1"/>
    <col min="12565" max="12565" width="20.42578125" style="215" bestFit="1" customWidth="1"/>
    <col min="12566" max="12566" width="20.85546875" style="215" bestFit="1" customWidth="1"/>
    <col min="12567" max="12567" width="21.42578125" style="215" bestFit="1" customWidth="1"/>
    <col min="12568" max="12569" width="22.42578125" style="215" bestFit="1" customWidth="1"/>
    <col min="12570" max="12571" width="23.85546875" style="215" bestFit="1" customWidth="1"/>
    <col min="12572" max="12573" width="24.85546875" style="215" bestFit="1" customWidth="1"/>
    <col min="12574" max="12578" width="11.42578125" style="215" bestFit="1" customWidth="1"/>
    <col min="12579" max="12583" width="12.42578125" style="215" bestFit="1" customWidth="1"/>
    <col min="12584" max="12584" width="12" style="215" bestFit="1" customWidth="1"/>
    <col min="12585" max="12800" width="8.85546875" style="215"/>
    <col min="12801" max="12801" width="7.42578125" style="215" customWidth="1"/>
    <col min="12802" max="12802" width="41" style="215" customWidth="1"/>
    <col min="12803" max="12803" width="16" style="215" customWidth="1"/>
    <col min="12804" max="12804" width="16.140625" style="215" bestFit="1" customWidth="1"/>
    <col min="12805" max="12805" width="11.85546875" style="215" customWidth="1"/>
    <col min="12806" max="12806" width="12.42578125" style="215" bestFit="1" customWidth="1"/>
    <col min="12807" max="12808" width="13" style="215" bestFit="1" customWidth="1"/>
    <col min="12809" max="12809" width="12.5703125" style="215" bestFit="1" customWidth="1"/>
    <col min="12810" max="12810" width="13.42578125" style="215" bestFit="1" customWidth="1"/>
    <col min="12811" max="12811" width="13.5703125" style="215" bestFit="1" customWidth="1"/>
    <col min="12812" max="12812" width="14.5703125" style="215" bestFit="1" customWidth="1"/>
    <col min="12813" max="12813" width="14.85546875" style="215" bestFit="1" customWidth="1"/>
    <col min="12814" max="12814" width="17.140625" style="215" customWidth="1"/>
    <col min="12815" max="12815" width="16.42578125" style="215" bestFit="1" customWidth="1"/>
    <col min="12816" max="12816" width="17.140625" style="215" bestFit="1" customWidth="1"/>
    <col min="12817" max="12817" width="24.42578125" style="215" customWidth="1"/>
    <col min="12818" max="12818" width="18.42578125" style="215" bestFit="1" customWidth="1"/>
    <col min="12819" max="12819" width="18.5703125" style="215" bestFit="1" customWidth="1"/>
    <col min="12820" max="12820" width="19.42578125" style="215" bestFit="1" customWidth="1"/>
    <col min="12821" max="12821" width="20.42578125" style="215" bestFit="1" customWidth="1"/>
    <col min="12822" max="12822" width="20.85546875" style="215" bestFit="1" customWidth="1"/>
    <col min="12823" max="12823" width="21.42578125" style="215" bestFit="1" customWidth="1"/>
    <col min="12824" max="12825" width="22.42578125" style="215" bestFit="1" customWidth="1"/>
    <col min="12826" max="12827" width="23.85546875" style="215" bestFit="1" customWidth="1"/>
    <col min="12828" max="12829" width="24.85546875" style="215" bestFit="1" customWidth="1"/>
    <col min="12830" max="12834" width="11.42578125" style="215" bestFit="1" customWidth="1"/>
    <col min="12835" max="12839" width="12.42578125" style="215" bestFit="1" customWidth="1"/>
    <col min="12840" max="12840" width="12" style="215" bestFit="1" customWidth="1"/>
    <col min="12841" max="13056" width="8.85546875" style="215"/>
    <col min="13057" max="13057" width="7.42578125" style="215" customWidth="1"/>
    <col min="13058" max="13058" width="41" style="215" customWidth="1"/>
    <col min="13059" max="13059" width="16" style="215" customWidth="1"/>
    <col min="13060" max="13060" width="16.140625" style="215" bestFit="1" customWidth="1"/>
    <col min="13061" max="13061" width="11.85546875" style="215" customWidth="1"/>
    <col min="13062" max="13062" width="12.42578125" style="215" bestFit="1" customWidth="1"/>
    <col min="13063" max="13064" width="13" style="215" bestFit="1" customWidth="1"/>
    <col min="13065" max="13065" width="12.5703125" style="215" bestFit="1" customWidth="1"/>
    <col min="13066" max="13066" width="13.42578125" style="215" bestFit="1" customWidth="1"/>
    <col min="13067" max="13067" width="13.5703125" style="215" bestFit="1" customWidth="1"/>
    <col min="13068" max="13068" width="14.5703125" style="215" bestFit="1" customWidth="1"/>
    <col min="13069" max="13069" width="14.85546875" style="215" bestFit="1" customWidth="1"/>
    <col min="13070" max="13070" width="17.140625" style="215" customWidth="1"/>
    <col min="13071" max="13071" width="16.42578125" style="215" bestFit="1" customWidth="1"/>
    <col min="13072" max="13072" width="17.140625" style="215" bestFit="1" customWidth="1"/>
    <col min="13073" max="13073" width="24.42578125" style="215" customWidth="1"/>
    <col min="13074" max="13074" width="18.42578125" style="215" bestFit="1" customWidth="1"/>
    <col min="13075" max="13075" width="18.5703125" style="215" bestFit="1" customWidth="1"/>
    <col min="13076" max="13076" width="19.42578125" style="215" bestFit="1" customWidth="1"/>
    <col min="13077" max="13077" width="20.42578125" style="215" bestFit="1" customWidth="1"/>
    <col min="13078" max="13078" width="20.85546875" style="215" bestFit="1" customWidth="1"/>
    <col min="13079" max="13079" width="21.42578125" style="215" bestFit="1" customWidth="1"/>
    <col min="13080" max="13081" width="22.42578125" style="215" bestFit="1" customWidth="1"/>
    <col min="13082" max="13083" width="23.85546875" style="215" bestFit="1" customWidth="1"/>
    <col min="13084" max="13085" width="24.85546875" style="215" bestFit="1" customWidth="1"/>
    <col min="13086" max="13090" width="11.42578125" style="215" bestFit="1" customWidth="1"/>
    <col min="13091" max="13095" width="12.42578125" style="215" bestFit="1" customWidth="1"/>
    <col min="13096" max="13096" width="12" style="215" bestFit="1" customWidth="1"/>
    <col min="13097" max="13312" width="8.85546875" style="215"/>
    <col min="13313" max="13313" width="7.42578125" style="215" customWidth="1"/>
    <col min="13314" max="13314" width="41" style="215" customWidth="1"/>
    <col min="13315" max="13315" width="16" style="215" customWidth="1"/>
    <col min="13316" max="13316" width="16.140625" style="215" bestFit="1" customWidth="1"/>
    <col min="13317" max="13317" width="11.85546875" style="215" customWidth="1"/>
    <col min="13318" max="13318" width="12.42578125" style="215" bestFit="1" customWidth="1"/>
    <col min="13319" max="13320" width="13" style="215" bestFit="1" customWidth="1"/>
    <col min="13321" max="13321" width="12.5703125" style="215" bestFit="1" customWidth="1"/>
    <col min="13322" max="13322" width="13.42578125" style="215" bestFit="1" customWidth="1"/>
    <col min="13323" max="13323" width="13.5703125" style="215" bestFit="1" customWidth="1"/>
    <col min="13324" max="13324" width="14.5703125" style="215" bestFit="1" customWidth="1"/>
    <col min="13325" max="13325" width="14.85546875" style="215" bestFit="1" customWidth="1"/>
    <col min="13326" max="13326" width="17.140625" style="215" customWidth="1"/>
    <col min="13327" max="13327" width="16.42578125" style="215" bestFit="1" customWidth="1"/>
    <col min="13328" max="13328" width="17.140625" style="215" bestFit="1" customWidth="1"/>
    <col min="13329" max="13329" width="24.42578125" style="215" customWidth="1"/>
    <col min="13330" max="13330" width="18.42578125" style="215" bestFit="1" customWidth="1"/>
    <col min="13331" max="13331" width="18.5703125" style="215" bestFit="1" customWidth="1"/>
    <col min="13332" max="13332" width="19.42578125" style="215" bestFit="1" customWidth="1"/>
    <col min="13333" max="13333" width="20.42578125" style="215" bestFit="1" customWidth="1"/>
    <col min="13334" max="13334" width="20.85546875" style="215" bestFit="1" customWidth="1"/>
    <col min="13335" max="13335" width="21.42578125" style="215" bestFit="1" customWidth="1"/>
    <col min="13336" max="13337" width="22.42578125" style="215" bestFit="1" customWidth="1"/>
    <col min="13338" max="13339" width="23.85546875" style="215" bestFit="1" customWidth="1"/>
    <col min="13340" max="13341" width="24.85546875" style="215" bestFit="1" customWidth="1"/>
    <col min="13342" max="13346" width="11.42578125" style="215" bestFit="1" customWidth="1"/>
    <col min="13347" max="13351" width="12.42578125" style="215" bestFit="1" customWidth="1"/>
    <col min="13352" max="13352" width="12" style="215" bestFit="1" customWidth="1"/>
    <col min="13353" max="13568" width="8.85546875" style="215"/>
    <col min="13569" max="13569" width="7.42578125" style="215" customWidth="1"/>
    <col min="13570" max="13570" width="41" style="215" customWidth="1"/>
    <col min="13571" max="13571" width="16" style="215" customWidth="1"/>
    <col min="13572" max="13572" width="16.140625" style="215" bestFit="1" customWidth="1"/>
    <col min="13573" max="13573" width="11.85546875" style="215" customWidth="1"/>
    <col min="13574" max="13574" width="12.42578125" style="215" bestFit="1" customWidth="1"/>
    <col min="13575" max="13576" width="13" style="215" bestFit="1" customWidth="1"/>
    <col min="13577" max="13577" width="12.5703125" style="215" bestFit="1" customWidth="1"/>
    <col min="13578" max="13578" width="13.42578125" style="215" bestFit="1" customWidth="1"/>
    <col min="13579" max="13579" width="13.5703125" style="215" bestFit="1" customWidth="1"/>
    <col min="13580" max="13580" width="14.5703125" style="215" bestFit="1" customWidth="1"/>
    <col min="13581" max="13581" width="14.85546875" style="215" bestFit="1" customWidth="1"/>
    <col min="13582" max="13582" width="17.140625" style="215" customWidth="1"/>
    <col min="13583" max="13583" width="16.42578125" style="215" bestFit="1" customWidth="1"/>
    <col min="13584" max="13584" width="17.140625" style="215" bestFit="1" customWidth="1"/>
    <col min="13585" max="13585" width="24.42578125" style="215" customWidth="1"/>
    <col min="13586" max="13586" width="18.42578125" style="215" bestFit="1" customWidth="1"/>
    <col min="13587" max="13587" width="18.5703125" style="215" bestFit="1" customWidth="1"/>
    <col min="13588" max="13588" width="19.42578125" style="215" bestFit="1" customWidth="1"/>
    <col min="13589" max="13589" width="20.42578125" style="215" bestFit="1" customWidth="1"/>
    <col min="13590" max="13590" width="20.85546875" style="215" bestFit="1" customWidth="1"/>
    <col min="13591" max="13591" width="21.42578125" style="215" bestFit="1" customWidth="1"/>
    <col min="13592" max="13593" width="22.42578125" style="215" bestFit="1" customWidth="1"/>
    <col min="13594" max="13595" width="23.85546875" style="215" bestFit="1" customWidth="1"/>
    <col min="13596" max="13597" width="24.85546875" style="215" bestFit="1" customWidth="1"/>
    <col min="13598" max="13602" width="11.42578125" style="215" bestFit="1" customWidth="1"/>
    <col min="13603" max="13607" width="12.42578125" style="215" bestFit="1" customWidth="1"/>
    <col min="13608" max="13608" width="12" style="215" bestFit="1" customWidth="1"/>
    <col min="13609" max="13824" width="8.85546875" style="215"/>
    <col min="13825" max="13825" width="7.42578125" style="215" customWidth="1"/>
    <col min="13826" max="13826" width="41" style="215" customWidth="1"/>
    <col min="13827" max="13827" width="16" style="215" customWidth="1"/>
    <col min="13828" max="13828" width="16.140625" style="215" bestFit="1" customWidth="1"/>
    <col min="13829" max="13829" width="11.85546875" style="215" customWidth="1"/>
    <col min="13830" max="13830" width="12.42578125" style="215" bestFit="1" customWidth="1"/>
    <col min="13831" max="13832" width="13" style="215" bestFit="1" customWidth="1"/>
    <col min="13833" max="13833" width="12.5703125" style="215" bestFit="1" customWidth="1"/>
    <col min="13834" max="13834" width="13.42578125" style="215" bestFit="1" customWidth="1"/>
    <col min="13835" max="13835" width="13.5703125" style="215" bestFit="1" customWidth="1"/>
    <col min="13836" max="13836" width="14.5703125" style="215" bestFit="1" customWidth="1"/>
    <col min="13837" max="13837" width="14.85546875" style="215" bestFit="1" customWidth="1"/>
    <col min="13838" max="13838" width="17.140625" style="215" customWidth="1"/>
    <col min="13839" max="13839" width="16.42578125" style="215" bestFit="1" customWidth="1"/>
    <col min="13840" max="13840" width="17.140625" style="215" bestFit="1" customWidth="1"/>
    <col min="13841" max="13841" width="24.42578125" style="215" customWidth="1"/>
    <col min="13842" max="13842" width="18.42578125" style="215" bestFit="1" customWidth="1"/>
    <col min="13843" max="13843" width="18.5703125" style="215" bestFit="1" customWidth="1"/>
    <col min="13844" max="13844" width="19.42578125" style="215" bestFit="1" customWidth="1"/>
    <col min="13845" max="13845" width="20.42578125" style="215" bestFit="1" customWidth="1"/>
    <col min="13846" max="13846" width="20.85546875" style="215" bestFit="1" customWidth="1"/>
    <col min="13847" max="13847" width="21.42578125" style="215" bestFit="1" customWidth="1"/>
    <col min="13848" max="13849" width="22.42578125" style="215" bestFit="1" customWidth="1"/>
    <col min="13850" max="13851" width="23.85546875" style="215" bestFit="1" customWidth="1"/>
    <col min="13852" max="13853" width="24.85546875" style="215" bestFit="1" customWidth="1"/>
    <col min="13854" max="13858" width="11.42578125" style="215" bestFit="1" customWidth="1"/>
    <col min="13859" max="13863" width="12.42578125" style="215" bestFit="1" customWidth="1"/>
    <col min="13864" max="13864" width="12" style="215" bestFit="1" customWidth="1"/>
    <col min="13865" max="14080" width="8.85546875" style="215"/>
    <col min="14081" max="14081" width="7.42578125" style="215" customWidth="1"/>
    <col min="14082" max="14082" width="41" style="215" customWidth="1"/>
    <col min="14083" max="14083" width="16" style="215" customWidth="1"/>
    <col min="14084" max="14084" width="16.140625" style="215" bestFit="1" customWidth="1"/>
    <col min="14085" max="14085" width="11.85546875" style="215" customWidth="1"/>
    <col min="14086" max="14086" width="12.42578125" style="215" bestFit="1" customWidth="1"/>
    <col min="14087" max="14088" width="13" style="215" bestFit="1" customWidth="1"/>
    <col min="14089" max="14089" width="12.5703125" style="215" bestFit="1" customWidth="1"/>
    <col min="14090" max="14090" width="13.42578125" style="215" bestFit="1" customWidth="1"/>
    <col min="14091" max="14091" width="13.5703125" style="215" bestFit="1" customWidth="1"/>
    <col min="14092" max="14092" width="14.5703125" style="215" bestFit="1" customWidth="1"/>
    <col min="14093" max="14093" width="14.85546875" style="215" bestFit="1" customWidth="1"/>
    <col min="14094" max="14094" width="17.140625" style="215" customWidth="1"/>
    <col min="14095" max="14095" width="16.42578125" style="215" bestFit="1" customWidth="1"/>
    <col min="14096" max="14096" width="17.140625" style="215" bestFit="1" customWidth="1"/>
    <col min="14097" max="14097" width="24.42578125" style="215" customWidth="1"/>
    <col min="14098" max="14098" width="18.42578125" style="215" bestFit="1" customWidth="1"/>
    <col min="14099" max="14099" width="18.5703125" style="215" bestFit="1" customWidth="1"/>
    <col min="14100" max="14100" width="19.42578125" style="215" bestFit="1" customWidth="1"/>
    <col min="14101" max="14101" width="20.42578125" style="215" bestFit="1" customWidth="1"/>
    <col min="14102" max="14102" width="20.85546875" style="215" bestFit="1" customWidth="1"/>
    <col min="14103" max="14103" width="21.42578125" style="215" bestFit="1" customWidth="1"/>
    <col min="14104" max="14105" width="22.42578125" style="215" bestFit="1" customWidth="1"/>
    <col min="14106" max="14107" width="23.85546875" style="215" bestFit="1" customWidth="1"/>
    <col min="14108" max="14109" width="24.85546875" style="215" bestFit="1" customWidth="1"/>
    <col min="14110" max="14114" width="11.42578125" style="215" bestFit="1" customWidth="1"/>
    <col min="14115" max="14119" width="12.42578125" style="215" bestFit="1" customWidth="1"/>
    <col min="14120" max="14120" width="12" style="215" bestFit="1" customWidth="1"/>
    <col min="14121" max="14336" width="8.85546875" style="215"/>
    <col min="14337" max="14337" width="7.42578125" style="215" customWidth="1"/>
    <col min="14338" max="14338" width="41" style="215" customWidth="1"/>
    <col min="14339" max="14339" width="16" style="215" customWidth="1"/>
    <col min="14340" max="14340" width="16.140625" style="215" bestFit="1" customWidth="1"/>
    <col min="14341" max="14341" width="11.85546875" style="215" customWidth="1"/>
    <col min="14342" max="14342" width="12.42578125" style="215" bestFit="1" customWidth="1"/>
    <col min="14343" max="14344" width="13" style="215" bestFit="1" customWidth="1"/>
    <col min="14345" max="14345" width="12.5703125" style="215" bestFit="1" customWidth="1"/>
    <col min="14346" max="14346" width="13.42578125" style="215" bestFit="1" customWidth="1"/>
    <col min="14347" max="14347" width="13.5703125" style="215" bestFit="1" customWidth="1"/>
    <col min="14348" max="14348" width="14.5703125" style="215" bestFit="1" customWidth="1"/>
    <col min="14349" max="14349" width="14.85546875" style="215" bestFit="1" customWidth="1"/>
    <col min="14350" max="14350" width="17.140625" style="215" customWidth="1"/>
    <col min="14351" max="14351" width="16.42578125" style="215" bestFit="1" customWidth="1"/>
    <col min="14352" max="14352" width="17.140625" style="215" bestFit="1" customWidth="1"/>
    <col min="14353" max="14353" width="24.42578125" style="215" customWidth="1"/>
    <col min="14354" max="14354" width="18.42578125" style="215" bestFit="1" customWidth="1"/>
    <col min="14355" max="14355" width="18.5703125" style="215" bestFit="1" customWidth="1"/>
    <col min="14356" max="14356" width="19.42578125" style="215" bestFit="1" customWidth="1"/>
    <col min="14357" max="14357" width="20.42578125" style="215" bestFit="1" customWidth="1"/>
    <col min="14358" max="14358" width="20.85546875" style="215" bestFit="1" customWidth="1"/>
    <col min="14359" max="14359" width="21.42578125" style="215" bestFit="1" customWidth="1"/>
    <col min="14360" max="14361" width="22.42578125" style="215" bestFit="1" customWidth="1"/>
    <col min="14362" max="14363" width="23.85546875" style="215" bestFit="1" customWidth="1"/>
    <col min="14364" max="14365" width="24.85546875" style="215" bestFit="1" customWidth="1"/>
    <col min="14366" max="14370" width="11.42578125" style="215" bestFit="1" customWidth="1"/>
    <col min="14371" max="14375" width="12.42578125" style="215" bestFit="1" customWidth="1"/>
    <col min="14376" max="14376" width="12" style="215" bestFit="1" customWidth="1"/>
    <col min="14377" max="14592" width="8.85546875" style="215"/>
    <col min="14593" max="14593" width="7.42578125" style="215" customWidth="1"/>
    <col min="14594" max="14594" width="41" style="215" customWidth="1"/>
    <col min="14595" max="14595" width="16" style="215" customWidth="1"/>
    <col min="14596" max="14596" width="16.140625" style="215" bestFit="1" customWidth="1"/>
    <col min="14597" max="14597" width="11.85546875" style="215" customWidth="1"/>
    <col min="14598" max="14598" width="12.42578125" style="215" bestFit="1" customWidth="1"/>
    <col min="14599" max="14600" width="13" style="215" bestFit="1" customWidth="1"/>
    <col min="14601" max="14601" width="12.5703125" style="215" bestFit="1" customWidth="1"/>
    <col min="14602" max="14602" width="13.42578125" style="215" bestFit="1" customWidth="1"/>
    <col min="14603" max="14603" width="13.5703125" style="215" bestFit="1" customWidth="1"/>
    <col min="14604" max="14604" width="14.5703125" style="215" bestFit="1" customWidth="1"/>
    <col min="14605" max="14605" width="14.85546875" style="215" bestFit="1" customWidth="1"/>
    <col min="14606" max="14606" width="17.140625" style="215" customWidth="1"/>
    <col min="14607" max="14607" width="16.42578125" style="215" bestFit="1" customWidth="1"/>
    <col min="14608" max="14608" width="17.140625" style="215" bestFit="1" customWidth="1"/>
    <col min="14609" max="14609" width="24.42578125" style="215" customWidth="1"/>
    <col min="14610" max="14610" width="18.42578125" style="215" bestFit="1" customWidth="1"/>
    <col min="14611" max="14611" width="18.5703125" style="215" bestFit="1" customWidth="1"/>
    <col min="14612" max="14612" width="19.42578125" style="215" bestFit="1" customWidth="1"/>
    <col min="14613" max="14613" width="20.42578125" style="215" bestFit="1" customWidth="1"/>
    <col min="14614" max="14614" width="20.85546875" style="215" bestFit="1" customWidth="1"/>
    <col min="14615" max="14615" width="21.42578125" style="215" bestFit="1" customWidth="1"/>
    <col min="14616" max="14617" width="22.42578125" style="215" bestFit="1" customWidth="1"/>
    <col min="14618" max="14619" width="23.85546875" style="215" bestFit="1" customWidth="1"/>
    <col min="14620" max="14621" width="24.85546875" style="215" bestFit="1" customWidth="1"/>
    <col min="14622" max="14626" width="11.42578125" style="215" bestFit="1" customWidth="1"/>
    <col min="14627" max="14631" width="12.42578125" style="215" bestFit="1" customWidth="1"/>
    <col min="14632" max="14632" width="12" style="215" bestFit="1" customWidth="1"/>
    <col min="14633" max="14848" width="8.85546875" style="215"/>
    <col min="14849" max="14849" width="7.42578125" style="215" customWidth="1"/>
    <col min="14850" max="14850" width="41" style="215" customWidth="1"/>
    <col min="14851" max="14851" width="16" style="215" customWidth="1"/>
    <col min="14852" max="14852" width="16.140625" style="215" bestFit="1" customWidth="1"/>
    <col min="14853" max="14853" width="11.85546875" style="215" customWidth="1"/>
    <col min="14854" max="14854" width="12.42578125" style="215" bestFit="1" customWidth="1"/>
    <col min="14855" max="14856" width="13" style="215" bestFit="1" customWidth="1"/>
    <col min="14857" max="14857" width="12.5703125" style="215" bestFit="1" customWidth="1"/>
    <col min="14858" max="14858" width="13.42578125" style="215" bestFit="1" customWidth="1"/>
    <col min="14859" max="14859" width="13.5703125" style="215" bestFit="1" customWidth="1"/>
    <col min="14860" max="14860" width="14.5703125" style="215" bestFit="1" customWidth="1"/>
    <col min="14861" max="14861" width="14.85546875" style="215" bestFit="1" customWidth="1"/>
    <col min="14862" max="14862" width="17.140625" style="215" customWidth="1"/>
    <col min="14863" max="14863" width="16.42578125" style="215" bestFit="1" customWidth="1"/>
    <col min="14864" max="14864" width="17.140625" style="215" bestFit="1" customWidth="1"/>
    <col min="14865" max="14865" width="24.42578125" style="215" customWidth="1"/>
    <col min="14866" max="14866" width="18.42578125" style="215" bestFit="1" customWidth="1"/>
    <col min="14867" max="14867" width="18.5703125" style="215" bestFit="1" customWidth="1"/>
    <col min="14868" max="14868" width="19.42578125" style="215" bestFit="1" customWidth="1"/>
    <col min="14869" max="14869" width="20.42578125" style="215" bestFit="1" customWidth="1"/>
    <col min="14870" max="14870" width="20.85546875" style="215" bestFit="1" customWidth="1"/>
    <col min="14871" max="14871" width="21.42578125" style="215" bestFit="1" customWidth="1"/>
    <col min="14872" max="14873" width="22.42578125" style="215" bestFit="1" customWidth="1"/>
    <col min="14874" max="14875" width="23.85546875" style="215" bestFit="1" customWidth="1"/>
    <col min="14876" max="14877" width="24.85546875" style="215" bestFit="1" customWidth="1"/>
    <col min="14878" max="14882" width="11.42578125" style="215" bestFit="1" customWidth="1"/>
    <col min="14883" max="14887" width="12.42578125" style="215" bestFit="1" customWidth="1"/>
    <col min="14888" max="14888" width="12" style="215" bestFit="1" customWidth="1"/>
    <col min="14889" max="15104" width="8.85546875" style="215"/>
    <col min="15105" max="15105" width="7.42578125" style="215" customWidth="1"/>
    <col min="15106" max="15106" width="41" style="215" customWidth="1"/>
    <col min="15107" max="15107" width="16" style="215" customWidth="1"/>
    <col min="15108" max="15108" width="16.140625" style="215" bestFit="1" customWidth="1"/>
    <col min="15109" max="15109" width="11.85546875" style="215" customWidth="1"/>
    <col min="15110" max="15110" width="12.42578125" style="215" bestFit="1" customWidth="1"/>
    <col min="15111" max="15112" width="13" style="215" bestFit="1" customWidth="1"/>
    <col min="15113" max="15113" width="12.5703125" style="215" bestFit="1" customWidth="1"/>
    <col min="15114" max="15114" width="13.42578125" style="215" bestFit="1" customWidth="1"/>
    <col min="15115" max="15115" width="13.5703125" style="215" bestFit="1" customWidth="1"/>
    <col min="15116" max="15116" width="14.5703125" style="215" bestFit="1" customWidth="1"/>
    <col min="15117" max="15117" width="14.85546875" style="215" bestFit="1" customWidth="1"/>
    <col min="15118" max="15118" width="17.140625" style="215" customWidth="1"/>
    <col min="15119" max="15119" width="16.42578125" style="215" bestFit="1" customWidth="1"/>
    <col min="15120" max="15120" width="17.140625" style="215" bestFit="1" customWidth="1"/>
    <col min="15121" max="15121" width="24.42578125" style="215" customWidth="1"/>
    <col min="15122" max="15122" width="18.42578125" style="215" bestFit="1" customWidth="1"/>
    <col min="15123" max="15123" width="18.5703125" style="215" bestFit="1" customWidth="1"/>
    <col min="15124" max="15124" width="19.42578125" style="215" bestFit="1" customWidth="1"/>
    <col min="15125" max="15125" width="20.42578125" style="215" bestFit="1" customWidth="1"/>
    <col min="15126" max="15126" width="20.85546875" style="215" bestFit="1" customWidth="1"/>
    <col min="15127" max="15127" width="21.42578125" style="215" bestFit="1" customWidth="1"/>
    <col min="15128" max="15129" width="22.42578125" style="215" bestFit="1" customWidth="1"/>
    <col min="15130" max="15131" width="23.85546875" style="215" bestFit="1" customWidth="1"/>
    <col min="15132" max="15133" width="24.85546875" style="215" bestFit="1" customWidth="1"/>
    <col min="15134" max="15138" width="11.42578125" style="215" bestFit="1" customWidth="1"/>
    <col min="15139" max="15143" width="12.42578125" style="215" bestFit="1" customWidth="1"/>
    <col min="15144" max="15144" width="12" style="215" bestFit="1" customWidth="1"/>
    <col min="15145" max="15360" width="8.85546875" style="215"/>
    <col min="15361" max="15361" width="7.42578125" style="215" customWidth="1"/>
    <col min="15362" max="15362" width="41" style="215" customWidth="1"/>
    <col min="15363" max="15363" width="16" style="215" customWidth="1"/>
    <col min="15364" max="15364" width="16.140625" style="215" bestFit="1" customWidth="1"/>
    <col min="15365" max="15365" width="11.85546875" style="215" customWidth="1"/>
    <col min="15366" max="15366" width="12.42578125" style="215" bestFit="1" customWidth="1"/>
    <col min="15367" max="15368" width="13" style="215" bestFit="1" customWidth="1"/>
    <col min="15369" max="15369" width="12.5703125" style="215" bestFit="1" customWidth="1"/>
    <col min="15370" max="15370" width="13.42578125" style="215" bestFit="1" customWidth="1"/>
    <col min="15371" max="15371" width="13.5703125" style="215" bestFit="1" customWidth="1"/>
    <col min="15372" max="15372" width="14.5703125" style="215" bestFit="1" customWidth="1"/>
    <col min="15373" max="15373" width="14.85546875" style="215" bestFit="1" customWidth="1"/>
    <col min="15374" max="15374" width="17.140625" style="215" customWidth="1"/>
    <col min="15375" max="15375" width="16.42578125" style="215" bestFit="1" customWidth="1"/>
    <col min="15376" max="15376" width="17.140625" style="215" bestFit="1" customWidth="1"/>
    <col min="15377" max="15377" width="24.42578125" style="215" customWidth="1"/>
    <col min="15378" max="15378" width="18.42578125" style="215" bestFit="1" customWidth="1"/>
    <col min="15379" max="15379" width="18.5703125" style="215" bestFit="1" customWidth="1"/>
    <col min="15380" max="15380" width="19.42578125" style="215" bestFit="1" customWidth="1"/>
    <col min="15381" max="15381" width="20.42578125" style="215" bestFit="1" customWidth="1"/>
    <col min="15382" max="15382" width="20.85546875" style="215" bestFit="1" customWidth="1"/>
    <col min="15383" max="15383" width="21.42578125" style="215" bestFit="1" customWidth="1"/>
    <col min="15384" max="15385" width="22.42578125" style="215" bestFit="1" customWidth="1"/>
    <col min="15386" max="15387" width="23.85546875" style="215" bestFit="1" customWidth="1"/>
    <col min="15388" max="15389" width="24.85546875" style="215" bestFit="1" customWidth="1"/>
    <col min="15390" max="15394" width="11.42578125" style="215" bestFit="1" customWidth="1"/>
    <col min="15395" max="15399" width="12.42578125" style="215" bestFit="1" customWidth="1"/>
    <col min="15400" max="15400" width="12" style="215" bestFit="1" customWidth="1"/>
    <col min="15401" max="15616" width="8.85546875" style="215"/>
    <col min="15617" max="15617" width="7.42578125" style="215" customWidth="1"/>
    <col min="15618" max="15618" width="41" style="215" customWidth="1"/>
    <col min="15619" max="15619" width="16" style="215" customWidth="1"/>
    <col min="15620" max="15620" width="16.140625" style="215" bestFit="1" customWidth="1"/>
    <col min="15621" max="15621" width="11.85546875" style="215" customWidth="1"/>
    <col min="15622" max="15622" width="12.42578125" style="215" bestFit="1" customWidth="1"/>
    <col min="15623" max="15624" width="13" style="215" bestFit="1" customWidth="1"/>
    <col min="15625" max="15625" width="12.5703125" style="215" bestFit="1" customWidth="1"/>
    <col min="15626" max="15626" width="13.42578125" style="215" bestFit="1" customWidth="1"/>
    <col min="15627" max="15627" width="13.5703125" style="215" bestFit="1" customWidth="1"/>
    <col min="15628" max="15628" width="14.5703125" style="215" bestFit="1" customWidth="1"/>
    <col min="15629" max="15629" width="14.85546875" style="215" bestFit="1" customWidth="1"/>
    <col min="15630" max="15630" width="17.140625" style="215" customWidth="1"/>
    <col min="15631" max="15631" width="16.42578125" style="215" bestFit="1" customWidth="1"/>
    <col min="15632" max="15632" width="17.140625" style="215" bestFit="1" customWidth="1"/>
    <col min="15633" max="15633" width="24.42578125" style="215" customWidth="1"/>
    <col min="15634" max="15634" width="18.42578125" style="215" bestFit="1" customWidth="1"/>
    <col min="15635" max="15635" width="18.5703125" style="215" bestFit="1" customWidth="1"/>
    <col min="15636" max="15636" width="19.42578125" style="215" bestFit="1" customWidth="1"/>
    <col min="15637" max="15637" width="20.42578125" style="215" bestFit="1" customWidth="1"/>
    <col min="15638" max="15638" width="20.85546875" style="215" bestFit="1" customWidth="1"/>
    <col min="15639" max="15639" width="21.42578125" style="215" bestFit="1" customWidth="1"/>
    <col min="15640" max="15641" width="22.42578125" style="215" bestFit="1" customWidth="1"/>
    <col min="15642" max="15643" width="23.85546875" style="215" bestFit="1" customWidth="1"/>
    <col min="15644" max="15645" width="24.85546875" style="215" bestFit="1" customWidth="1"/>
    <col min="15646" max="15650" width="11.42578125" style="215" bestFit="1" customWidth="1"/>
    <col min="15651" max="15655" width="12.42578125" style="215" bestFit="1" customWidth="1"/>
    <col min="15656" max="15656" width="12" style="215" bestFit="1" customWidth="1"/>
    <col min="15657" max="15872" width="8.85546875" style="215"/>
    <col min="15873" max="15873" width="7.42578125" style="215" customWidth="1"/>
    <col min="15874" max="15874" width="41" style="215" customWidth="1"/>
    <col min="15875" max="15875" width="16" style="215" customWidth="1"/>
    <col min="15876" max="15876" width="16.140625" style="215" bestFit="1" customWidth="1"/>
    <col min="15877" max="15877" width="11.85546875" style="215" customWidth="1"/>
    <col min="15878" max="15878" width="12.42578125" style="215" bestFit="1" customWidth="1"/>
    <col min="15879" max="15880" width="13" style="215" bestFit="1" customWidth="1"/>
    <col min="15881" max="15881" width="12.5703125" style="215" bestFit="1" customWidth="1"/>
    <col min="15882" max="15882" width="13.42578125" style="215" bestFit="1" customWidth="1"/>
    <col min="15883" max="15883" width="13.5703125" style="215" bestFit="1" customWidth="1"/>
    <col min="15884" max="15884" width="14.5703125" style="215" bestFit="1" customWidth="1"/>
    <col min="15885" max="15885" width="14.85546875" style="215" bestFit="1" customWidth="1"/>
    <col min="15886" max="15886" width="17.140625" style="215" customWidth="1"/>
    <col min="15887" max="15887" width="16.42578125" style="215" bestFit="1" customWidth="1"/>
    <col min="15888" max="15888" width="17.140625" style="215" bestFit="1" customWidth="1"/>
    <col min="15889" max="15889" width="24.42578125" style="215" customWidth="1"/>
    <col min="15890" max="15890" width="18.42578125" style="215" bestFit="1" customWidth="1"/>
    <col min="15891" max="15891" width="18.5703125" style="215" bestFit="1" customWidth="1"/>
    <col min="15892" max="15892" width="19.42578125" style="215" bestFit="1" customWidth="1"/>
    <col min="15893" max="15893" width="20.42578125" style="215" bestFit="1" customWidth="1"/>
    <col min="15894" max="15894" width="20.85546875" style="215" bestFit="1" customWidth="1"/>
    <col min="15895" max="15895" width="21.42578125" style="215" bestFit="1" customWidth="1"/>
    <col min="15896" max="15897" width="22.42578125" style="215" bestFit="1" customWidth="1"/>
    <col min="15898" max="15899" width="23.85546875" style="215" bestFit="1" customWidth="1"/>
    <col min="15900" max="15901" width="24.85546875" style="215" bestFit="1" customWidth="1"/>
    <col min="15902" max="15906" width="11.42578125" style="215" bestFit="1" customWidth="1"/>
    <col min="15907" max="15911" width="12.42578125" style="215" bestFit="1" customWidth="1"/>
    <col min="15912" max="15912" width="12" style="215" bestFit="1" customWidth="1"/>
    <col min="15913" max="16128" width="8.85546875" style="215"/>
    <col min="16129" max="16129" width="7.42578125" style="215" customWidth="1"/>
    <col min="16130" max="16130" width="41" style="215" customWidth="1"/>
    <col min="16131" max="16131" width="16" style="215" customWidth="1"/>
    <col min="16132" max="16132" width="16.140625" style="215" bestFit="1" customWidth="1"/>
    <col min="16133" max="16133" width="11.85546875" style="215" customWidth="1"/>
    <col min="16134" max="16134" width="12.42578125" style="215" bestFit="1" customWidth="1"/>
    <col min="16135" max="16136" width="13" style="215" bestFit="1" customWidth="1"/>
    <col min="16137" max="16137" width="12.5703125" style="215" bestFit="1" customWidth="1"/>
    <col min="16138" max="16138" width="13.42578125" style="215" bestFit="1" customWidth="1"/>
    <col min="16139" max="16139" width="13.5703125" style="215" bestFit="1" customWidth="1"/>
    <col min="16140" max="16140" width="14.5703125" style="215" bestFit="1" customWidth="1"/>
    <col min="16141" max="16141" width="14.85546875" style="215" bestFit="1" customWidth="1"/>
    <col min="16142" max="16142" width="17.140625" style="215" customWidth="1"/>
    <col min="16143" max="16143" width="16.42578125" style="215" bestFit="1" customWidth="1"/>
    <col min="16144" max="16144" width="17.140625" style="215" bestFit="1" customWidth="1"/>
    <col min="16145" max="16145" width="24.42578125" style="215" customWidth="1"/>
    <col min="16146" max="16146" width="18.42578125" style="215" bestFit="1" customWidth="1"/>
    <col min="16147" max="16147" width="18.5703125" style="215" bestFit="1" customWidth="1"/>
    <col min="16148" max="16148" width="19.42578125" style="215" bestFit="1" customWidth="1"/>
    <col min="16149" max="16149" width="20.42578125" style="215" bestFit="1" customWidth="1"/>
    <col min="16150" max="16150" width="20.85546875" style="215" bestFit="1" customWidth="1"/>
    <col min="16151" max="16151" width="21.42578125" style="215" bestFit="1" customWidth="1"/>
    <col min="16152" max="16153" width="22.42578125" style="215" bestFit="1" customWidth="1"/>
    <col min="16154" max="16155" width="23.85546875" style="215" bestFit="1" customWidth="1"/>
    <col min="16156" max="16157" width="24.85546875" style="215" bestFit="1" customWidth="1"/>
    <col min="16158" max="16162" width="11.42578125" style="215" bestFit="1" customWidth="1"/>
    <col min="16163" max="16167" width="12.42578125" style="215" bestFit="1" customWidth="1"/>
    <col min="16168" max="16168" width="12" style="215" bestFit="1" customWidth="1"/>
    <col min="16169" max="16384" width="8.85546875" style="215"/>
  </cols>
  <sheetData>
    <row r="1" spans="2:14" ht="12.95">
      <c r="B1" s="212" t="s">
        <v>293</v>
      </c>
      <c r="C1" s="213"/>
      <c r="D1" s="214"/>
    </row>
    <row r="2" spans="2:14" ht="12.95">
      <c r="B2" s="379" t="s">
        <v>476</v>
      </c>
      <c r="C2" s="378"/>
      <c r="D2" s="381">
        <f>EnergyDemand!F86</f>
        <v>788.04000000000008</v>
      </c>
    </row>
    <row r="3" spans="2:14">
      <c r="B3" s="379" t="s">
        <v>108</v>
      </c>
      <c r="C3" s="217"/>
      <c r="D3" s="380">
        <f>EnergyDemand!D49</f>
        <v>3273.0852300000006</v>
      </c>
    </row>
    <row r="4" spans="2:14" ht="12.95">
      <c r="B4" s="379" t="s">
        <v>477</v>
      </c>
      <c r="C4" s="217"/>
      <c r="D4" s="382">
        <f>SUM(D2:D3)</f>
        <v>4061.1252300000006</v>
      </c>
    </row>
    <row r="5" spans="2:14">
      <c r="B5" s="216"/>
      <c r="C5" s="217"/>
      <c r="D5" s="218"/>
    </row>
    <row r="6" spans="2:14">
      <c r="B6" s="216" t="s">
        <v>478</v>
      </c>
      <c r="C6" s="217"/>
      <c r="D6" s="219">
        <f>1000*D4</f>
        <v>4061125.2300000004</v>
      </c>
      <c r="F6" s="220"/>
    </row>
    <row r="7" spans="2:14">
      <c r="B7" s="216" t="s">
        <v>479</v>
      </c>
      <c r="C7" s="217"/>
      <c r="D7" s="386">
        <f>D2*500</f>
        <v>394020.00000000006</v>
      </c>
      <c r="F7" s="220"/>
    </row>
    <row r="8" spans="2:14">
      <c r="B8" s="216"/>
      <c r="C8" s="217"/>
      <c r="D8" s="218"/>
    </row>
    <row r="9" spans="2:14">
      <c r="B9" s="216" t="s">
        <v>480</v>
      </c>
      <c r="C9" s="217" t="s">
        <v>301</v>
      </c>
      <c r="D9" s="221">
        <f>D6*0.1</f>
        <v>406112.52300000004</v>
      </c>
      <c r="F9" s="220"/>
    </row>
    <row r="10" spans="2:14">
      <c r="B10" s="216" t="s">
        <v>481</v>
      </c>
      <c r="C10" s="217" t="s">
        <v>304</v>
      </c>
      <c r="D10" s="223">
        <v>0</v>
      </c>
      <c r="F10" s="222"/>
    </row>
    <row r="11" spans="2:14">
      <c r="B11" s="216"/>
      <c r="C11" s="217"/>
      <c r="D11" s="218"/>
      <c r="F11" s="224"/>
    </row>
    <row r="12" spans="2:14">
      <c r="B12" s="216" t="s">
        <v>482</v>
      </c>
      <c r="C12" s="225" t="s">
        <v>307</v>
      </c>
      <c r="D12" s="226">
        <v>0.2</v>
      </c>
      <c r="E12" s="215" t="s">
        <v>483</v>
      </c>
    </row>
    <row r="13" spans="2:14">
      <c r="B13" s="216" t="s">
        <v>310</v>
      </c>
      <c r="C13" s="225" t="s">
        <v>307</v>
      </c>
      <c r="D13" s="227">
        <v>0.44</v>
      </c>
      <c r="E13" s="215" t="s">
        <v>308</v>
      </c>
    </row>
    <row r="14" spans="2:14">
      <c r="B14" s="216" t="s">
        <v>484</v>
      </c>
      <c r="C14" s="225"/>
      <c r="D14" s="383">
        <f>5*365</f>
        <v>1825</v>
      </c>
    </row>
    <row r="15" spans="2:14" ht="17.25" customHeight="1">
      <c r="B15" s="216" t="s">
        <v>485</v>
      </c>
      <c r="C15" s="225" t="s">
        <v>313</v>
      </c>
      <c r="D15" s="228">
        <f>12*365</f>
        <v>4380</v>
      </c>
      <c r="N15" s="229"/>
    </row>
    <row r="16" spans="2:14">
      <c r="B16" s="216"/>
      <c r="C16" s="217"/>
      <c r="D16" s="218"/>
      <c r="N16" s="229"/>
    </row>
    <row r="17" spans="2:27">
      <c r="B17" s="216" t="s">
        <v>486</v>
      </c>
      <c r="C17" s="217" t="s">
        <v>304</v>
      </c>
      <c r="D17" s="230">
        <v>0.08</v>
      </c>
      <c r="E17" s="215" t="str">
        <f>'ProgrBiogas Electricity Fin Anl'!E16</f>
        <v>Assumption based on Trimble et. al/ World Bank 2016</v>
      </c>
    </row>
    <row r="18" spans="2:27" s="232" customFormat="1" ht="12.95">
      <c r="B18" s="216" t="s">
        <v>487</v>
      </c>
      <c r="C18" s="217" t="s">
        <v>304</v>
      </c>
      <c r="D18" s="231">
        <v>0.23</v>
      </c>
      <c r="E18" s="232" t="str">
        <f>'ProgrBiogas Electricity Fin Anl'!E17</f>
        <v>Assumption based on IEA 2020 for Countries with Diesel based power systems</v>
      </c>
      <c r="O18" s="233"/>
    </row>
    <row r="19" spans="2:27">
      <c r="B19" s="216" t="s">
        <v>488</v>
      </c>
      <c r="C19" s="217"/>
      <c r="D19" s="385">
        <f>D2*(1-D12)*D14</f>
        <v>1150538.4000000001</v>
      </c>
      <c r="U19" s="234"/>
      <c r="V19" s="234"/>
      <c r="Z19" s="235"/>
    </row>
    <row r="20" spans="2:27">
      <c r="B20" s="216" t="s">
        <v>489</v>
      </c>
      <c r="C20" s="217"/>
      <c r="D20" s="384">
        <f>D3*(1-D12)*D15</f>
        <v>11468890.645920003</v>
      </c>
      <c r="Q20" s="236"/>
      <c r="U20" s="234"/>
      <c r="V20" s="234"/>
      <c r="Z20" s="235"/>
    </row>
    <row r="21" spans="2:27">
      <c r="B21" s="216"/>
      <c r="C21" s="217"/>
      <c r="D21" s="218"/>
      <c r="F21" s="222"/>
      <c r="U21" s="234"/>
      <c r="V21" s="234"/>
      <c r="Z21" s="235"/>
    </row>
    <row r="22" spans="2:27">
      <c r="B22" s="216" t="s">
        <v>320</v>
      </c>
      <c r="C22" s="225" t="s">
        <v>490</v>
      </c>
      <c r="D22" s="237">
        <f>'SenBiogas Electricity Fin Sen'!G8/1000</f>
        <v>0.67400000000000004</v>
      </c>
      <c r="E22" s="215" t="str">
        <f>'ProgrBiogas Electricity Fin Anl'!E21</f>
        <v>Average based on IFI Dataset</v>
      </c>
      <c r="U22" s="234"/>
      <c r="V22" s="234"/>
      <c r="Z22" s="235"/>
    </row>
    <row r="23" spans="2:27">
      <c r="B23" s="216" t="s">
        <v>324</v>
      </c>
      <c r="C23" s="225" t="s">
        <v>325</v>
      </c>
      <c r="D23" s="867">
        <v>7.4099999999999999E-2</v>
      </c>
      <c r="E23" s="868" t="s">
        <v>326</v>
      </c>
      <c r="U23" s="234"/>
      <c r="V23" s="234"/>
      <c r="Z23" s="235"/>
    </row>
    <row r="24" spans="2:27">
      <c r="B24" s="216" t="s">
        <v>329</v>
      </c>
      <c r="C24" s="225" t="s">
        <v>307</v>
      </c>
      <c r="D24" s="238">
        <v>0</v>
      </c>
      <c r="U24" s="234"/>
      <c r="V24" s="234"/>
      <c r="Z24" s="235"/>
    </row>
    <row r="25" spans="2:27">
      <c r="B25" s="216"/>
      <c r="C25" s="217"/>
      <c r="D25" s="218"/>
      <c r="U25" s="234"/>
      <c r="V25" s="234"/>
      <c r="Z25" s="235"/>
    </row>
    <row r="26" spans="2:27">
      <c r="B26" s="216"/>
      <c r="C26" s="217"/>
      <c r="D26" s="218"/>
      <c r="F26" s="728"/>
      <c r="U26" s="234"/>
      <c r="V26" s="234"/>
      <c r="Z26" s="235"/>
    </row>
    <row r="27" spans="2:27">
      <c r="B27" s="239" t="s">
        <v>492</v>
      </c>
      <c r="C27" s="240" t="s">
        <v>331</v>
      </c>
      <c r="D27" s="241">
        <f>D6+D7</f>
        <v>4455145.2300000004</v>
      </c>
      <c r="F27" s="728"/>
      <c r="U27" s="234"/>
      <c r="V27" s="234"/>
      <c r="Z27" s="235"/>
    </row>
    <row r="28" spans="2:27">
      <c r="U28" s="234"/>
      <c r="V28" s="234"/>
      <c r="Z28" s="235"/>
    </row>
    <row r="29" spans="2:27">
      <c r="B29" s="242" t="s">
        <v>332</v>
      </c>
      <c r="C29" s="243">
        <v>1</v>
      </c>
      <c r="D29" s="244" t="s">
        <v>333</v>
      </c>
      <c r="M29" s="234"/>
      <c r="U29" s="234"/>
      <c r="V29" s="234"/>
      <c r="Z29" s="235"/>
    </row>
    <row r="30" spans="2:27">
      <c r="B30" s="245" t="s">
        <v>334</v>
      </c>
      <c r="C30" s="246">
        <v>1000</v>
      </c>
      <c r="D30" s="247" t="s">
        <v>335</v>
      </c>
      <c r="O30" s="234"/>
      <c r="P30" s="234"/>
      <c r="V30" s="234"/>
      <c r="W30" s="234"/>
      <c r="AA30" s="235"/>
    </row>
    <row r="31" spans="2:27">
      <c r="B31" s="245" t="s">
        <v>336</v>
      </c>
      <c r="C31" s="248">
        <v>3.5999999999999999E-3</v>
      </c>
      <c r="D31" s="247" t="s">
        <v>337</v>
      </c>
      <c r="O31" s="234"/>
      <c r="P31" s="234"/>
      <c r="V31" s="234"/>
      <c r="W31" s="234"/>
      <c r="AA31" s="235"/>
    </row>
    <row r="33" spans="2:4" ht="12.95">
      <c r="B33" s="887" t="s">
        <v>338</v>
      </c>
      <c r="C33" s="888"/>
      <c r="D33" s="889"/>
    </row>
    <row r="34" spans="2:4">
      <c r="B34" s="249" t="s">
        <v>339</v>
      </c>
      <c r="C34" s="250" t="s">
        <v>307</v>
      </c>
      <c r="D34" s="226">
        <v>1</v>
      </c>
    </row>
    <row r="35" spans="2:4">
      <c r="B35" s="245" t="s">
        <v>340</v>
      </c>
      <c r="C35" s="247" t="s">
        <v>307</v>
      </c>
      <c r="D35" s="238">
        <v>0</v>
      </c>
    </row>
    <row r="36" spans="2:4">
      <c r="B36" s="251" t="s">
        <v>341</v>
      </c>
      <c r="C36" s="252" t="s">
        <v>342</v>
      </c>
      <c r="D36" s="253">
        <v>25</v>
      </c>
    </row>
    <row r="37" spans="2:4">
      <c r="B37" s="245" t="s">
        <v>343</v>
      </c>
      <c r="C37" s="247" t="s">
        <v>342</v>
      </c>
      <c r="D37" s="254">
        <v>25</v>
      </c>
    </row>
    <row r="38" spans="2:4">
      <c r="B38" s="251" t="s">
        <v>344</v>
      </c>
      <c r="C38" s="252" t="s">
        <v>307</v>
      </c>
      <c r="D38" s="227">
        <v>0.14699999999999999</v>
      </c>
    </row>
    <row r="39" spans="2:4">
      <c r="B39" s="251" t="s">
        <v>493</v>
      </c>
      <c r="C39" s="252" t="s">
        <v>307</v>
      </c>
      <c r="D39" s="227">
        <f>0.0075</f>
        <v>7.4999999999999997E-3</v>
      </c>
    </row>
    <row r="40" spans="2:4">
      <c r="B40" s="251" t="s">
        <v>346</v>
      </c>
      <c r="C40" s="252" t="s">
        <v>307</v>
      </c>
      <c r="D40" s="227">
        <v>0.12</v>
      </c>
    </row>
    <row r="41" spans="2:4">
      <c r="B41" s="245" t="s">
        <v>104</v>
      </c>
      <c r="C41" s="247" t="s">
        <v>307</v>
      </c>
      <c r="D41" s="377">
        <v>0.2</v>
      </c>
    </row>
    <row r="43" spans="2:4" ht="13.5" thickBot="1">
      <c r="B43" s="890" t="s">
        <v>350</v>
      </c>
      <c r="C43" s="890"/>
      <c r="D43" s="890"/>
    </row>
    <row r="44" spans="2:4" ht="12.95" thickTop="1">
      <c r="B44" s="217" t="s">
        <v>351</v>
      </c>
      <c r="C44" s="255">
        <f>D99</f>
        <v>178205.80920000002</v>
      </c>
      <c r="D44" s="225" t="s">
        <v>331</v>
      </c>
    </row>
    <row r="45" spans="2:4">
      <c r="B45" s="217" t="s">
        <v>352</v>
      </c>
      <c r="C45" s="255">
        <f>SUM(D82:AB82)</f>
        <v>10152813.075000001</v>
      </c>
      <c r="D45" s="225" t="s">
        <v>331</v>
      </c>
    </row>
    <row r="46" spans="2:4" ht="13.5" thickBot="1">
      <c r="B46" s="256" t="s">
        <v>97</v>
      </c>
      <c r="C46" s="257">
        <f>C45+C44</f>
        <v>10331018.884200001</v>
      </c>
      <c r="D46" s="258" t="s">
        <v>331</v>
      </c>
    </row>
    <row r="47" spans="2:4">
      <c r="B47" s="217" t="s">
        <v>353</v>
      </c>
      <c r="C47" s="255">
        <f>D123</f>
        <v>9341298.6611790545</v>
      </c>
      <c r="D47" s="225" t="s">
        <v>331</v>
      </c>
    </row>
    <row r="48" spans="2:4">
      <c r="B48" s="217" t="s">
        <v>354</v>
      </c>
      <c r="C48" s="255" t="e">
        <f>D129</f>
        <v>#REF!</v>
      </c>
      <c r="D48" s="225" t="s">
        <v>331</v>
      </c>
    </row>
    <row r="49" spans="2:4" ht="13.5" thickBot="1">
      <c r="B49" s="256" t="s">
        <v>355</v>
      </c>
      <c r="C49" s="257" t="e">
        <f>C46-C47-C48</f>
        <v>#REF!</v>
      </c>
      <c r="D49" s="258" t="s">
        <v>331</v>
      </c>
    </row>
    <row r="51" spans="2:4" ht="13.5" thickBot="1">
      <c r="B51" s="890" t="s">
        <v>356</v>
      </c>
      <c r="C51" s="890"/>
      <c r="D51" s="890"/>
    </row>
    <row r="52" spans="2:4" ht="12.95" thickTop="1">
      <c r="B52" s="217" t="s">
        <v>351</v>
      </c>
      <c r="C52" s="504">
        <f>C44/D79</f>
        <v>6.0930279408681252E-4</v>
      </c>
      <c r="D52" s="225" t="s">
        <v>331</v>
      </c>
    </row>
    <row r="53" spans="2:4">
      <c r="B53" s="217" t="s">
        <v>352</v>
      </c>
      <c r="C53" s="255">
        <f>C45/D79</f>
        <v>3.4713443979236015E-2</v>
      </c>
      <c r="D53" s="225" t="s">
        <v>331</v>
      </c>
    </row>
    <row r="54" spans="2:4" ht="13.5" thickBot="1">
      <c r="B54" s="256" t="s">
        <v>97</v>
      </c>
      <c r="C54" s="257">
        <f>C53+C52</f>
        <v>3.5322746773322825E-2</v>
      </c>
      <c r="D54" s="258" t="s">
        <v>331</v>
      </c>
    </row>
    <row r="55" spans="2:4">
      <c r="B55" s="217" t="s">
        <v>353</v>
      </c>
      <c r="C55" s="255">
        <f>C47/D79</f>
        <v>3.1938798180636406E-2</v>
      </c>
      <c r="D55" s="225" t="s">
        <v>331</v>
      </c>
    </row>
    <row r="56" spans="2:4">
      <c r="B56" s="217" t="s">
        <v>354</v>
      </c>
      <c r="C56" s="255" t="e">
        <f>C48/D79</f>
        <v>#REF!</v>
      </c>
      <c r="D56" s="225" t="s">
        <v>331</v>
      </c>
    </row>
    <row r="57" spans="2:4" ht="13.5" thickBot="1">
      <c r="B57" s="256" t="s">
        <v>355</v>
      </c>
      <c r="C57" s="257" t="e">
        <f>C54-C55-C56</f>
        <v>#REF!</v>
      </c>
      <c r="D57" s="258" t="s">
        <v>331</v>
      </c>
    </row>
    <row r="59" spans="2:4" ht="12.95">
      <c r="B59" s="887" t="s">
        <v>357</v>
      </c>
      <c r="C59" s="888"/>
      <c r="D59" s="889"/>
    </row>
    <row r="60" spans="2:4" ht="12.95">
      <c r="B60" s="242" t="s">
        <v>358</v>
      </c>
      <c r="C60" s="259" t="s">
        <v>359</v>
      </c>
      <c r="D60" s="231">
        <f>SUM(D109:AM109)/SUM(D108:AM108)</f>
        <v>4.8061201819363596E-2</v>
      </c>
    </row>
    <row r="61" spans="2:4" ht="12.95">
      <c r="B61" s="242" t="s">
        <v>360</v>
      </c>
      <c r="C61" s="259" t="s">
        <v>359</v>
      </c>
      <c r="D61" s="231" t="e">
        <f>SUM(D110:AD110)/SUM(D108:AD108)</f>
        <v>#REF!</v>
      </c>
    </row>
    <row r="62" spans="2:4" ht="12.95">
      <c r="B62" s="242" t="s">
        <v>358</v>
      </c>
      <c r="C62" s="259" t="s">
        <v>361</v>
      </c>
      <c r="D62" s="260">
        <f>D60/$C$31</f>
        <v>13.35033383871211</v>
      </c>
    </row>
    <row r="63" spans="2:4" ht="12.95">
      <c r="B63" s="242" t="s">
        <v>362</v>
      </c>
      <c r="C63" s="259" t="s">
        <v>361</v>
      </c>
      <c r="D63" s="260" t="e">
        <f>D61/C31</f>
        <v>#REF!</v>
      </c>
    </row>
    <row r="65" spans="1:39" ht="13.5" thickBot="1">
      <c r="B65" s="261" t="s">
        <v>363</v>
      </c>
      <c r="C65" s="262" t="s">
        <v>364</v>
      </c>
      <c r="D65" s="261"/>
    </row>
    <row r="66" spans="1:39" ht="12.95" thickTop="1">
      <c r="B66" s="263" t="s">
        <v>365</v>
      </c>
      <c r="C66" s="225" t="s">
        <v>331</v>
      </c>
      <c r="D66" s="264">
        <f>(D17-D60)*SUM(D78:AB78)</f>
        <v>9341298.6611790545</v>
      </c>
    </row>
    <row r="67" spans="1:39">
      <c r="B67" s="263" t="s">
        <v>366</v>
      </c>
      <c r="C67" s="225" t="s">
        <v>331</v>
      </c>
      <c r="D67" s="264">
        <f>(D18-D60)*SUM(D78:AB78)</f>
        <v>53212542.383379072</v>
      </c>
    </row>
    <row r="68" spans="1:39">
      <c r="B68" s="263" t="s">
        <v>367</v>
      </c>
      <c r="C68" s="225" t="s">
        <v>368</v>
      </c>
      <c r="D68" s="265">
        <f>D22*SUM(D78:AB78)</f>
        <v>197128121.7917521</v>
      </c>
    </row>
    <row r="69" spans="1:39">
      <c r="B69" s="263" t="s">
        <v>369</v>
      </c>
      <c r="C69" s="225" t="s">
        <v>368</v>
      </c>
      <c r="D69" s="265" t="e">
        <f>-D118</f>
        <v>#REF!</v>
      </c>
    </row>
    <row r="71" spans="1:39">
      <c r="B71" s="217" t="s">
        <v>370</v>
      </c>
      <c r="C71" s="225" t="s">
        <v>371</v>
      </c>
      <c r="D71" s="265">
        <f>SUM(D78:AB78)</f>
        <v>292474958.14800012</v>
      </c>
    </row>
    <row r="72" spans="1:39">
      <c r="B72" s="217" t="s">
        <v>372</v>
      </c>
      <c r="C72" s="266" t="s">
        <v>373</v>
      </c>
      <c r="D72" s="267" t="e">
        <f>D118</f>
        <v>#REF!</v>
      </c>
    </row>
    <row r="75" spans="1:39" ht="12.95">
      <c r="B75" s="268" t="s">
        <v>67</v>
      </c>
      <c r="C75" s="269"/>
      <c r="D75" s="270" t="s">
        <v>374</v>
      </c>
      <c r="E75" s="270" t="s">
        <v>375</v>
      </c>
      <c r="F75" s="270" t="s">
        <v>376</v>
      </c>
      <c r="G75" s="270" t="s">
        <v>377</v>
      </c>
      <c r="H75" s="270" t="s">
        <v>378</v>
      </c>
      <c r="I75" s="270" t="s">
        <v>379</v>
      </c>
      <c r="J75" s="270" t="s">
        <v>380</v>
      </c>
      <c r="K75" s="270" t="s">
        <v>381</v>
      </c>
      <c r="L75" s="270" t="s">
        <v>382</v>
      </c>
      <c r="M75" s="270" t="s">
        <v>383</v>
      </c>
      <c r="N75" s="270" t="s">
        <v>384</v>
      </c>
      <c r="O75" s="270" t="s">
        <v>385</v>
      </c>
      <c r="P75" s="270" t="s">
        <v>386</v>
      </c>
      <c r="Q75" s="270" t="s">
        <v>387</v>
      </c>
      <c r="R75" s="270" t="s">
        <v>388</v>
      </c>
      <c r="S75" s="270" t="s">
        <v>389</v>
      </c>
      <c r="T75" s="270" t="s">
        <v>390</v>
      </c>
      <c r="U75" s="270" t="s">
        <v>391</v>
      </c>
      <c r="V75" s="270" t="s">
        <v>392</v>
      </c>
      <c r="W75" s="270" t="s">
        <v>393</v>
      </c>
      <c r="X75" s="270" t="s">
        <v>394</v>
      </c>
      <c r="Y75" s="270" t="s">
        <v>395</v>
      </c>
      <c r="Z75" s="270" t="s">
        <v>396</v>
      </c>
      <c r="AA75" s="270" t="s">
        <v>397</v>
      </c>
      <c r="AB75" s="270" t="s">
        <v>398</v>
      </c>
      <c r="AC75" s="270" t="s">
        <v>399</v>
      </c>
      <c r="AD75" s="270" t="s">
        <v>400</v>
      </c>
      <c r="AE75" s="270" t="s">
        <v>401</v>
      </c>
      <c r="AF75" s="270" t="s">
        <v>402</v>
      </c>
      <c r="AG75" s="270" t="s">
        <v>403</v>
      </c>
      <c r="AH75" s="270" t="s">
        <v>404</v>
      </c>
      <c r="AI75" s="270" t="s">
        <v>405</v>
      </c>
      <c r="AJ75" s="270" t="s">
        <v>406</v>
      </c>
      <c r="AK75" s="270" t="s">
        <v>407</v>
      </c>
      <c r="AL75" s="270" t="s">
        <v>408</v>
      </c>
      <c r="AM75" s="270" t="s">
        <v>409</v>
      </c>
    </row>
    <row r="76" spans="1:39">
      <c r="B76" s="271" t="s">
        <v>410</v>
      </c>
      <c r="C76" s="272"/>
      <c r="D76" s="273">
        <v>0</v>
      </c>
      <c r="E76" s="273">
        <v>1</v>
      </c>
      <c r="F76" s="273">
        <v>2</v>
      </c>
      <c r="G76" s="273">
        <v>3</v>
      </c>
      <c r="H76" s="273">
        <v>4</v>
      </c>
      <c r="I76" s="273">
        <v>5</v>
      </c>
      <c r="J76" s="273">
        <v>6</v>
      </c>
      <c r="K76" s="273">
        <v>7</v>
      </c>
      <c r="L76" s="273">
        <v>8</v>
      </c>
      <c r="M76" s="273">
        <v>9</v>
      </c>
      <c r="N76" s="273">
        <v>10</v>
      </c>
      <c r="O76" s="273">
        <v>11</v>
      </c>
      <c r="P76" s="273">
        <v>12</v>
      </c>
      <c r="Q76" s="273">
        <v>13</v>
      </c>
      <c r="R76" s="273">
        <v>14</v>
      </c>
      <c r="S76" s="273">
        <v>15</v>
      </c>
      <c r="T76" s="273">
        <v>16</v>
      </c>
      <c r="U76" s="273">
        <v>17</v>
      </c>
      <c r="V76" s="273">
        <v>18</v>
      </c>
      <c r="W76" s="273">
        <v>19</v>
      </c>
      <c r="X76" s="273">
        <v>20</v>
      </c>
      <c r="Y76" s="273">
        <v>21</v>
      </c>
      <c r="Z76" s="273">
        <v>22</v>
      </c>
      <c r="AA76" s="273">
        <v>23</v>
      </c>
      <c r="AB76" s="273">
        <v>24</v>
      </c>
      <c r="AC76" s="273">
        <v>25</v>
      </c>
      <c r="AD76" s="273">
        <v>26</v>
      </c>
      <c r="AE76" s="273">
        <v>27</v>
      </c>
      <c r="AF76" s="273">
        <v>28</v>
      </c>
      <c r="AG76" s="273">
        <v>29</v>
      </c>
      <c r="AH76" s="273">
        <v>30</v>
      </c>
      <c r="AI76" s="273">
        <v>31</v>
      </c>
      <c r="AJ76" s="273">
        <v>32</v>
      </c>
      <c r="AK76" s="273">
        <v>33</v>
      </c>
      <c r="AL76" s="273">
        <v>34</v>
      </c>
      <c r="AM76" s="274">
        <v>35</v>
      </c>
    </row>
    <row r="77" spans="1:39">
      <c r="B77" s="232"/>
      <c r="C77" s="275"/>
      <c r="D77" s="275"/>
    </row>
    <row r="78" spans="1:39">
      <c r="B78" s="276" t="s">
        <v>411</v>
      </c>
      <c r="C78" s="259" t="s">
        <v>412</v>
      </c>
      <c r="D78" s="277">
        <f>+D19+D20</f>
        <v>12619429.045920003</v>
      </c>
      <c r="E78" s="246">
        <f t="shared" ref="E78:AB78" si="0">$D$78</f>
        <v>12619429.045920003</v>
      </c>
      <c r="F78" s="246">
        <f t="shared" si="0"/>
        <v>12619429.045920003</v>
      </c>
      <c r="G78" s="246">
        <f t="shared" si="0"/>
        <v>12619429.045920003</v>
      </c>
      <c r="H78" s="246">
        <f t="shared" si="0"/>
        <v>12619429.045920003</v>
      </c>
      <c r="I78" s="246">
        <f>$D$20</f>
        <v>11468890.645920003</v>
      </c>
      <c r="J78" s="246">
        <f t="shared" ref="J78:AB78" si="1">$D$20</f>
        <v>11468890.645920003</v>
      </c>
      <c r="K78" s="246">
        <f t="shared" si="1"/>
        <v>11468890.645920003</v>
      </c>
      <c r="L78" s="246">
        <f t="shared" si="1"/>
        <v>11468890.645920003</v>
      </c>
      <c r="M78" s="246">
        <f t="shared" si="1"/>
        <v>11468890.645920003</v>
      </c>
      <c r="N78" s="246">
        <f t="shared" si="1"/>
        <v>11468890.645920003</v>
      </c>
      <c r="O78" s="246">
        <f t="shared" si="1"/>
        <v>11468890.645920003</v>
      </c>
      <c r="P78" s="246">
        <f t="shared" si="1"/>
        <v>11468890.645920003</v>
      </c>
      <c r="Q78" s="246">
        <f t="shared" si="1"/>
        <v>11468890.645920003</v>
      </c>
      <c r="R78" s="246">
        <f t="shared" si="1"/>
        <v>11468890.645920003</v>
      </c>
      <c r="S78" s="246">
        <f t="shared" si="1"/>
        <v>11468890.645920003</v>
      </c>
      <c r="T78" s="246">
        <f t="shared" si="1"/>
        <v>11468890.645920003</v>
      </c>
      <c r="U78" s="246">
        <f t="shared" si="1"/>
        <v>11468890.645920003</v>
      </c>
      <c r="V78" s="246">
        <f t="shared" si="1"/>
        <v>11468890.645920003</v>
      </c>
      <c r="W78" s="246">
        <f t="shared" si="1"/>
        <v>11468890.645920003</v>
      </c>
      <c r="X78" s="246">
        <f t="shared" si="1"/>
        <v>11468890.645920003</v>
      </c>
      <c r="Y78" s="246">
        <f t="shared" si="1"/>
        <v>11468890.645920003</v>
      </c>
      <c r="Z78" s="246">
        <f t="shared" si="1"/>
        <v>11468890.645920003</v>
      </c>
      <c r="AA78" s="246">
        <f t="shared" si="1"/>
        <v>11468890.645920003</v>
      </c>
      <c r="AB78" s="246">
        <f t="shared" si="1"/>
        <v>11468890.645920003</v>
      </c>
      <c r="AC78" s="246"/>
      <c r="AD78" s="246"/>
      <c r="AE78" s="246">
        <f>IF(AE76&lt;=$D$37,AD78*(1-'SenSolarPV Financial Analys'!$D$24),0)</f>
        <v>0</v>
      </c>
      <c r="AF78" s="246">
        <f>IF(AF76&lt;=$D$37,AE78*(1-'SenSolarPV Financial Analys'!$D$24),0)</f>
        <v>0</v>
      </c>
      <c r="AG78" s="246">
        <f>IF(AG76&lt;=$D$37,AF78*(1-'SenSolarPV Financial Analys'!$D$24),0)</f>
        <v>0</v>
      </c>
      <c r="AH78" s="246">
        <f>IF(AH76&lt;=$D$37,AG78*(1-'SenSolarPV Financial Analys'!$D$24),0)</f>
        <v>0</v>
      </c>
      <c r="AI78" s="246">
        <f>IF(AI76&lt;=$D$37,AH78*(1-'SenSolarPV Financial Analys'!$D$24),0)</f>
        <v>0</v>
      </c>
      <c r="AJ78" s="246">
        <f>IF(AJ76&lt;=$D$37,AI78*(1-'SenSolarPV Financial Analys'!$D$24),0)</f>
        <v>0</v>
      </c>
      <c r="AK78" s="246">
        <f>IF(AK76&lt;=$D$37,AJ78*(1-'SenSolarPV Financial Analys'!$D$24),0)</f>
        <v>0</v>
      </c>
      <c r="AL78" s="246">
        <f>IF(AL76&lt;=$D$37,AK78*(1-'SenSolarPV Financial Analys'!$D$24),0)</f>
        <v>0</v>
      </c>
      <c r="AM78" s="278">
        <f>IF(AM76&lt;=$D$37,AL78*(1-'SenSolarPV Financial Analys'!$D$24),0)</f>
        <v>0</v>
      </c>
    </row>
    <row r="79" spans="1:39" s="281" customFormat="1">
      <c r="A79" s="215"/>
      <c r="B79" s="279" t="s">
        <v>413</v>
      </c>
      <c r="C79" s="259" t="s">
        <v>371</v>
      </c>
      <c r="D79" s="278">
        <f>SUM(D78:AB78)</f>
        <v>292474958.14800012</v>
      </c>
      <c r="E79" s="280"/>
      <c r="F79" s="280"/>
      <c r="G79" s="280"/>
      <c r="H79" s="280"/>
      <c r="I79" s="280"/>
      <c r="J79" s="280"/>
      <c r="K79" s="280"/>
      <c r="L79" s="280"/>
      <c r="M79" s="280"/>
      <c r="N79" s="280"/>
      <c r="O79" s="280"/>
      <c r="P79" s="280"/>
      <c r="Q79" s="280"/>
      <c r="R79" s="280"/>
      <c r="S79" s="280"/>
      <c r="T79" s="280"/>
      <c r="U79" s="280"/>
      <c r="V79" s="280"/>
      <c r="W79" s="280"/>
      <c r="X79" s="280"/>
      <c r="Y79" s="280"/>
      <c r="Z79" s="280"/>
      <c r="AA79" s="280"/>
      <c r="AB79" s="280"/>
      <c r="AC79" s="280"/>
      <c r="AD79" s="280"/>
      <c r="AE79" s="280"/>
      <c r="AF79" s="280"/>
      <c r="AG79" s="280"/>
      <c r="AH79" s="280"/>
      <c r="AI79" s="280"/>
      <c r="AJ79" s="280"/>
      <c r="AK79" s="280"/>
      <c r="AL79" s="280"/>
      <c r="AM79" s="280"/>
    </row>
    <row r="80" spans="1:39">
      <c r="B80" s="232"/>
      <c r="C80" s="275"/>
      <c r="D80" s="282"/>
      <c r="E80" s="282"/>
      <c r="F80" s="282"/>
      <c r="G80" s="282"/>
      <c r="H80" s="282"/>
      <c r="I80" s="282"/>
      <c r="J80" s="282"/>
      <c r="K80" s="282"/>
      <c r="L80" s="282"/>
      <c r="M80" s="282"/>
      <c r="N80" s="282"/>
      <c r="O80" s="282"/>
      <c r="P80" s="282"/>
      <c r="Q80" s="282"/>
      <c r="R80" s="282"/>
      <c r="S80" s="282"/>
      <c r="T80" s="282"/>
      <c r="U80" s="282"/>
      <c r="V80" s="282"/>
      <c r="W80" s="282"/>
      <c r="X80" s="282"/>
      <c r="Y80" s="282"/>
      <c r="Z80" s="282"/>
      <c r="AA80" s="282"/>
      <c r="AB80" s="282"/>
      <c r="AC80" s="282"/>
      <c r="AD80" s="282"/>
      <c r="AE80" s="282"/>
      <c r="AF80" s="282"/>
      <c r="AG80" s="282"/>
      <c r="AH80" s="282"/>
      <c r="AI80" s="282"/>
      <c r="AJ80" s="282"/>
      <c r="AK80" s="282"/>
      <c r="AL80" s="282"/>
      <c r="AM80" s="282"/>
    </row>
    <row r="81" spans="2:39" ht="12.95">
      <c r="B81" s="283" t="s">
        <v>414</v>
      </c>
      <c r="C81" s="284" t="s">
        <v>364</v>
      </c>
      <c r="D81" s="275"/>
      <c r="E81" s="285"/>
      <c r="F81" s="285"/>
      <c r="G81" s="285"/>
      <c r="H81" s="285"/>
      <c r="I81" s="285"/>
      <c r="J81" s="285"/>
      <c r="K81" s="285"/>
      <c r="L81" s="285"/>
      <c r="M81" s="285"/>
      <c r="N81" s="285"/>
      <c r="O81" s="285"/>
      <c r="P81" s="285"/>
      <c r="Q81" s="285"/>
      <c r="R81" s="285"/>
      <c r="S81" s="285"/>
      <c r="T81" s="285"/>
      <c r="U81" s="285"/>
      <c r="V81" s="285"/>
      <c r="W81" s="285"/>
      <c r="X81" s="285"/>
      <c r="Y81" s="285"/>
      <c r="Z81" s="285"/>
      <c r="AA81" s="285"/>
      <c r="AB81" s="285"/>
      <c r="AC81" s="285"/>
      <c r="AD81" s="285"/>
      <c r="AE81" s="285"/>
      <c r="AF81" s="285"/>
      <c r="AG81" s="285"/>
      <c r="AH81" s="285"/>
      <c r="AI81" s="285"/>
      <c r="AJ81" s="285"/>
      <c r="AK81" s="285"/>
      <c r="AL81" s="285"/>
      <c r="AM81" s="285"/>
    </row>
    <row r="82" spans="2:39">
      <c r="B82" s="286" t="s">
        <v>494</v>
      </c>
      <c r="C82" s="287" t="s">
        <v>417</v>
      </c>
      <c r="D82" s="288">
        <f>D9</f>
        <v>406112.52300000004</v>
      </c>
      <c r="E82" s="289">
        <f t="shared" ref="E82:AB82" si="2">$D$82</f>
        <v>406112.52300000004</v>
      </c>
      <c r="F82" s="289">
        <f t="shared" si="2"/>
        <v>406112.52300000004</v>
      </c>
      <c r="G82" s="289">
        <f t="shared" si="2"/>
        <v>406112.52300000004</v>
      </c>
      <c r="H82" s="289">
        <f t="shared" si="2"/>
        <v>406112.52300000004</v>
      </c>
      <c r="I82" s="289">
        <f t="shared" si="2"/>
        <v>406112.52300000004</v>
      </c>
      <c r="J82" s="289">
        <f t="shared" si="2"/>
        <v>406112.52300000004</v>
      </c>
      <c r="K82" s="289">
        <f t="shared" si="2"/>
        <v>406112.52300000004</v>
      </c>
      <c r="L82" s="289">
        <f t="shared" si="2"/>
        <v>406112.52300000004</v>
      </c>
      <c r="M82" s="289">
        <f t="shared" si="2"/>
        <v>406112.52300000004</v>
      </c>
      <c r="N82" s="289">
        <f t="shared" si="2"/>
        <v>406112.52300000004</v>
      </c>
      <c r="O82" s="289">
        <f t="shared" si="2"/>
        <v>406112.52300000004</v>
      </c>
      <c r="P82" s="289">
        <f t="shared" si="2"/>
        <v>406112.52300000004</v>
      </c>
      <c r="Q82" s="289">
        <f t="shared" si="2"/>
        <v>406112.52300000004</v>
      </c>
      <c r="R82" s="289">
        <f t="shared" si="2"/>
        <v>406112.52300000004</v>
      </c>
      <c r="S82" s="289">
        <f t="shared" si="2"/>
        <v>406112.52300000004</v>
      </c>
      <c r="T82" s="289">
        <f t="shared" si="2"/>
        <v>406112.52300000004</v>
      </c>
      <c r="U82" s="289">
        <f t="shared" si="2"/>
        <v>406112.52300000004</v>
      </c>
      <c r="V82" s="289">
        <f t="shared" si="2"/>
        <v>406112.52300000004</v>
      </c>
      <c r="W82" s="289">
        <f t="shared" si="2"/>
        <v>406112.52300000004</v>
      </c>
      <c r="X82" s="289">
        <f t="shared" si="2"/>
        <v>406112.52300000004</v>
      </c>
      <c r="Y82" s="289">
        <f t="shared" si="2"/>
        <v>406112.52300000004</v>
      </c>
      <c r="Z82" s="289">
        <f t="shared" si="2"/>
        <v>406112.52300000004</v>
      </c>
      <c r="AA82" s="289">
        <f t="shared" si="2"/>
        <v>406112.52300000004</v>
      </c>
      <c r="AB82" s="289">
        <f t="shared" si="2"/>
        <v>406112.52300000004</v>
      </c>
      <c r="AC82" s="289"/>
      <c r="AD82" s="289"/>
      <c r="AE82" s="289">
        <f>IF(AE76&lt;=$D$37,$D$9*$D$4*(1+#REF!)^(AE76-1),0)</f>
        <v>0</v>
      </c>
      <c r="AF82" s="289">
        <f>IF(AF76&lt;=$D$37,$D$9*$D$4*(1+#REF!)^(AF76-1),0)</f>
        <v>0</v>
      </c>
      <c r="AG82" s="289">
        <f>IF(AG76&lt;=$D$37,$D$9*$D$4*(1+#REF!)^(AG76-1),0)</f>
        <v>0</v>
      </c>
      <c r="AH82" s="289">
        <f>IF(AH76&lt;=$D$37,$D$9*$D$4*(1+#REF!)^(AH76-1),0)</f>
        <v>0</v>
      </c>
      <c r="AI82" s="289">
        <f>IF(AI76&lt;=$D$37,$D$9*$D$4*(1+#REF!)^(AI76-1),0)</f>
        <v>0</v>
      </c>
      <c r="AJ82" s="289">
        <f>IF(AJ76&lt;=$D$37,$D$9*$D$4*(1+#REF!)^(AJ76-1),0)</f>
        <v>0</v>
      </c>
      <c r="AK82" s="289">
        <f>IF(AK76&lt;=$D$37,$D$9*$D$4*(1+#REF!)^(AK76-1),0)</f>
        <v>0</v>
      </c>
      <c r="AL82" s="289">
        <f>IF(AL76&lt;=$D$37,$D$9*$D$4*(1+#REF!)^(AL76-1),0)</f>
        <v>0</v>
      </c>
      <c r="AM82" s="290">
        <f>IF(AM76&lt;=$D$37,$D$9*$D$4*(1+#REF!)^(AM76-1),0)</f>
        <v>0</v>
      </c>
    </row>
    <row r="83" spans="2:39">
      <c r="B83" s="294" t="s">
        <v>419</v>
      </c>
      <c r="C83" s="295" t="s">
        <v>417</v>
      </c>
      <c r="D83" s="296">
        <f>0</f>
        <v>0</v>
      </c>
      <c r="E83" s="297">
        <f>0</f>
        <v>0</v>
      </c>
      <c r="F83" s="297">
        <f>0</f>
        <v>0</v>
      </c>
      <c r="G83" s="297">
        <f>0</f>
        <v>0</v>
      </c>
      <c r="H83" s="297">
        <f>0</f>
        <v>0</v>
      </c>
      <c r="I83" s="297">
        <f>0</f>
        <v>0</v>
      </c>
      <c r="J83" s="297">
        <f>0</f>
        <v>0</v>
      </c>
      <c r="K83" s="297">
        <f>0</f>
        <v>0</v>
      </c>
      <c r="L83" s="297">
        <f>0</f>
        <v>0</v>
      </c>
      <c r="M83" s="297">
        <f>0</f>
        <v>0</v>
      </c>
      <c r="N83" s="297">
        <f>0</f>
        <v>0</v>
      </c>
      <c r="O83" s="297">
        <f>0</f>
        <v>0</v>
      </c>
      <c r="P83" s="297">
        <f>0</f>
        <v>0</v>
      </c>
      <c r="Q83" s="297">
        <f>0</f>
        <v>0</v>
      </c>
      <c r="R83" s="297">
        <f>0</f>
        <v>0</v>
      </c>
      <c r="S83" s="297">
        <f>0</f>
        <v>0</v>
      </c>
      <c r="T83" s="297">
        <f>0</f>
        <v>0</v>
      </c>
      <c r="U83" s="297">
        <f>0</f>
        <v>0</v>
      </c>
      <c r="V83" s="297">
        <f>0</f>
        <v>0</v>
      </c>
      <c r="W83" s="297">
        <f>0</f>
        <v>0</v>
      </c>
      <c r="X83" s="297">
        <f>0</f>
        <v>0</v>
      </c>
      <c r="Y83" s="297">
        <f>0</f>
        <v>0</v>
      </c>
      <c r="Z83" s="297">
        <f>0</f>
        <v>0</v>
      </c>
      <c r="AA83" s="297">
        <f>0</f>
        <v>0</v>
      </c>
      <c r="AB83" s="297">
        <f>0</f>
        <v>0</v>
      </c>
      <c r="AC83" s="297">
        <f>0</f>
        <v>0</v>
      </c>
      <c r="AD83" s="297">
        <f>0</f>
        <v>0</v>
      </c>
      <c r="AE83" s="297">
        <f>0</f>
        <v>0</v>
      </c>
      <c r="AF83" s="297">
        <f>0</f>
        <v>0</v>
      </c>
      <c r="AG83" s="297">
        <f>0</f>
        <v>0</v>
      </c>
      <c r="AH83" s="297">
        <f>0</f>
        <v>0</v>
      </c>
      <c r="AI83" s="297">
        <f>0</f>
        <v>0</v>
      </c>
      <c r="AJ83" s="297">
        <f>0</f>
        <v>0</v>
      </c>
      <c r="AK83" s="297">
        <f>0</f>
        <v>0</v>
      </c>
      <c r="AL83" s="297">
        <f>0</f>
        <v>0</v>
      </c>
      <c r="AM83" s="298">
        <f>0</f>
        <v>0</v>
      </c>
    </row>
    <row r="84" spans="2:39" ht="12.95">
      <c r="B84" s="299" t="s">
        <v>420</v>
      </c>
      <c r="C84" s="300" t="s">
        <v>417</v>
      </c>
      <c r="D84" s="301">
        <f t="shared" ref="D84:AM84" si="3">IF(D76&lt;=$D$37,SUM(D82:D82),0)</f>
        <v>406112.52300000004</v>
      </c>
      <c r="E84" s="302">
        <f t="shared" si="3"/>
        <v>406112.52300000004</v>
      </c>
      <c r="F84" s="302">
        <f t="shared" si="3"/>
        <v>406112.52300000004</v>
      </c>
      <c r="G84" s="302">
        <f t="shared" si="3"/>
        <v>406112.52300000004</v>
      </c>
      <c r="H84" s="302">
        <f t="shared" si="3"/>
        <v>406112.52300000004</v>
      </c>
      <c r="I84" s="302">
        <f t="shared" si="3"/>
        <v>406112.52300000004</v>
      </c>
      <c r="J84" s="302">
        <f t="shared" si="3"/>
        <v>406112.52300000004</v>
      </c>
      <c r="K84" s="302">
        <f t="shared" si="3"/>
        <v>406112.52300000004</v>
      </c>
      <c r="L84" s="302">
        <f t="shared" si="3"/>
        <v>406112.52300000004</v>
      </c>
      <c r="M84" s="302">
        <f t="shared" si="3"/>
        <v>406112.52300000004</v>
      </c>
      <c r="N84" s="302">
        <f t="shared" si="3"/>
        <v>406112.52300000004</v>
      </c>
      <c r="O84" s="302">
        <f t="shared" si="3"/>
        <v>406112.52300000004</v>
      </c>
      <c r="P84" s="302">
        <f t="shared" si="3"/>
        <v>406112.52300000004</v>
      </c>
      <c r="Q84" s="302">
        <f t="shared" si="3"/>
        <v>406112.52300000004</v>
      </c>
      <c r="R84" s="302">
        <f t="shared" si="3"/>
        <v>406112.52300000004</v>
      </c>
      <c r="S84" s="302">
        <f t="shared" si="3"/>
        <v>406112.52300000004</v>
      </c>
      <c r="T84" s="302">
        <f t="shared" si="3"/>
        <v>406112.52300000004</v>
      </c>
      <c r="U84" s="302">
        <f t="shared" si="3"/>
        <v>406112.52300000004</v>
      </c>
      <c r="V84" s="302">
        <f t="shared" si="3"/>
        <v>406112.52300000004</v>
      </c>
      <c r="W84" s="302">
        <f t="shared" si="3"/>
        <v>406112.52300000004</v>
      </c>
      <c r="X84" s="302">
        <f t="shared" si="3"/>
        <v>406112.52300000004</v>
      </c>
      <c r="Y84" s="302">
        <f t="shared" si="3"/>
        <v>406112.52300000004</v>
      </c>
      <c r="Z84" s="302">
        <f t="shared" si="3"/>
        <v>406112.52300000004</v>
      </c>
      <c r="AA84" s="302">
        <f t="shared" si="3"/>
        <v>406112.52300000004</v>
      </c>
      <c r="AB84" s="302">
        <f t="shared" si="3"/>
        <v>406112.52300000004</v>
      </c>
      <c r="AC84" s="302">
        <f t="shared" si="3"/>
        <v>0</v>
      </c>
      <c r="AD84" s="302">
        <f t="shared" si="3"/>
        <v>0</v>
      </c>
      <c r="AE84" s="302">
        <f t="shared" si="3"/>
        <v>0</v>
      </c>
      <c r="AF84" s="302">
        <f t="shared" si="3"/>
        <v>0</v>
      </c>
      <c r="AG84" s="302">
        <f t="shared" si="3"/>
        <v>0</v>
      </c>
      <c r="AH84" s="302">
        <f t="shared" si="3"/>
        <v>0</v>
      </c>
      <c r="AI84" s="302">
        <f t="shared" si="3"/>
        <v>0</v>
      </c>
      <c r="AJ84" s="302">
        <f t="shared" si="3"/>
        <v>0</v>
      </c>
      <c r="AK84" s="302">
        <f t="shared" si="3"/>
        <v>0</v>
      </c>
      <c r="AL84" s="302">
        <f t="shared" si="3"/>
        <v>0</v>
      </c>
      <c r="AM84" s="303">
        <f t="shared" si="3"/>
        <v>0</v>
      </c>
    </row>
    <row r="85" spans="2:39" ht="12.95">
      <c r="B85" s="233"/>
      <c r="C85" s="304"/>
      <c r="D85" s="304"/>
      <c r="E85" s="305"/>
      <c r="F85" s="305"/>
      <c r="G85" s="305"/>
      <c r="H85" s="305"/>
      <c r="I85" s="305"/>
      <c r="J85" s="305"/>
      <c r="K85" s="305"/>
      <c r="L85" s="305"/>
      <c r="M85" s="305"/>
      <c r="N85" s="305"/>
      <c r="O85" s="305"/>
      <c r="P85" s="305"/>
      <c r="Q85" s="305"/>
      <c r="R85" s="305"/>
      <c r="S85" s="305"/>
      <c r="T85" s="305"/>
      <c r="U85" s="305"/>
      <c r="V85" s="305"/>
      <c r="W85" s="305"/>
      <c r="X85" s="305"/>
      <c r="Y85" s="305"/>
      <c r="Z85" s="305"/>
      <c r="AA85" s="305"/>
      <c r="AB85" s="305"/>
      <c r="AC85" s="305"/>
      <c r="AD85" s="305"/>
      <c r="AE85" s="305"/>
      <c r="AF85" s="305"/>
      <c r="AG85" s="305"/>
      <c r="AH85" s="305"/>
      <c r="AI85" s="305"/>
      <c r="AJ85" s="305"/>
      <c r="AK85" s="305"/>
      <c r="AL85" s="305"/>
      <c r="AM85" s="305"/>
    </row>
    <row r="86" spans="2:39" ht="12.95">
      <c r="B86" s="233"/>
      <c r="C86" s="304"/>
      <c r="D86" s="304"/>
      <c r="E86" s="305"/>
      <c r="F86" s="305"/>
      <c r="G86" s="305"/>
      <c r="H86" s="305"/>
      <c r="I86" s="305"/>
      <c r="J86" s="305"/>
      <c r="K86" s="305"/>
      <c r="L86" s="305"/>
      <c r="M86" s="305"/>
      <c r="N86" s="305"/>
      <c r="O86" s="305"/>
      <c r="P86" s="305"/>
      <c r="Q86" s="305"/>
      <c r="R86" s="305"/>
      <c r="S86" s="305"/>
      <c r="T86" s="305"/>
      <c r="U86" s="305"/>
      <c r="V86" s="305"/>
      <c r="W86" s="305"/>
      <c r="X86" s="305"/>
      <c r="Y86" s="305"/>
      <c r="Z86" s="305"/>
      <c r="AA86" s="305"/>
      <c r="AB86" s="305"/>
      <c r="AC86" s="305"/>
      <c r="AD86" s="305"/>
      <c r="AE86" s="305"/>
      <c r="AF86" s="305"/>
      <c r="AG86" s="305"/>
      <c r="AH86" s="305"/>
      <c r="AI86" s="305"/>
      <c r="AJ86" s="305"/>
      <c r="AK86" s="305"/>
      <c r="AL86" s="305"/>
      <c r="AM86" s="305"/>
    </row>
    <row r="87" spans="2:39" ht="12.95">
      <c r="B87" s="283" t="s">
        <v>421</v>
      </c>
      <c r="C87" s="284" t="s">
        <v>364</v>
      </c>
      <c r="D87" s="304"/>
      <c r="E87" s="305"/>
      <c r="F87" s="305"/>
      <c r="G87" s="305"/>
      <c r="H87" s="305"/>
      <c r="I87" s="305"/>
      <c r="J87" s="305"/>
      <c r="K87" s="305"/>
      <c r="L87" s="305"/>
      <c r="M87" s="305"/>
      <c r="N87" s="305"/>
      <c r="O87" s="305"/>
      <c r="P87" s="305"/>
      <c r="Q87" s="305"/>
      <c r="R87" s="305"/>
      <c r="S87" s="305"/>
      <c r="T87" s="305"/>
      <c r="U87" s="305"/>
      <c r="V87" s="305"/>
      <c r="W87" s="305"/>
      <c r="X87" s="305"/>
      <c r="Y87" s="305"/>
      <c r="Z87" s="305"/>
      <c r="AA87" s="305"/>
      <c r="AB87" s="305"/>
      <c r="AC87" s="305"/>
      <c r="AD87" s="305"/>
      <c r="AE87" s="305"/>
      <c r="AF87" s="305"/>
      <c r="AG87" s="305"/>
      <c r="AH87" s="305"/>
      <c r="AI87" s="305"/>
      <c r="AJ87" s="305"/>
      <c r="AK87" s="305"/>
      <c r="AL87" s="305"/>
      <c r="AM87" s="305"/>
    </row>
    <row r="88" spans="2:39" ht="12.95">
      <c r="B88" s="286" t="s">
        <v>494</v>
      </c>
      <c r="C88" s="287" t="s">
        <v>331</v>
      </c>
      <c r="D88" s="306">
        <f>SUM(D82:AB82)</f>
        <v>10152813.075000001</v>
      </c>
      <c r="E88" s="305"/>
      <c r="F88" s="305"/>
      <c r="G88" s="305"/>
      <c r="H88" s="305"/>
      <c r="I88" s="305"/>
      <c r="J88" s="305"/>
      <c r="K88" s="305"/>
      <c r="L88" s="305"/>
      <c r="M88" s="305"/>
      <c r="N88" s="305"/>
      <c r="O88" s="305"/>
      <c r="P88" s="305"/>
      <c r="Q88" s="305"/>
      <c r="R88" s="305"/>
      <c r="S88" s="305"/>
      <c r="T88" s="305"/>
      <c r="U88" s="305"/>
      <c r="V88" s="305"/>
      <c r="W88" s="305"/>
      <c r="X88" s="305"/>
      <c r="Y88" s="305"/>
      <c r="Z88" s="305"/>
      <c r="AA88" s="305"/>
      <c r="AB88" s="305"/>
      <c r="AC88" s="305"/>
      <c r="AD88" s="305"/>
      <c r="AE88" s="305"/>
      <c r="AF88" s="305"/>
      <c r="AG88" s="305"/>
      <c r="AH88" s="305"/>
      <c r="AI88" s="305"/>
      <c r="AJ88" s="305"/>
      <c r="AK88" s="305"/>
      <c r="AL88" s="305"/>
      <c r="AM88" s="305"/>
    </row>
    <row r="89" spans="2:39" ht="12.95">
      <c r="B89" s="294" t="s">
        <v>481</v>
      </c>
      <c r="C89" s="295" t="s">
        <v>331</v>
      </c>
      <c r="D89" s="307">
        <v>0</v>
      </c>
      <c r="E89" s="305"/>
      <c r="F89" s="305"/>
      <c r="G89" s="305"/>
      <c r="H89" s="305"/>
      <c r="I89" s="305"/>
      <c r="J89" s="305"/>
      <c r="K89" s="305"/>
      <c r="L89" s="305"/>
      <c r="M89" s="305"/>
      <c r="N89" s="305"/>
      <c r="O89" s="305"/>
      <c r="P89" s="305"/>
      <c r="Q89" s="305"/>
      <c r="R89" s="305"/>
      <c r="S89" s="305"/>
      <c r="T89" s="305"/>
      <c r="U89" s="305"/>
      <c r="V89" s="305"/>
      <c r="W89" s="305"/>
      <c r="X89" s="305"/>
      <c r="Y89" s="305"/>
      <c r="Z89" s="305"/>
      <c r="AA89" s="305"/>
      <c r="AB89" s="305"/>
      <c r="AC89" s="305"/>
      <c r="AD89" s="305"/>
      <c r="AE89" s="305"/>
      <c r="AF89" s="305"/>
      <c r="AG89" s="305"/>
      <c r="AH89" s="305"/>
      <c r="AI89" s="305"/>
      <c r="AJ89" s="305"/>
      <c r="AK89" s="305"/>
      <c r="AL89" s="305"/>
      <c r="AM89" s="305"/>
    </row>
    <row r="90" spans="2:39" ht="12.95">
      <c r="B90" s="308" t="s">
        <v>423</v>
      </c>
      <c r="C90" s="300" t="s">
        <v>331</v>
      </c>
      <c r="D90" s="309">
        <f>SUM(D88:D89)</f>
        <v>10152813.075000001</v>
      </c>
      <c r="E90" s="305"/>
      <c r="F90" s="305"/>
      <c r="G90" s="305"/>
      <c r="H90" s="305"/>
      <c r="I90" s="305"/>
      <c r="J90" s="305"/>
      <c r="K90" s="305"/>
      <c r="L90" s="305"/>
      <c r="M90" s="305"/>
      <c r="N90" s="305"/>
      <c r="O90" s="305"/>
      <c r="P90" s="305"/>
      <c r="Q90" s="305"/>
      <c r="R90" s="305"/>
      <c r="S90" s="305"/>
      <c r="T90" s="305"/>
      <c r="U90" s="305"/>
      <c r="V90" s="305"/>
      <c r="W90" s="305"/>
      <c r="X90" s="305"/>
      <c r="Y90" s="305"/>
      <c r="Z90" s="305"/>
      <c r="AA90" s="305"/>
      <c r="AB90" s="305"/>
      <c r="AC90" s="305"/>
      <c r="AD90" s="305"/>
      <c r="AE90" s="305"/>
      <c r="AF90" s="305"/>
      <c r="AG90" s="305"/>
      <c r="AH90" s="305"/>
      <c r="AI90" s="305"/>
      <c r="AJ90" s="305"/>
      <c r="AK90" s="305"/>
      <c r="AL90" s="305"/>
      <c r="AM90" s="305"/>
    </row>
    <row r="91" spans="2:39">
      <c r="B91" s="232"/>
      <c r="C91" s="275"/>
      <c r="D91" s="275"/>
      <c r="E91" s="285"/>
      <c r="F91" s="285"/>
      <c r="G91" s="285"/>
      <c r="H91" s="285"/>
      <c r="I91" s="285"/>
      <c r="J91" s="285"/>
      <c r="K91" s="285"/>
      <c r="L91" s="285"/>
      <c r="M91" s="285"/>
      <c r="N91" s="285"/>
      <c r="O91" s="285"/>
      <c r="P91" s="285"/>
      <c r="Q91" s="285"/>
      <c r="R91" s="285"/>
      <c r="S91" s="285"/>
      <c r="T91" s="285"/>
      <c r="U91" s="285"/>
      <c r="V91" s="285"/>
      <c r="W91" s="285"/>
      <c r="X91" s="285"/>
      <c r="Y91" s="285"/>
      <c r="Z91" s="285"/>
      <c r="AA91" s="285"/>
      <c r="AB91" s="285"/>
      <c r="AC91" s="285"/>
      <c r="AD91" s="285"/>
      <c r="AE91" s="285"/>
      <c r="AF91" s="285"/>
      <c r="AG91" s="285"/>
      <c r="AH91" s="285"/>
      <c r="AI91" s="285"/>
      <c r="AJ91" s="285"/>
      <c r="AK91" s="285"/>
      <c r="AL91" s="285"/>
      <c r="AM91" s="285"/>
    </row>
    <row r="92" spans="2:39" ht="12.95">
      <c r="B92" s="283" t="s">
        <v>424</v>
      </c>
      <c r="C92" s="284" t="s">
        <v>364</v>
      </c>
      <c r="D92" s="310">
        <v>1</v>
      </c>
      <c r="E92" s="273">
        <v>2</v>
      </c>
      <c r="F92" s="273">
        <v>3</v>
      </c>
      <c r="G92" s="273">
        <v>4</v>
      </c>
      <c r="H92" s="273">
        <v>5</v>
      </c>
      <c r="I92" s="273">
        <v>6</v>
      </c>
      <c r="J92" s="273">
        <v>7</v>
      </c>
      <c r="K92" s="273">
        <v>8</v>
      </c>
      <c r="L92" s="273">
        <v>9</v>
      </c>
      <c r="M92" s="311">
        <v>10</v>
      </c>
      <c r="N92" s="311"/>
      <c r="O92" s="311"/>
      <c r="P92" s="311"/>
      <c r="Q92" s="311"/>
      <c r="R92" s="311"/>
      <c r="S92" s="285"/>
      <c r="T92" s="285"/>
      <c r="U92" s="285"/>
      <c r="V92" s="285"/>
      <c r="W92" s="285"/>
      <c r="X92" s="285"/>
      <c r="Y92" s="285"/>
      <c r="Z92" s="285"/>
      <c r="AA92" s="285"/>
      <c r="AB92" s="285"/>
      <c r="AC92" s="285"/>
      <c r="AD92" s="285"/>
      <c r="AE92" s="285"/>
      <c r="AF92" s="285"/>
      <c r="AG92" s="285"/>
      <c r="AH92" s="285"/>
      <c r="AI92" s="285"/>
      <c r="AJ92" s="285"/>
      <c r="AK92" s="285"/>
      <c r="AL92" s="285"/>
      <c r="AM92" s="285"/>
    </row>
    <row r="93" spans="2:39" ht="12.95">
      <c r="B93" s="283" t="s">
        <v>425</v>
      </c>
      <c r="C93" s="312" t="s">
        <v>67</v>
      </c>
      <c r="D93" s="313">
        <v>1</v>
      </c>
      <c r="E93" s="285"/>
      <c r="F93" s="285"/>
      <c r="G93" s="285"/>
      <c r="H93" s="285"/>
      <c r="I93" s="285"/>
      <c r="J93" s="285"/>
      <c r="K93" s="285"/>
      <c r="L93" s="285"/>
      <c r="M93" s="314"/>
      <c r="N93" s="314"/>
      <c r="O93" s="314"/>
      <c r="P93" s="314"/>
      <c r="Q93" s="314"/>
      <c r="R93" s="314"/>
      <c r="S93" s="285"/>
      <c r="T93" s="285"/>
      <c r="U93" s="285"/>
      <c r="V93" s="285"/>
      <c r="W93" s="285"/>
      <c r="X93" s="285"/>
      <c r="Y93" s="285"/>
      <c r="Z93" s="285"/>
      <c r="AA93" s="285"/>
      <c r="AB93" s="285"/>
      <c r="AC93" s="285"/>
      <c r="AD93" s="285"/>
      <c r="AE93" s="285"/>
      <c r="AF93" s="285"/>
      <c r="AG93" s="285"/>
      <c r="AH93" s="285"/>
      <c r="AI93" s="285"/>
      <c r="AJ93" s="285"/>
      <c r="AK93" s="285"/>
      <c r="AL93" s="285"/>
      <c r="AM93" s="285"/>
    </row>
    <row r="94" spans="2:39">
      <c r="B94" s="276" t="s">
        <v>495</v>
      </c>
      <c r="C94" s="315" t="s">
        <v>417</v>
      </c>
      <c r="D94" s="316">
        <f>IF($D$93&gt;=D92,$D$27/$D$93,0)</f>
        <v>4455145.2300000004</v>
      </c>
      <c r="E94" s="317">
        <f t="shared" ref="E94:M94" si="4">IF($D$93&gt;=E92,$D$27/$D$93,0)</f>
        <v>0</v>
      </c>
      <c r="F94" s="317">
        <f t="shared" si="4"/>
        <v>0</v>
      </c>
      <c r="G94" s="317">
        <f t="shared" si="4"/>
        <v>0</v>
      </c>
      <c r="H94" s="317">
        <f t="shared" si="4"/>
        <v>0</v>
      </c>
      <c r="I94" s="317">
        <f t="shared" si="4"/>
        <v>0</v>
      </c>
      <c r="J94" s="317">
        <f t="shared" si="4"/>
        <v>0</v>
      </c>
      <c r="K94" s="317">
        <f t="shared" si="4"/>
        <v>0</v>
      </c>
      <c r="L94" s="317">
        <f t="shared" si="4"/>
        <v>0</v>
      </c>
      <c r="M94" s="318">
        <f t="shared" si="4"/>
        <v>0</v>
      </c>
      <c r="N94" s="318"/>
      <c r="O94" s="318"/>
      <c r="P94" s="318"/>
      <c r="Q94" s="318"/>
      <c r="R94" s="318"/>
      <c r="S94" s="285"/>
      <c r="T94" s="285"/>
      <c r="U94" s="285"/>
      <c r="V94" s="285"/>
      <c r="W94" s="285"/>
      <c r="X94" s="285"/>
      <c r="Y94" s="285"/>
      <c r="Z94" s="285"/>
      <c r="AA94" s="285"/>
      <c r="AB94" s="285"/>
      <c r="AC94" s="285"/>
      <c r="AD94" s="285"/>
      <c r="AE94" s="285"/>
      <c r="AF94" s="285"/>
      <c r="AG94" s="285"/>
      <c r="AH94" s="285"/>
      <c r="AI94" s="285"/>
      <c r="AJ94" s="285"/>
      <c r="AK94" s="285"/>
      <c r="AL94" s="285"/>
      <c r="AM94" s="285"/>
    </row>
    <row r="95" spans="2:39">
      <c r="B95" s="232"/>
      <c r="C95" s="275"/>
      <c r="D95" s="275"/>
      <c r="E95" s="285"/>
      <c r="F95" s="285"/>
      <c r="G95" s="285"/>
      <c r="H95" s="285"/>
      <c r="I95" s="285"/>
      <c r="J95" s="285"/>
      <c r="K95" s="285"/>
      <c r="L95" s="285"/>
      <c r="M95" s="285"/>
      <c r="N95" s="285"/>
      <c r="O95" s="285"/>
      <c r="P95" s="285"/>
      <c r="Q95" s="285"/>
      <c r="R95" s="285"/>
      <c r="S95" s="285"/>
      <c r="T95" s="285"/>
      <c r="U95" s="285"/>
      <c r="V95" s="285"/>
      <c r="W95" s="285"/>
      <c r="X95" s="285"/>
      <c r="Y95" s="285"/>
      <c r="Z95" s="285"/>
      <c r="AA95" s="285"/>
      <c r="AB95" s="285"/>
      <c r="AC95" s="285"/>
      <c r="AD95" s="285"/>
      <c r="AE95" s="285"/>
      <c r="AF95" s="285"/>
      <c r="AG95" s="285"/>
      <c r="AH95" s="285"/>
      <c r="AI95" s="285"/>
      <c r="AJ95" s="285"/>
      <c r="AK95" s="285"/>
      <c r="AL95" s="285"/>
      <c r="AM95" s="285"/>
    </row>
    <row r="96" spans="2:39" ht="12.95">
      <c r="B96" s="283" t="s">
        <v>427</v>
      </c>
      <c r="C96" s="312" t="s">
        <v>364</v>
      </c>
      <c r="D96" s="275"/>
      <c r="E96" s="285"/>
      <c r="F96" s="285"/>
      <c r="G96" s="285"/>
      <c r="H96" s="285"/>
      <c r="I96" s="285"/>
      <c r="J96" s="285"/>
      <c r="K96" s="285"/>
      <c r="L96" s="285"/>
      <c r="M96" s="285"/>
      <c r="N96" s="285"/>
      <c r="O96" s="285"/>
      <c r="P96" s="285"/>
      <c r="Q96" s="285"/>
      <c r="R96" s="285"/>
      <c r="S96" s="285"/>
      <c r="T96" s="285"/>
      <c r="U96" s="285"/>
      <c r="V96" s="285"/>
      <c r="W96" s="285"/>
      <c r="X96" s="285"/>
      <c r="Y96" s="285"/>
      <c r="Z96" s="285"/>
      <c r="AA96" s="285"/>
      <c r="AB96" s="285"/>
      <c r="AC96" s="285"/>
      <c r="AD96" s="285"/>
      <c r="AE96" s="285"/>
      <c r="AF96" s="285"/>
      <c r="AG96" s="285"/>
      <c r="AH96" s="285"/>
      <c r="AI96" s="285"/>
      <c r="AJ96" s="285"/>
      <c r="AK96" s="285"/>
      <c r="AL96" s="285"/>
      <c r="AM96" s="285"/>
    </row>
    <row r="97" spans="2:39">
      <c r="B97" s="286" t="s">
        <v>428</v>
      </c>
      <c r="C97" s="292" t="s">
        <v>417</v>
      </c>
      <c r="D97" s="288"/>
      <c r="E97" s="289">
        <f>IF(E76&lt;=$D$36,-IPMT($D$35,E76,$D$36,'SenSolarPV Financial Analys'!$D$27*$D$34),0)</f>
        <v>0</v>
      </c>
      <c r="F97" s="289">
        <f>IF(F76&lt;=$D$36,-IPMT($D$35,F76,$D$36,'SenSolarPV Financial Analys'!$D$27*$D$34),0)</f>
        <v>0</v>
      </c>
      <c r="G97" s="289">
        <f>IF(G76&lt;=$D$36,-IPMT($D$35,G76,$D$36,'SenSolarPV Financial Analys'!$D$27*$D$34),0)</f>
        <v>0</v>
      </c>
      <c r="H97" s="289">
        <f>IF(H76&lt;=$D$36,-IPMT($D$35,H76,$D$36,'SenSolarPV Financial Analys'!$D$27*$D$34),0)</f>
        <v>0</v>
      </c>
      <c r="I97" s="289">
        <f>IF(I76&lt;=$D$36,-IPMT($D$35,I76,$D$36,'SenSolarPV Financial Analys'!$D$27*$D$34),0)</f>
        <v>0</v>
      </c>
      <c r="J97" s="289">
        <f>IF(J76&lt;=$D$36,-IPMT($D$35,J76,$D$36,'SenSolarPV Financial Analys'!$D$27*$D$34),0)</f>
        <v>0</v>
      </c>
      <c r="K97" s="289">
        <f>IF(K76&lt;=$D$36,-IPMT($D$35,K76,$D$36,'SenSolarPV Financial Analys'!$D$27*$D$34),0)</f>
        <v>0</v>
      </c>
      <c r="L97" s="289">
        <f>IF(L76&lt;=$D$36,-IPMT($D$35,L76,$D$36,'SenSolarPV Financial Analys'!$D$27*$D$34),0)</f>
        <v>0</v>
      </c>
      <c r="M97" s="289">
        <f>IF(M76&lt;=$D$36,-IPMT($D$35,M76,$D$36,'SenSolarPV Financial Analys'!$D$27*$D$34),0)</f>
        <v>0</v>
      </c>
      <c r="N97" s="289">
        <f>IF(N76&lt;=$D$36,-IPMT($D$35,N76,$D$36,'SenSolarPV Financial Analys'!$D$27*$D$34),0)</f>
        <v>0</v>
      </c>
      <c r="O97" s="289">
        <f>IF(O76&lt;=$D$36,-IPMT($D$35,O76,$D$36,'SenSolarPV Financial Analys'!$D$27*$D$34),0)</f>
        <v>0</v>
      </c>
      <c r="P97" s="289">
        <f>IF(P76&lt;=$D$36,-IPMT($D$35,P76,$D$36,'SenSolarPV Financial Analys'!$D$27*$D$34),0)</f>
        <v>0</v>
      </c>
      <c r="Q97" s="289">
        <f>IF(Q76&lt;=$D$36,-IPMT($D$35,Q76,$D$36,'SenSolarPV Financial Analys'!$D$27*$D$34),0)</f>
        <v>0</v>
      </c>
      <c r="R97" s="289">
        <f>IF(R76&lt;=$D$36,-IPMT($D$35,R76,$D$36,'SenSolarPV Financial Analys'!$D$27*$D$34),0)</f>
        <v>0</v>
      </c>
      <c r="S97" s="289">
        <f>IF(S76&lt;=$D$36,-IPMT($D$35,S76,$D$36,'SenSolarPV Financial Analys'!$D$27*$D$34),0)</f>
        <v>0</v>
      </c>
      <c r="T97" s="289">
        <f>IF(T76&lt;=$D$36,-IPMT($D$35,T76,$D$36,'SenSolarPV Financial Analys'!$D$27*$D$34),0)</f>
        <v>0</v>
      </c>
      <c r="U97" s="289">
        <f>IF(U76&lt;=$D$36,-IPMT($D$35,U76,$D$36,'SenSolarPV Financial Analys'!$D$27*$D$34),0)</f>
        <v>0</v>
      </c>
      <c r="V97" s="289">
        <f>IF(V76&lt;=$D$36,-IPMT($D$35,V76,$D$36,'SenSolarPV Financial Analys'!$D$27*$D$34),0)</f>
        <v>0</v>
      </c>
      <c r="W97" s="289">
        <f>IF(W76&lt;=$D$36,-IPMT($D$35,W76,$D$36,'SenSolarPV Financial Analys'!$D$27*$D$34),0)</f>
        <v>0</v>
      </c>
      <c r="X97" s="289">
        <f>IF(X76&lt;=$D$36,-IPMT($D$35,X76,$D$36,'SenSolarPV Financial Analys'!$D$27*$D$34),0)</f>
        <v>0</v>
      </c>
      <c r="Y97" s="289">
        <f>IF(Y76&lt;=$D$36,-IPMT($D$35,Y76,$D$36,'SenSolarPV Financial Analys'!$D$27*$D$34),0)</f>
        <v>0</v>
      </c>
      <c r="Z97" s="289">
        <f>IF(Z76&lt;=$D$36,-IPMT($D$35,Z76,$D$36,'SenSolarPV Financial Analys'!$D$27*$D$34),0)</f>
        <v>0</v>
      </c>
      <c r="AA97" s="289">
        <f>IF(AA76&lt;=$D$36,-IPMT($D$35,AA76,$D$36,'SenSolarPV Financial Analys'!$D$27*$D$34),0)</f>
        <v>0</v>
      </c>
      <c r="AB97" s="289">
        <f>IF(AB76&lt;=$D$36,-IPMT($D$35,AB76,$D$36,'SenSolarPV Financial Analys'!$D$27*$D$34),0)</f>
        <v>0</v>
      </c>
      <c r="AC97" s="289">
        <f>IF(AC76&lt;=$D$36,-IPMT($D$35,AC76,$D$36,'SenSolarPV Financial Analys'!$D$27*$D$34),0)</f>
        <v>0</v>
      </c>
      <c r="AD97" s="289">
        <f>IF(AD76&lt;=$D$36,-IPMT($D$35,AD76,$D$36,'SenSolarPV Financial Analys'!$D$27*$D$34),0)</f>
        <v>0</v>
      </c>
      <c r="AE97" s="289">
        <f>IF(AE76&lt;=$D$36,-IPMT($D$35,AE76,$D$36,'SenSolarPV Financial Analys'!$D$27*$D$34),0)</f>
        <v>0</v>
      </c>
      <c r="AF97" s="289">
        <f>IF(AF76&lt;=$D$36,-IPMT($D$35,AF76,$D$36,'SenSolarPV Financial Analys'!$D$27*$D$34),0)</f>
        <v>0</v>
      </c>
      <c r="AG97" s="289">
        <f>IF(AG76&lt;=$D$36,-IPMT($D$35,AG76,$D$36,'SenSolarPV Financial Analys'!$D$27*$D$34),0)</f>
        <v>0</v>
      </c>
      <c r="AH97" s="289">
        <f>IF(AH76&lt;=$D$36,-IPMT($D$35,AH76,$D$36,'SenSolarPV Financial Analys'!$D$27*$D$34),0)</f>
        <v>0</v>
      </c>
      <c r="AI97" s="289">
        <f>IF(AI76&lt;=$D$36,-IPMT($D$35,AI76,$D$36,'SenSolarPV Financial Analys'!$D$27*$D$34),0)</f>
        <v>0</v>
      </c>
      <c r="AJ97" s="289">
        <f>IF(AJ76&lt;=$D$36,-IPMT($D$35,AJ76,$D$36,'SenSolarPV Financial Analys'!$D$27*$D$34),0)</f>
        <v>0</v>
      </c>
      <c r="AK97" s="289">
        <f>IF(AK76&lt;=$D$36,-IPMT($D$35,AK76,$D$36,'SenSolarPV Financial Analys'!$D$27*$D$34),0)</f>
        <v>0</v>
      </c>
      <c r="AL97" s="289">
        <f>IF(AL76&lt;=$D$36,-IPMT($D$35,AL76,$D$36,'SenSolarPV Financial Analys'!$D$27*$D$34),0)</f>
        <v>0</v>
      </c>
      <c r="AM97" s="290">
        <f>IF(AM76&lt;=$D$36,-IPMT($D$35,AM76,$D$36,'SenSolarPV Financial Analys'!$D$27*$D$34),0)</f>
        <v>0</v>
      </c>
    </row>
    <row r="98" spans="2:39">
      <c r="B98" s="291" t="s">
        <v>429</v>
      </c>
      <c r="C98" s="295" t="s">
        <v>417</v>
      </c>
      <c r="D98" s="296"/>
      <c r="E98" s="297">
        <f>IF(E76&lt;=$D$36,-PPMT($D$35,E76,$D$36,'SenSolarPV Financial Analys'!$D$27*$D$34),0)</f>
        <v>178205.80920000002</v>
      </c>
      <c r="F98" s="297">
        <f>IF(F76&lt;=$D$36,-PPMT($D$35,F76,$D$36,'SenSolarPV Financial Analys'!$D$27*$D$34),0)</f>
        <v>178205.80920000002</v>
      </c>
      <c r="G98" s="297">
        <f>IF(G76&lt;=$D$36,-PPMT($D$35,G76,$D$36,'SenSolarPV Financial Analys'!$D$27*$D$34),0)</f>
        <v>178205.80920000002</v>
      </c>
      <c r="H98" s="297">
        <f>IF(H76&lt;=$D$36,-PPMT($D$35,H76,$D$36,'SenSolarPV Financial Analys'!$D$27*$D$34),0)</f>
        <v>178205.80920000002</v>
      </c>
      <c r="I98" s="297">
        <f>IF(I76&lt;=$D$36,-PPMT($D$35,I76,$D$36,'SenSolarPV Financial Analys'!$D$27*$D$34),0)</f>
        <v>178205.80920000002</v>
      </c>
      <c r="J98" s="297">
        <f>IF(J76&lt;=$D$36,-PPMT($D$35,J76,$D$36,'SenSolarPV Financial Analys'!$D$27*$D$34),0)</f>
        <v>178205.80920000002</v>
      </c>
      <c r="K98" s="297">
        <f>IF(K76&lt;=$D$36,-PPMT($D$35,K76,$D$36,'SenSolarPV Financial Analys'!$D$27*$D$34),0)</f>
        <v>178205.80920000002</v>
      </c>
      <c r="L98" s="297">
        <f>IF(L76&lt;=$D$36,-PPMT($D$35,L76,$D$36,'SenSolarPV Financial Analys'!$D$27*$D$34),0)</f>
        <v>178205.80920000002</v>
      </c>
      <c r="M98" s="297">
        <f>IF(M76&lt;=$D$36,-PPMT($D$35,M76,$D$36,'SenSolarPV Financial Analys'!$D$27*$D$34),0)</f>
        <v>178205.80920000002</v>
      </c>
      <c r="N98" s="297">
        <f>IF(N76&lt;=$D$36,-PPMT($D$35,N76,$D$36,'SenSolarPV Financial Analys'!$D$27*$D$34),0)</f>
        <v>178205.80920000002</v>
      </c>
      <c r="O98" s="297">
        <f>IF(O76&lt;=$D$36,-PPMT($D$35,O76,$D$36,'SenSolarPV Financial Analys'!$D$27*$D$34),0)</f>
        <v>178205.80920000002</v>
      </c>
      <c r="P98" s="297">
        <f>IF(P76&lt;=$D$36,-PPMT($D$35,P76,$D$36,'SenSolarPV Financial Analys'!$D$27*$D$34),0)</f>
        <v>178205.80920000002</v>
      </c>
      <c r="Q98" s="297">
        <f>IF(Q76&lt;=$D$36,-PPMT($D$35,Q76,$D$36,'SenSolarPV Financial Analys'!$D$27*$D$34),0)</f>
        <v>178205.80920000002</v>
      </c>
      <c r="R98" s="297">
        <f>IF(R76&lt;=$D$36,-PPMT($D$35,R76,$D$36,'SenSolarPV Financial Analys'!$D$27*$D$34),0)</f>
        <v>178205.80920000002</v>
      </c>
      <c r="S98" s="297">
        <f>IF(S76&lt;=$D$36,-PPMT($D$35,S76,$D$36,'SenSolarPV Financial Analys'!$D$27*$D$34),0)</f>
        <v>178205.80920000002</v>
      </c>
      <c r="T98" s="297">
        <f>IF(T76&lt;=$D$36,-PPMT($D$35,T76,$D$36,'SenSolarPV Financial Analys'!$D$27*$D$34),0)</f>
        <v>178205.80920000002</v>
      </c>
      <c r="U98" s="297">
        <f>IF(U76&lt;=$D$36,-PPMT($D$35,U76,$D$36,'SenSolarPV Financial Analys'!$D$27*$D$34),0)</f>
        <v>178205.80920000002</v>
      </c>
      <c r="V98" s="297">
        <f>IF(V76&lt;=$D$36,-PPMT($D$35,V76,$D$36,'SenSolarPV Financial Analys'!$D$27*$D$34),0)</f>
        <v>178205.80920000002</v>
      </c>
      <c r="W98" s="297">
        <f>IF(W76&lt;=$D$36,-PPMT($D$35,W76,$D$36,'SenSolarPV Financial Analys'!$D$27*$D$34),0)</f>
        <v>178205.80920000002</v>
      </c>
      <c r="X98" s="297">
        <f>IF(X76&lt;=$D$36,-PPMT($D$35,X76,$D$36,'SenSolarPV Financial Analys'!$D$27*$D$34),0)</f>
        <v>178205.80920000002</v>
      </c>
      <c r="Y98" s="297">
        <f>IF(Y76&lt;=$D$36,-PPMT($D$35,Y76,$D$36,'SenSolarPV Financial Analys'!$D$27*$D$34),0)</f>
        <v>178205.80920000002</v>
      </c>
      <c r="Z98" s="297">
        <f>IF(Z76&lt;=$D$36,-PPMT($D$35,Z76,$D$36,'SenSolarPV Financial Analys'!$D$27*$D$34),0)</f>
        <v>178205.80920000002</v>
      </c>
      <c r="AA98" s="297">
        <f>IF(AA76&lt;=$D$36,-PPMT($D$35,AA76,$D$36,'SenSolarPV Financial Analys'!$D$27*$D$34),0)</f>
        <v>178205.80920000002</v>
      </c>
      <c r="AB98" s="297">
        <f>IF(AB76&lt;=$D$36,-PPMT($D$35,AB76,$D$36,'SenSolarPV Financial Analys'!$D$27*$D$34),0)</f>
        <v>178205.80920000002</v>
      </c>
      <c r="AC98" s="297">
        <f>IF(AC76&lt;=$D$36,-PPMT($D$35,AC76,$D$36,'SenSolarPV Financial Analys'!$D$27*$D$34),0)</f>
        <v>178205.80920000002</v>
      </c>
      <c r="AD98" s="297">
        <f>IF(AD76&lt;=$D$36,-PPMT($D$35,AD76,$D$36,'SenSolarPV Financial Analys'!$D$27*$D$34),0)</f>
        <v>0</v>
      </c>
      <c r="AE98" s="297">
        <f>IF(AE76&lt;=$D$36,-PPMT($D$35,AE76,$D$36,'SenSolarPV Financial Analys'!$D$27*$D$34),0)</f>
        <v>0</v>
      </c>
      <c r="AF98" s="297">
        <f>IF(AF76&lt;=$D$36,-PPMT($D$35,AF76,$D$36,'SenSolarPV Financial Analys'!$D$27*$D$34),0)</f>
        <v>0</v>
      </c>
      <c r="AG98" s="297">
        <f>IF(AG76&lt;=$D$36,-PPMT($D$35,AG76,$D$36,'SenSolarPV Financial Analys'!$D$27*$D$34),0)</f>
        <v>0</v>
      </c>
      <c r="AH98" s="297">
        <f>IF(AH76&lt;=$D$36,-PPMT($D$35,AH76,$D$36,'SenSolarPV Financial Analys'!$D$27*$D$34),0)</f>
        <v>0</v>
      </c>
      <c r="AI98" s="297">
        <f>IF(AI76&lt;=$D$36,-PPMT($D$35,AI76,$D$36,'SenSolarPV Financial Analys'!$D$27*$D$34),0)</f>
        <v>0</v>
      </c>
      <c r="AJ98" s="297">
        <f>IF(AJ76&lt;=$D$36,-PPMT($D$35,AJ76,$D$36,'SenSolarPV Financial Analys'!$D$27*$D$34),0)</f>
        <v>0</v>
      </c>
      <c r="AK98" s="297">
        <f>IF(AK76&lt;=$D$36,-PPMT($D$35,AK76,$D$36,'SenSolarPV Financial Analys'!$D$27*$D$34),0)</f>
        <v>0</v>
      </c>
      <c r="AL98" s="297">
        <f>IF(AL76&lt;=$D$36,-PPMT($D$35,AL76,$D$36,'SenSolarPV Financial Analys'!$D$27*$D$34),0)</f>
        <v>0</v>
      </c>
      <c r="AM98" s="298">
        <f>IF(AM76&lt;=$D$36,-PPMT($D$35,AM76,$D$36,'SenSolarPV Financial Analys'!$D$27*$D$34),0)</f>
        <v>0</v>
      </c>
    </row>
    <row r="99" spans="2:39" ht="12.95">
      <c r="B99" s="319" t="s">
        <v>430</v>
      </c>
      <c r="C99" s="300" t="s">
        <v>417</v>
      </c>
      <c r="D99" s="320">
        <f>E99</f>
        <v>178205.80920000002</v>
      </c>
      <c r="E99" s="321">
        <f>SUM(E97:E98)+E94</f>
        <v>178205.80920000002</v>
      </c>
      <c r="F99" s="321">
        <f t="shared" ref="F99:M99" si="5">SUM(F97:F98)+F94</f>
        <v>178205.80920000002</v>
      </c>
      <c r="G99" s="321">
        <f t="shared" si="5"/>
        <v>178205.80920000002</v>
      </c>
      <c r="H99" s="321">
        <f t="shared" si="5"/>
        <v>178205.80920000002</v>
      </c>
      <c r="I99" s="321">
        <f t="shared" si="5"/>
        <v>178205.80920000002</v>
      </c>
      <c r="J99" s="321">
        <f t="shared" si="5"/>
        <v>178205.80920000002</v>
      </c>
      <c r="K99" s="321">
        <f t="shared" si="5"/>
        <v>178205.80920000002</v>
      </c>
      <c r="L99" s="321">
        <f t="shared" si="5"/>
        <v>178205.80920000002</v>
      </c>
      <c r="M99" s="321">
        <f t="shared" si="5"/>
        <v>178205.80920000002</v>
      </c>
      <c r="N99" s="321">
        <f>SUM(N97:N98)</f>
        <v>178205.80920000002</v>
      </c>
      <c r="O99" s="321">
        <f t="shared" ref="O99:AM99" si="6">SUM(O97:O98)</f>
        <v>178205.80920000002</v>
      </c>
      <c r="P99" s="321">
        <f t="shared" si="6"/>
        <v>178205.80920000002</v>
      </c>
      <c r="Q99" s="321">
        <f t="shared" si="6"/>
        <v>178205.80920000002</v>
      </c>
      <c r="R99" s="321">
        <f t="shared" si="6"/>
        <v>178205.80920000002</v>
      </c>
      <c r="S99" s="321">
        <f t="shared" si="6"/>
        <v>178205.80920000002</v>
      </c>
      <c r="T99" s="321">
        <f t="shared" si="6"/>
        <v>178205.80920000002</v>
      </c>
      <c r="U99" s="321">
        <f t="shared" si="6"/>
        <v>178205.80920000002</v>
      </c>
      <c r="V99" s="321">
        <f t="shared" si="6"/>
        <v>178205.80920000002</v>
      </c>
      <c r="W99" s="321">
        <f t="shared" si="6"/>
        <v>178205.80920000002</v>
      </c>
      <c r="X99" s="321">
        <f t="shared" si="6"/>
        <v>178205.80920000002</v>
      </c>
      <c r="Y99" s="321">
        <f t="shared" si="6"/>
        <v>178205.80920000002</v>
      </c>
      <c r="Z99" s="321">
        <f t="shared" si="6"/>
        <v>178205.80920000002</v>
      </c>
      <c r="AA99" s="321">
        <f t="shared" si="6"/>
        <v>178205.80920000002</v>
      </c>
      <c r="AB99" s="321">
        <f t="shared" si="6"/>
        <v>178205.80920000002</v>
      </c>
      <c r="AC99" s="321">
        <f t="shared" si="6"/>
        <v>178205.80920000002</v>
      </c>
      <c r="AD99" s="321">
        <f t="shared" si="6"/>
        <v>0</v>
      </c>
      <c r="AE99" s="321">
        <f t="shared" si="6"/>
        <v>0</v>
      </c>
      <c r="AF99" s="321">
        <f t="shared" si="6"/>
        <v>0</v>
      </c>
      <c r="AG99" s="321">
        <f t="shared" si="6"/>
        <v>0</v>
      </c>
      <c r="AH99" s="321">
        <f t="shared" si="6"/>
        <v>0</v>
      </c>
      <c r="AI99" s="321">
        <f t="shared" si="6"/>
        <v>0</v>
      </c>
      <c r="AJ99" s="321">
        <f t="shared" si="6"/>
        <v>0</v>
      </c>
      <c r="AK99" s="321">
        <f t="shared" si="6"/>
        <v>0</v>
      </c>
      <c r="AL99" s="321">
        <f t="shared" si="6"/>
        <v>0</v>
      </c>
      <c r="AM99" s="322">
        <f t="shared" si="6"/>
        <v>0</v>
      </c>
    </row>
    <row r="100" spans="2:39" ht="12.95">
      <c r="B100" s="233"/>
      <c r="C100" s="233"/>
      <c r="D100" s="323"/>
      <c r="E100" s="323"/>
      <c r="F100" s="323"/>
      <c r="G100" s="323"/>
      <c r="H100" s="323"/>
      <c r="I100" s="323"/>
      <c r="J100" s="323"/>
      <c r="K100" s="323"/>
      <c r="L100" s="323"/>
      <c r="M100" s="323"/>
      <c r="N100" s="323"/>
      <c r="O100" s="323"/>
      <c r="P100" s="323"/>
      <c r="Q100" s="323"/>
      <c r="R100" s="323"/>
      <c r="S100" s="323"/>
      <c r="T100" s="323"/>
      <c r="U100" s="323"/>
      <c r="V100" s="323"/>
      <c r="W100" s="323"/>
      <c r="X100" s="323"/>
      <c r="Y100" s="323"/>
      <c r="Z100" s="323"/>
      <c r="AA100" s="323"/>
      <c r="AB100" s="323"/>
      <c r="AC100" s="323"/>
      <c r="AD100" s="323"/>
      <c r="AE100" s="323"/>
      <c r="AF100" s="323"/>
      <c r="AG100" s="323"/>
      <c r="AH100" s="323"/>
      <c r="AI100" s="323"/>
      <c r="AJ100" s="323"/>
      <c r="AK100" s="323"/>
      <c r="AL100" s="323"/>
      <c r="AM100" s="323"/>
    </row>
    <row r="101" spans="2:39" ht="12.95">
      <c r="B101" s="319" t="s">
        <v>431</v>
      </c>
      <c r="C101" s="324" t="s">
        <v>417</v>
      </c>
      <c r="D101" s="320">
        <f>D99+D84+D106</f>
        <v>584318.33220000006</v>
      </c>
      <c r="E101" s="321">
        <f>E99+E84+E105</f>
        <v>584318.33220000006</v>
      </c>
      <c r="F101" s="321">
        <f t="shared" ref="F101:AM101" si="7">F99+F84+F105</f>
        <v>584318.33220000006</v>
      </c>
      <c r="G101" s="321">
        <f t="shared" si="7"/>
        <v>584318.33220000006</v>
      </c>
      <c r="H101" s="321">
        <f t="shared" si="7"/>
        <v>584318.33220000006</v>
      </c>
      <c r="I101" s="321">
        <f t="shared" si="7"/>
        <v>584318.33220000006</v>
      </c>
      <c r="J101" s="321">
        <f t="shared" si="7"/>
        <v>584318.33220000006</v>
      </c>
      <c r="K101" s="321">
        <f t="shared" si="7"/>
        <v>584318.33220000006</v>
      </c>
      <c r="L101" s="321">
        <f t="shared" si="7"/>
        <v>584318.33220000006</v>
      </c>
      <c r="M101" s="321">
        <f t="shared" si="7"/>
        <v>584318.33220000006</v>
      </c>
      <c r="N101" s="321">
        <f t="shared" si="7"/>
        <v>584318.33220000006</v>
      </c>
      <c r="O101" s="321">
        <f t="shared" si="7"/>
        <v>584318.33220000006</v>
      </c>
      <c r="P101" s="321">
        <f t="shared" si="7"/>
        <v>584318.33220000006</v>
      </c>
      <c r="Q101" s="321">
        <f t="shared" si="7"/>
        <v>584318.33220000006</v>
      </c>
      <c r="R101" s="321">
        <f t="shared" si="7"/>
        <v>584318.33220000006</v>
      </c>
      <c r="S101" s="321">
        <f t="shared" si="7"/>
        <v>584318.33220000006</v>
      </c>
      <c r="T101" s="321">
        <f t="shared" si="7"/>
        <v>584318.33220000006</v>
      </c>
      <c r="U101" s="321">
        <f t="shared" si="7"/>
        <v>584318.33220000006</v>
      </c>
      <c r="V101" s="321">
        <f t="shared" si="7"/>
        <v>584318.33220000006</v>
      </c>
      <c r="W101" s="321">
        <f t="shared" si="7"/>
        <v>584318.33220000006</v>
      </c>
      <c r="X101" s="321">
        <f t="shared" si="7"/>
        <v>584318.33220000006</v>
      </c>
      <c r="Y101" s="321">
        <f t="shared" si="7"/>
        <v>584318.33220000006</v>
      </c>
      <c r="Z101" s="321">
        <f t="shared" si="7"/>
        <v>584318.33220000006</v>
      </c>
      <c r="AA101" s="321">
        <f t="shared" si="7"/>
        <v>584318.33220000006</v>
      </c>
      <c r="AB101" s="321">
        <f t="shared" si="7"/>
        <v>584318.33220000006</v>
      </c>
      <c r="AC101" s="321">
        <f t="shared" si="7"/>
        <v>178205.80920000002</v>
      </c>
      <c r="AD101" s="321">
        <f t="shared" si="7"/>
        <v>0</v>
      </c>
      <c r="AE101" s="321">
        <f t="shared" si="7"/>
        <v>0</v>
      </c>
      <c r="AF101" s="321">
        <f t="shared" si="7"/>
        <v>0</v>
      </c>
      <c r="AG101" s="321">
        <f t="shared" si="7"/>
        <v>0</v>
      </c>
      <c r="AH101" s="321">
        <f t="shared" si="7"/>
        <v>0</v>
      </c>
      <c r="AI101" s="321">
        <f t="shared" si="7"/>
        <v>0</v>
      </c>
      <c r="AJ101" s="321">
        <f t="shared" si="7"/>
        <v>0</v>
      </c>
      <c r="AK101" s="321">
        <f t="shared" si="7"/>
        <v>0</v>
      </c>
      <c r="AL101" s="321">
        <f t="shared" si="7"/>
        <v>0</v>
      </c>
      <c r="AM101" s="322">
        <f t="shared" si="7"/>
        <v>0</v>
      </c>
    </row>
    <row r="102" spans="2:39">
      <c r="B102" s="232"/>
      <c r="C102" s="275"/>
      <c r="D102" s="220"/>
      <c r="E102" s="220"/>
      <c r="F102" s="220"/>
      <c r="G102" s="220"/>
      <c r="H102" s="220"/>
      <c r="I102" s="220"/>
      <c r="J102" s="220"/>
      <c r="K102" s="220"/>
      <c r="L102" s="220"/>
      <c r="M102" s="220"/>
      <c r="N102" s="220"/>
      <c r="O102" s="220"/>
      <c r="P102" s="220"/>
      <c r="Q102" s="220"/>
      <c r="R102" s="220"/>
      <c r="S102" s="220"/>
      <c r="T102" s="220"/>
      <c r="U102" s="220"/>
      <c r="V102" s="220"/>
      <c r="W102" s="220"/>
      <c r="X102" s="220"/>
      <c r="Y102" s="220"/>
      <c r="Z102" s="220"/>
      <c r="AA102" s="220"/>
      <c r="AB102" s="220"/>
      <c r="AC102" s="220"/>
      <c r="AD102" s="220"/>
      <c r="AE102" s="220"/>
      <c r="AF102" s="220"/>
      <c r="AG102" s="220"/>
      <c r="AH102" s="220"/>
      <c r="AI102" s="220"/>
      <c r="AJ102" s="220"/>
      <c r="AK102" s="220"/>
      <c r="AL102" s="220"/>
      <c r="AM102" s="220"/>
    </row>
    <row r="103" spans="2:39" ht="12.95">
      <c r="B103" s="325"/>
      <c r="D103" s="326" t="s">
        <v>432</v>
      </c>
      <c r="E103" s="326" t="s">
        <v>433</v>
      </c>
    </row>
    <row r="105" spans="2:39" s="326" customFormat="1" ht="12.95">
      <c r="B105" s="283" t="s">
        <v>434</v>
      </c>
      <c r="C105" s="312" t="s">
        <v>417</v>
      </c>
      <c r="D105" s="320"/>
      <c r="E105" s="321">
        <f t="shared" ref="E105:AM105" si="8">IF(E76&lt;=$D37,$D106*$D38,0)</f>
        <v>0</v>
      </c>
      <c r="F105" s="321">
        <f t="shared" si="8"/>
        <v>0</v>
      </c>
      <c r="G105" s="321">
        <f t="shared" si="8"/>
        <v>0</v>
      </c>
      <c r="H105" s="321">
        <f t="shared" si="8"/>
        <v>0</v>
      </c>
      <c r="I105" s="321">
        <f t="shared" si="8"/>
        <v>0</v>
      </c>
      <c r="J105" s="321">
        <f t="shared" si="8"/>
        <v>0</v>
      </c>
      <c r="K105" s="321">
        <f t="shared" si="8"/>
        <v>0</v>
      </c>
      <c r="L105" s="321">
        <f t="shared" si="8"/>
        <v>0</v>
      </c>
      <c r="M105" s="321">
        <f t="shared" si="8"/>
        <v>0</v>
      </c>
      <c r="N105" s="321">
        <f t="shared" si="8"/>
        <v>0</v>
      </c>
      <c r="O105" s="321">
        <f t="shared" si="8"/>
        <v>0</v>
      </c>
      <c r="P105" s="321">
        <f t="shared" si="8"/>
        <v>0</v>
      </c>
      <c r="Q105" s="321">
        <f t="shared" si="8"/>
        <v>0</v>
      </c>
      <c r="R105" s="321">
        <f t="shared" si="8"/>
        <v>0</v>
      </c>
      <c r="S105" s="321">
        <f t="shared" si="8"/>
        <v>0</v>
      </c>
      <c r="T105" s="321">
        <f t="shared" si="8"/>
        <v>0</v>
      </c>
      <c r="U105" s="321">
        <f t="shared" si="8"/>
        <v>0</v>
      </c>
      <c r="V105" s="321">
        <f t="shared" si="8"/>
        <v>0</v>
      </c>
      <c r="W105" s="321">
        <f t="shared" si="8"/>
        <v>0</v>
      </c>
      <c r="X105" s="321">
        <f t="shared" si="8"/>
        <v>0</v>
      </c>
      <c r="Y105" s="321">
        <f t="shared" si="8"/>
        <v>0</v>
      </c>
      <c r="Z105" s="321">
        <f t="shared" si="8"/>
        <v>0</v>
      </c>
      <c r="AA105" s="321">
        <f t="shared" si="8"/>
        <v>0</v>
      </c>
      <c r="AB105" s="321">
        <f t="shared" si="8"/>
        <v>0</v>
      </c>
      <c r="AC105" s="321">
        <f t="shared" si="8"/>
        <v>0</v>
      </c>
      <c r="AD105" s="321">
        <f t="shared" si="8"/>
        <v>0</v>
      </c>
      <c r="AE105" s="321">
        <f t="shared" si="8"/>
        <v>0</v>
      </c>
      <c r="AF105" s="321">
        <f t="shared" si="8"/>
        <v>0</v>
      </c>
      <c r="AG105" s="321">
        <f t="shared" si="8"/>
        <v>0</v>
      </c>
      <c r="AH105" s="321">
        <f t="shared" si="8"/>
        <v>0</v>
      </c>
      <c r="AI105" s="321">
        <f t="shared" si="8"/>
        <v>0</v>
      </c>
      <c r="AJ105" s="321">
        <f t="shared" si="8"/>
        <v>0</v>
      </c>
      <c r="AK105" s="321">
        <f t="shared" si="8"/>
        <v>0</v>
      </c>
      <c r="AL105" s="321">
        <f t="shared" si="8"/>
        <v>0</v>
      </c>
      <c r="AM105" s="322">
        <f t="shared" si="8"/>
        <v>0</v>
      </c>
    </row>
    <row r="106" spans="2:39">
      <c r="B106" s="276" t="s">
        <v>435</v>
      </c>
      <c r="C106" s="259" t="s">
        <v>331</v>
      </c>
      <c r="D106" s="327">
        <f>'SenSolarPV Financial Analys'!D27*(1-D34)</f>
        <v>0</v>
      </c>
    </row>
    <row r="107" spans="2:39">
      <c r="D107" s="281"/>
    </row>
    <row r="108" spans="2:39" s="331" customFormat="1" ht="12.95">
      <c r="B108" s="276" t="s">
        <v>436</v>
      </c>
      <c r="C108" s="259" t="s">
        <v>437</v>
      </c>
      <c r="D108" s="328">
        <f t="shared" ref="D108:AM108" si="9">D78/((1+$D41)^D76)</f>
        <v>12619429.045920003</v>
      </c>
      <c r="E108" s="329">
        <f t="shared" si="9"/>
        <v>10516190.871600004</v>
      </c>
      <c r="F108" s="329">
        <f t="shared" si="9"/>
        <v>8763492.393000003</v>
      </c>
      <c r="G108" s="329">
        <f t="shared" si="9"/>
        <v>7302910.3275000015</v>
      </c>
      <c r="H108" s="329">
        <f t="shared" si="9"/>
        <v>6085758.606250002</v>
      </c>
      <c r="I108" s="329">
        <f t="shared" si="9"/>
        <v>4609089.9265046306</v>
      </c>
      <c r="J108" s="329">
        <f t="shared" si="9"/>
        <v>3840908.2720871926</v>
      </c>
      <c r="K108" s="329">
        <f t="shared" si="9"/>
        <v>3200756.8934059939</v>
      </c>
      <c r="L108" s="329">
        <f t="shared" si="9"/>
        <v>2667297.4111716617</v>
      </c>
      <c r="M108" s="329">
        <f t="shared" si="9"/>
        <v>2222747.8426430514</v>
      </c>
      <c r="N108" s="329">
        <f t="shared" si="9"/>
        <v>1852289.8688692094</v>
      </c>
      <c r="O108" s="329">
        <f t="shared" si="9"/>
        <v>1543574.8907243414</v>
      </c>
      <c r="P108" s="329">
        <f t="shared" si="9"/>
        <v>1286312.4089369511</v>
      </c>
      <c r="Q108" s="329">
        <f t="shared" si="9"/>
        <v>1071927.0074474593</v>
      </c>
      <c r="R108" s="329">
        <f t="shared" si="9"/>
        <v>893272.50620621617</v>
      </c>
      <c r="S108" s="329">
        <f t="shared" si="9"/>
        <v>744393.75517184671</v>
      </c>
      <c r="T108" s="329">
        <f t="shared" si="9"/>
        <v>620328.1293098724</v>
      </c>
      <c r="U108" s="329">
        <f t="shared" si="9"/>
        <v>516940.10775822698</v>
      </c>
      <c r="V108" s="329">
        <f t="shared" si="9"/>
        <v>430783.42313185579</v>
      </c>
      <c r="W108" s="329">
        <f t="shared" si="9"/>
        <v>358986.18594321318</v>
      </c>
      <c r="X108" s="329">
        <f t="shared" si="9"/>
        <v>299155.15495267767</v>
      </c>
      <c r="Y108" s="329">
        <f t="shared" si="9"/>
        <v>249295.96246056471</v>
      </c>
      <c r="Z108" s="329">
        <f t="shared" si="9"/>
        <v>207746.63538380395</v>
      </c>
      <c r="AA108" s="329">
        <f t="shared" si="9"/>
        <v>173122.19615316996</v>
      </c>
      <c r="AB108" s="329">
        <f t="shared" si="9"/>
        <v>144268.4967943083</v>
      </c>
      <c r="AC108" s="329">
        <f t="shared" si="9"/>
        <v>0</v>
      </c>
      <c r="AD108" s="329">
        <f t="shared" si="9"/>
        <v>0</v>
      </c>
      <c r="AE108" s="329">
        <f t="shared" si="9"/>
        <v>0</v>
      </c>
      <c r="AF108" s="329">
        <f t="shared" si="9"/>
        <v>0</v>
      </c>
      <c r="AG108" s="329">
        <f t="shared" si="9"/>
        <v>0</v>
      </c>
      <c r="AH108" s="329">
        <f t="shared" si="9"/>
        <v>0</v>
      </c>
      <c r="AI108" s="329">
        <f t="shared" si="9"/>
        <v>0</v>
      </c>
      <c r="AJ108" s="329">
        <f t="shared" si="9"/>
        <v>0</v>
      </c>
      <c r="AK108" s="329">
        <f t="shared" si="9"/>
        <v>0</v>
      </c>
      <c r="AL108" s="329">
        <f t="shared" si="9"/>
        <v>0</v>
      </c>
      <c r="AM108" s="330">
        <f t="shared" si="9"/>
        <v>0</v>
      </c>
    </row>
    <row r="109" spans="2:39" s="331" customFormat="1" ht="12.95">
      <c r="B109" s="294" t="s">
        <v>438</v>
      </c>
      <c r="C109" s="332" t="s">
        <v>439</v>
      </c>
      <c r="D109" s="296">
        <f>D101/(1+$D41)^D76</f>
        <v>584318.33220000006</v>
      </c>
      <c r="E109" s="297">
        <f>E101/(1+$D41)^E76</f>
        <v>486931.94350000005</v>
      </c>
      <c r="F109" s="297">
        <f t="shared" ref="F109:AM109" si="10">F101/(1+$D41)^F76</f>
        <v>405776.61958333338</v>
      </c>
      <c r="G109" s="297">
        <f t="shared" si="10"/>
        <v>338147.18298611115</v>
      </c>
      <c r="H109" s="297">
        <f t="shared" si="10"/>
        <v>281789.31915509264</v>
      </c>
      <c r="I109" s="297">
        <f t="shared" si="10"/>
        <v>234824.43262924388</v>
      </c>
      <c r="J109" s="297">
        <f t="shared" si="10"/>
        <v>195687.02719103656</v>
      </c>
      <c r="K109" s="297">
        <f t="shared" si="10"/>
        <v>163072.52265919713</v>
      </c>
      <c r="L109" s="297">
        <f t="shared" si="10"/>
        <v>135893.7688826643</v>
      </c>
      <c r="M109" s="297">
        <f t="shared" si="10"/>
        <v>113244.80740222023</v>
      </c>
      <c r="N109" s="297">
        <f t="shared" si="10"/>
        <v>94370.672835183534</v>
      </c>
      <c r="O109" s="297">
        <f t="shared" si="10"/>
        <v>78642.22736265295</v>
      </c>
      <c r="P109" s="297">
        <f t="shared" si="10"/>
        <v>65535.189468877463</v>
      </c>
      <c r="Q109" s="297">
        <f t="shared" si="10"/>
        <v>54612.657890731214</v>
      </c>
      <c r="R109" s="297">
        <f t="shared" si="10"/>
        <v>45510.548242276018</v>
      </c>
      <c r="S109" s="297">
        <f t="shared" si="10"/>
        <v>37925.456868563342</v>
      </c>
      <c r="T109" s="297">
        <f t="shared" si="10"/>
        <v>31604.547390469459</v>
      </c>
      <c r="U109" s="297">
        <f t="shared" si="10"/>
        <v>26337.122825391216</v>
      </c>
      <c r="V109" s="297">
        <f t="shared" si="10"/>
        <v>21947.602354492679</v>
      </c>
      <c r="W109" s="297">
        <f t="shared" si="10"/>
        <v>18289.668628743901</v>
      </c>
      <c r="X109" s="297">
        <f t="shared" si="10"/>
        <v>15241.390523953249</v>
      </c>
      <c r="Y109" s="297">
        <f t="shared" si="10"/>
        <v>12701.158769961041</v>
      </c>
      <c r="Z109" s="297">
        <f t="shared" si="10"/>
        <v>10584.298974967536</v>
      </c>
      <c r="AA109" s="297">
        <f t="shared" si="10"/>
        <v>8820.2491458062796</v>
      </c>
      <c r="AB109" s="297">
        <f t="shared" si="10"/>
        <v>7350.2076215052339</v>
      </c>
      <c r="AC109" s="297">
        <f t="shared" si="10"/>
        <v>1868.0595045493299</v>
      </c>
      <c r="AD109" s="297">
        <f t="shared" si="10"/>
        <v>0</v>
      </c>
      <c r="AE109" s="297">
        <f t="shared" si="10"/>
        <v>0</v>
      </c>
      <c r="AF109" s="297">
        <f t="shared" si="10"/>
        <v>0</v>
      </c>
      <c r="AG109" s="297">
        <f t="shared" si="10"/>
        <v>0</v>
      </c>
      <c r="AH109" s="297">
        <f t="shared" si="10"/>
        <v>0</v>
      </c>
      <c r="AI109" s="297">
        <f t="shared" si="10"/>
        <v>0</v>
      </c>
      <c r="AJ109" s="297">
        <f t="shared" si="10"/>
        <v>0</v>
      </c>
      <c r="AK109" s="297">
        <f t="shared" si="10"/>
        <v>0</v>
      </c>
      <c r="AL109" s="297">
        <f t="shared" si="10"/>
        <v>0</v>
      </c>
      <c r="AM109" s="298">
        <f t="shared" si="10"/>
        <v>0</v>
      </c>
    </row>
    <row r="110" spans="2:39" s="331" customFormat="1" ht="12.95">
      <c r="B110" s="333" t="s">
        <v>440</v>
      </c>
      <c r="C110" s="334" t="s">
        <v>441</v>
      </c>
      <c r="D110" s="335">
        <f>(D101-D128)/(1+$D41)^D76</f>
        <v>688675.45786097832</v>
      </c>
      <c r="E110" s="336">
        <f t="shared" ref="E110:AM110" si="11">(E101-E128)/(1+$D41)^E76</f>
        <v>573896.21488414868</v>
      </c>
      <c r="F110" s="336">
        <f t="shared" si="11"/>
        <v>478246.84573679051</v>
      </c>
      <c r="G110" s="336">
        <f t="shared" si="11"/>
        <v>398539.03811399208</v>
      </c>
      <c r="H110" s="336">
        <f t="shared" si="11"/>
        <v>332115.86509499344</v>
      </c>
      <c r="I110" s="336">
        <f t="shared" si="11"/>
        <v>272939.57832186949</v>
      </c>
      <c r="J110" s="336">
        <f t="shared" si="11"/>
        <v>227449.64860155791</v>
      </c>
      <c r="K110" s="336">
        <f t="shared" si="11"/>
        <v>189541.37383463161</v>
      </c>
      <c r="L110" s="336">
        <f t="shared" si="11"/>
        <v>157951.144862193</v>
      </c>
      <c r="M110" s="336">
        <f t="shared" si="11"/>
        <v>131625.95405182752</v>
      </c>
      <c r="N110" s="336">
        <f t="shared" si="11"/>
        <v>109688.29504318959</v>
      </c>
      <c r="O110" s="336">
        <f t="shared" si="11"/>
        <v>91406.912535991331</v>
      </c>
      <c r="P110" s="336">
        <f t="shared" si="11"/>
        <v>76172.427113326121</v>
      </c>
      <c r="Q110" s="336">
        <f t="shared" si="11"/>
        <v>63477.022594438422</v>
      </c>
      <c r="R110" s="336">
        <f t="shared" si="11"/>
        <v>52897.518828698696</v>
      </c>
      <c r="S110" s="336">
        <f t="shared" si="11"/>
        <v>44081.265690582244</v>
      </c>
      <c r="T110" s="336">
        <f t="shared" si="11"/>
        <v>36734.388075485207</v>
      </c>
      <c r="U110" s="336">
        <f t="shared" si="11"/>
        <v>30611.99006290434</v>
      </c>
      <c r="V110" s="336">
        <f t="shared" si="11"/>
        <v>25509.991719086949</v>
      </c>
      <c r="W110" s="336">
        <f t="shared" si="11"/>
        <v>21258.326432572456</v>
      </c>
      <c r="X110" s="336">
        <f t="shared" si="11"/>
        <v>17715.272027143714</v>
      </c>
      <c r="Y110" s="336">
        <f t="shared" si="11"/>
        <v>14762.72668928643</v>
      </c>
      <c r="Z110" s="336">
        <f t="shared" si="11"/>
        <v>12302.272241072025</v>
      </c>
      <c r="AA110" s="336">
        <f t="shared" si="11"/>
        <v>10251.893534226689</v>
      </c>
      <c r="AB110" s="336">
        <f t="shared" si="11"/>
        <v>8543.2446118555745</v>
      </c>
      <c r="AC110" s="336" t="e">
        <f t="shared" si="11"/>
        <v>#REF!</v>
      </c>
      <c r="AD110" s="336" t="e">
        <f t="shared" si="11"/>
        <v>#REF!</v>
      </c>
      <c r="AE110" s="336">
        <f t="shared" si="11"/>
        <v>0</v>
      </c>
      <c r="AF110" s="336">
        <f t="shared" si="11"/>
        <v>0</v>
      </c>
      <c r="AG110" s="336">
        <f t="shared" si="11"/>
        <v>0</v>
      </c>
      <c r="AH110" s="336">
        <f t="shared" si="11"/>
        <v>0</v>
      </c>
      <c r="AI110" s="336">
        <f t="shared" si="11"/>
        <v>0</v>
      </c>
      <c r="AJ110" s="336">
        <f t="shared" si="11"/>
        <v>0</v>
      </c>
      <c r="AK110" s="336">
        <f t="shared" si="11"/>
        <v>0</v>
      </c>
      <c r="AL110" s="336">
        <f t="shared" si="11"/>
        <v>0</v>
      </c>
      <c r="AM110" s="337">
        <f t="shared" si="11"/>
        <v>0</v>
      </c>
    </row>
    <row r="111" spans="2:39" s="331" customFormat="1" ht="12.95">
      <c r="B111" s="294" t="s">
        <v>442</v>
      </c>
      <c r="C111" s="332" t="s">
        <v>439</v>
      </c>
      <c r="D111" s="296">
        <f t="shared" ref="D111:AM111" si="12">(D147)/(1+$D41)^D76</f>
        <v>1009554.3236736003</v>
      </c>
      <c r="E111" s="297">
        <f t="shared" si="12"/>
        <v>841295.26972800028</v>
      </c>
      <c r="F111" s="297">
        <f t="shared" si="12"/>
        <v>701079.39144000027</v>
      </c>
      <c r="G111" s="297">
        <f t="shared" si="12"/>
        <v>584232.82620000024</v>
      </c>
      <c r="H111" s="297">
        <f t="shared" si="12"/>
        <v>486860.68850000016</v>
      </c>
      <c r="I111" s="297">
        <f t="shared" si="12"/>
        <v>368727.19412037049</v>
      </c>
      <c r="J111" s="297">
        <f t="shared" si="12"/>
        <v>307272.66176697542</v>
      </c>
      <c r="K111" s="297">
        <f t="shared" si="12"/>
        <v>256060.55147247954</v>
      </c>
      <c r="L111" s="297">
        <f t="shared" si="12"/>
        <v>213383.79289373296</v>
      </c>
      <c r="M111" s="297">
        <f t="shared" si="12"/>
        <v>177819.82741144413</v>
      </c>
      <c r="N111" s="297">
        <f t="shared" si="12"/>
        <v>148183.18950953678</v>
      </c>
      <c r="O111" s="297">
        <f t="shared" si="12"/>
        <v>123485.99125794732</v>
      </c>
      <c r="P111" s="297">
        <f t="shared" si="12"/>
        <v>102904.9927149561</v>
      </c>
      <c r="Q111" s="297">
        <f t="shared" si="12"/>
        <v>85754.16059579674</v>
      </c>
      <c r="R111" s="297">
        <f t="shared" si="12"/>
        <v>71461.800496497293</v>
      </c>
      <c r="S111" s="297">
        <f t="shared" si="12"/>
        <v>59551.500413747744</v>
      </c>
      <c r="T111" s="297">
        <f t="shared" si="12"/>
        <v>49626.250344789791</v>
      </c>
      <c r="U111" s="297">
        <f t="shared" si="12"/>
        <v>41355.208620658159</v>
      </c>
      <c r="V111" s="297">
        <f t="shared" si="12"/>
        <v>34462.673850548468</v>
      </c>
      <c r="W111" s="297">
        <f t="shared" si="12"/>
        <v>28718.894875457056</v>
      </c>
      <c r="X111" s="297">
        <f t="shared" si="12"/>
        <v>23932.412396214211</v>
      </c>
      <c r="Y111" s="297">
        <f t="shared" si="12"/>
        <v>19943.676996845177</v>
      </c>
      <c r="Z111" s="297">
        <f t="shared" si="12"/>
        <v>16619.730830704317</v>
      </c>
      <c r="AA111" s="297">
        <f t="shared" si="12"/>
        <v>13849.775692253597</v>
      </c>
      <c r="AB111" s="297">
        <f t="shared" si="12"/>
        <v>11541.479743544665</v>
      </c>
      <c r="AC111" s="297">
        <f t="shared" si="12"/>
        <v>0</v>
      </c>
      <c r="AD111" s="297">
        <f t="shared" si="12"/>
        <v>0</v>
      </c>
      <c r="AE111" s="297">
        <f t="shared" si="12"/>
        <v>0</v>
      </c>
      <c r="AF111" s="297">
        <f t="shared" si="12"/>
        <v>0</v>
      </c>
      <c r="AG111" s="297">
        <f t="shared" si="12"/>
        <v>0</v>
      </c>
      <c r="AH111" s="297">
        <f t="shared" si="12"/>
        <v>0</v>
      </c>
      <c r="AI111" s="297">
        <f t="shared" si="12"/>
        <v>0</v>
      </c>
      <c r="AJ111" s="297">
        <f t="shared" si="12"/>
        <v>0</v>
      </c>
      <c r="AK111" s="297">
        <f t="shared" si="12"/>
        <v>0</v>
      </c>
      <c r="AL111" s="297">
        <f t="shared" si="12"/>
        <v>0</v>
      </c>
      <c r="AM111" s="298">
        <f t="shared" si="12"/>
        <v>0</v>
      </c>
    </row>
    <row r="112" spans="2:39" s="331" customFormat="1" ht="12.95">
      <c r="B112" s="294" t="s">
        <v>443</v>
      </c>
      <c r="C112" s="332" t="s">
        <v>439</v>
      </c>
      <c r="D112" s="296">
        <f t="shared" ref="D112:AM112" si="13">(D122)/(1+$D41)^D76</f>
        <v>403049.39745250001</v>
      </c>
      <c r="E112" s="297">
        <f t="shared" si="13"/>
        <v>335874.49787708337</v>
      </c>
      <c r="F112" s="297">
        <f t="shared" si="13"/>
        <v>279895.41489756946</v>
      </c>
      <c r="G112" s="297">
        <f t="shared" si="13"/>
        <v>233246.17908130787</v>
      </c>
      <c r="H112" s="297">
        <f t="shared" si="13"/>
        <v>194371.8159010899</v>
      </c>
      <c r="I112" s="297">
        <f t="shared" si="13"/>
        <v>147208.79295903569</v>
      </c>
      <c r="J112" s="297">
        <f t="shared" si="13"/>
        <v>122673.99413252976</v>
      </c>
      <c r="K112" s="297">
        <f t="shared" si="13"/>
        <v>102228.32844377479</v>
      </c>
      <c r="L112" s="297">
        <f t="shared" si="13"/>
        <v>85190.273703145664</v>
      </c>
      <c r="M112" s="297">
        <f t="shared" si="13"/>
        <v>70991.894752621389</v>
      </c>
      <c r="N112" s="297">
        <f t="shared" si="13"/>
        <v>59159.912293851157</v>
      </c>
      <c r="O112" s="297">
        <f t="shared" si="13"/>
        <v>49299.926911542636</v>
      </c>
      <c r="P112" s="297">
        <f t="shared" si="13"/>
        <v>41083.272426285534</v>
      </c>
      <c r="Q112" s="297">
        <f t="shared" si="13"/>
        <v>34236.06035523794</v>
      </c>
      <c r="R112" s="297">
        <f t="shared" si="13"/>
        <v>28530.050296031619</v>
      </c>
      <c r="S112" s="297">
        <f t="shared" si="13"/>
        <v>23775.041913359681</v>
      </c>
      <c r="T112" s="297">
        <f t="shared" si="13"/>
        <v>19812.534927799737</v>
      </c>
      <c r="U112" s="297">
        <f t="shared" si="13"/>
        <v>16510.445773166448</v>
      </c>
      <c r="V112" s="297">
        <f t="shared" si="13"/>
        <v>13758.70481097204</v>
      </c>
      <c r="W112" s="297">
        <f t="shared" si="13"/>
        <v>11465.5873424767</v>
      </c>
      <c r="X112" s="297">
        <f t="shared" si="13"/>
        <v>9554.6561187305833</v>
      </c>
      <c r="Y112" s="297">
        <f t="shared" si="13"/>
        <v>7962.2134322754864</v>
      </c>
      <c r="Z112" s="297">
        <f t="shared" si="13"/>
        <v>6635.1778602295726</v>
      </c>
      <c r="AA112" s="297">
        <f t="shared" si="13"/>
        <v>5529.3148835246438</v>
      </c>
      <c r="AB112" s="297">
        <f t="shared" si="13"/>
        <v>4607.7624029372037</v>
      </c>
      <c r="AC112" s="297">
        <f t="shared" si="13"/>
        <v>0</v>
      </c>
      <c r="AD112" s="297">
        <f t="shared" si="13"/>
        <v>0</v>
      </c>
      <c r="AE112" s="297">
        <f t="shared" si="13"/>
        <v>0</v>
      </c>
      <c r="AF112" s="297">
        <f t="shared" si="13"/>
        <v>0</v>
      </c>
      <c r="AG112" s="297">
        <f t="shared" si="13"/>
        <v>0</v>
      </c>
      <c r="AH112" s="297">
        <f t="shared" si="13"/>
        <v>0</v>
      </c>
      <c r="AI112" s="297">
        <f t="shared" si="13"/>
        <v>0</v>
      </c>
      <c r="AJ112" s="297">
        <f t="shared" si="13"/>
        <v>0</v>
      </c>
      <c r="AK112" s="297">
        <f t="shared" si="13"/>
        <v>0</v>
      </c>
      <c r="AL112" s="297">
        <f t="shared" si="13"/>
        <v>0</v>
      </c>
      <c r="AM112" s="298">
        <f t="shared" si="13"/>
        <v>0</v>
      </c>
    </row>
    <row r="113" spans="1:39" s="331" customFormat="1" ht="12.95">
      <c r="B113" s="294" t="s">
        <v>444</v>
      </c>
      <c r="C113" s="332" t="s">
        <v>439</v>
      </c>
      <c r="D113" s="296">
        <f t="shared" ref="D113:AM113" si="14">(D128)/(1+$D41)^D76</f>
        <v>-104357.12566097823</v>
      </c>
      <c r="E113" s="297">
        <f t="shared" si="14"/>
        <v>-86964.271384148524</v>
      </c>
      <c r="F113" s="297">
        <f t="shared" si="14"/>
        <v>-72470.226153457101</v>
      </c>
      <c r="G113" s="297">
        <f t="shared" si="14"/>
        <v>-60391.855127880917</v>
      </c>
      <c r="H113" s="297">
        <f t="shared" si="14"/>
        <v>-50326.545939900767</v>
      </c>
      <c r="I113" s="297">
        <f t="shared" si="14"/>
        <v>-38115.145692625636</v>
      </c>
      <c r="J113" s="297">
        <f t="shared" si="14"/>
        <v>-31762.621410521362</v>
      </c>
      <c r="K113" s="297">
        <f t="shared" si="14"/>
        <v>-26468.851175434469</v>
      </c>
      <c r="L113" s="297">
        <f t="shared" si="14"/>
        <v>-22057.375979528726</v>
      </c>
      <c r="M113" s="297">
        <f t="shared" si="14"/>
        <v>-18381.146649607272</v>
      </c>
      <c r="N113" s="297">
        <f t="shared" si="14"/>
        <v>-15317.62220800606</v>
      </c>
      <c r="O113" s="297">
        <f t="shared" si="14"/>
        <v>-12764.685173338383</v>
      </c>
      <c r="P113" s="297">
        <f t="shared" si="14"/>
        <v>-10637.237644448653</v>
      </c>
      <c r="Q113" s="297">
        <f t="shared" si="14"/>
        <v>-8864.3647037072114</v>
      </c>
      <c r="R113" s="297">
        <f t="shared" si="14"/>
        <v>-7386.9705864226762</v>
      </c>
      <c r="S113" s="297">
        <f t="shared" si="14"/>
        <v>-6155.8088220188965</v>
      </c>
      <c r="T113" s="297">
        <f t="shared" si="14"/>
        <v>-5129.840685015748</v>
      </c>
      <c r="U113" s="297">
        <f t="shared" si="14"/>
        <v>-4274.8672375131237</v>
      </c>
      <c r="V113" s="297">
        <f t="shared" si="14"/>
        <v>-3562.3893645942694</v>
      </c>
      <c r="W113" s="297">
        <f t="shared" si="14"/>
        <v>-2968.6578038285579</v>
      </c>
      <c r="X113" s="297">
        <f t="shared" si="14"/>
        <v>-2473.8815031904646</v>
      </c>
      <c r="Y113" s="297">
        <f t="shared" si="14"/>
        <v>-2061.5679193253873</v>
      </c>
      <c r="Z113" s="297">
        <f t="shared" si="14"/>
        <v>-1717.9732661044898</v>
      </c>
      <c r="AA113" s="297">
        <f t="shared" si="14"/>
        <v>-1431.6443884204082</v>
      </c>
      <c r="AB113" s="297">
        <f t="shared" si="14"/>
        <v>-1193.0369903503401</v>
      </c>
      <c r="AC113" s="297" t="e">
        <f t="shared" si="14"/>
        <v>#REF!</v>
      </c>
      <c r="AD113" s="297" t="e">
        <f t="shared" si="14"/>
        <v>#REF!</v>
      </c>
      <c r="AE113" s="297">
        <f t="shared" si="14"/>
        <v>0</v>
      </c>
      <c r="AF113" s="297">
        <f t="shared" si="14"/>
        <v>0</v>
      </c>
      <c r="AG113" s="297">
        <f t="shared" si="14"/>
        <v>0</v>
      </c>
      <c r="AH113" s="297">
        <f t="shared" si="14"/>
        <v>0</v>
      </c>
      <c r="AI113" s="297">
        <f t="shared" si="14"/>
        <v>0</v>
      </c>
      <c r="AJ113" s="297">
        <f t="shared" si="14"/>
        <v>0</v>
      </c>
      <c r="AK113" s="297">
        <f t="shared" si="14"/>
        <v>0</v>
      </c>
      <c r="AL113" s="297">
        <f t="shared" si="14"/>
        <v>0</v>
      </c>
      <c r="AM113" s="298">
        <f t="shared" si="14"/>
        <v>0</v>
      </c>
    </row>
    <row r="114" spans="1:39" s="331" customFormat="1" ht="12.95">
      <c r="B114" s="338"/>
      <c r="C114" s="339"/>
      <c r="D114" s="340"/>
      <c r="E114" s="340"/>
      <c r="F114" s="340"/>
      <c r="G114" s="340"/>
      <c r="H114" s="340"/>
      <c r="I114" s="340"/>
      <c r="J114" s="340"/>
      <c r="K114" s="340"/>
      <c r="L114" s="340"/>
      <c r="M114" s="340"/>
      <c r="N114" s="340"/>
      <c r="O114" s="340"/>
      <c r="P114" s="340"/>
      <c r="Q114" s="340"/>
      <c r="R114" s="340"/>
      <c r="S114" s="340"/>
      <c r="T114" s="340"/>
      <c r="U114" s="340"/>
      <c r="V114" s="340"/>
      <c r="W114" s="340"/>
      <c r="X114" s="340"/>
      <c r="Y114" s="340"/>
      <c r="Z114" s="340"/>
      <c r="AA114" s="340"/>
      <c r="AB114" s="340"/>
      <c r="AC114" s="340"/>
      <c r="AD114" s="340"/>
      <c r="AE114" s="340"/>
      <c r="AF114" s="340"/>
      <c r="AG114" s="340"/>
      <c r="AH114" s="340"/>
      <c r="AI114" s="340"/>
      <c r="AJ114" s="340"/>
      <c r="AK114" s="340"/>
      <c r="AL114" s="340"/>
      <c r="AM114" s="340"/>
    </row>
    <row r="116" spans="1:39" ht="12.95">
      <c r="B116" s="283" t="s">
        <v>445</v>
      </c>
      <c r="C116" s="312" t="s">
        <v>364</v>
      </c>
    </row>
    <row r="117" spans="1:39">
      <c r="B117" s="276" t="s">
        <v>496</v>
      </c>
      <c r="C117" s="315" t="s">
        <v>446</v>
      </c>
      <c r="D117" s="341">
        <f>D78*(0-$C$31)*$D$23</f>
        <v>-3366.3588922896201</v>
      </c>
      <c r="E117" s="341">
        <f>E78*(0-$C$31)*$D$23</f>
        <v>-3366.3588922896201</v>
      </c>
      <c r="F117" s="341">
        <f>F78*(0-$C$31)*$D$23</f>
        <v>-3366.3588922896201</v>
      </c>
      <c r="G117" s="341">
        <f>G78*(0-$C$31)*$D$23</f>
        <v>-3366.3588922896201</v>
      </c>
      <c r="H117" s="341">
        <f>H78*(0-$C$31)*$D$23</f>
        <v>-3366.3588922896201</v>
      </c>
      <c r="I117" s="341">
        <f>I78*(0-$C$31)*$D$23</f>
        <v>-3059.4412687056197</v>
      </c>
      <c r="J117" s="341">
        <f>J78*(0-$C$31)*$D$23</f>
        <v>-3059.4412687056197</v>
      </c>
      <c r="K117" s="341">
        <f>K78*(0-$C$31)*$D$23</f>
        <v>-3059.4412687056197</v>
      </c>
      <c r="L117" s="341">
        <f>L78*(0-$C$31)*$D$23</f>
        <v>-3059.4412687056197</v>
      </c>
      <c r="M117" s="341">
        <f>M78*(0-$C$31)*$D$23</f>
        <v>-3059.4412687056197</v>
      </c>
      <c r="N117" s="341">
        <f>N78*(0-$C$31)*$D$23</f>
        <v>-3059.4412687056197</v>
      </c>
      <c r="O117" s="341">
        <f>O78*(0-$C$31)*$D$23</f>
        <v>-3059.4412687056197</v>
      </c>
      <c r="P117" s="341">
        <f>P78*(0-$C$31)*$D$23</f>
        <v>-3059.4412687056197</v>
      </c>
      <c r="Q117" s="341">
        <f>Q78*(0-$C$31)*$D$23</f>
        <v>-3059.4412687056197</v>
      </c>
      <c r="R117" s="341">
        <f>R78*(0-$C$31)*$D$23</f>
        <v>-3059.4412687056197</v>
      </c>
      <c r="S117" s="341">
        <f>S78*(0-$C$31)*$D$23</f>
        <v>-3059.4412687056197</v>
      </c>
      <c r="T117" s="341">
        <f>T78*(0-$C$31)*$D$23</f>
        <v>-3059.4412687056197</v>
      </c>
      <c r="U117" s="341">
        <f>U78*(0-$C$31)*$D$23</f>
        <v>-3059.4412687056197</v>
      </c>
      <c r="V117" s="341">
        <f>V78*(0-$C$31)*$D$23</f>
        <v>-3059.4412687056197</v>
      </c>
      <c r="W117" s="341">
        <f>W78*(0-$C$31)*$D$23</f>
        <v>-3059.4412687056197</v>
      </c>
      <c r="X117" s="341">
        <f>X78*(0-$C$31)*$D$23</f>
        <v>-3059.4412687056197</v>
      </c>
      <c r="Y117" s="341">
        <f>Y78*(0-$C$31)*$D$23</f>
        <v>-3059.4412687056197</v>
      </c>
      <c r="Z117" s="341">
        <f>Z78*(0-$C$31)*$D$23</f>
        <v>-3059.4412687056197</v>
      </c>
      <c r="AA117" s="341">
        <f>AA78*(0-$C$31)*$D$23</f>
        <v>-3059.4412687056197</v>
      </c>
      <c r="AB117" s="341">
        <f>AB78*(0-$C$31)*$D$23</f>
        <v>-3059.4412687056197</v>
      </c>
      <c r="AC117" s="341" t="e">
        <f>AC78*(0-#REF!)/$C$30</f>
        <v>#REF!</v>
      </c>
      <c r="AD117" s="341" t="e">
        <f>AD78*(0-#REF!)/$C$30</f>
        <v>#REF!</v>
      </c>
      <c r="AE117" s="342">
        <f>AE78*(0-$D$22)/$C$30</f>
        <v>0</v>
      </c>
      <c r="AF117" s="342">
        <f>AF78*(0-$D$22)/$C$30</f>
        <v>0</v>
      </c>
      <c r="AG117" s="342">
        <f>AG78*(0-$D$22)/$C$30</f>
        <v>0</v>
      </c>
      <c r="AH117" s="342">
        <f>AH78*(0-$D$22)/$C$30</f>
        <v>0</v>
      </c>
      <c r="AI117" s="342">
        <f>AI78*(0-$D$22)/$C$30</f>
        <v>0</v>
      </c>
      <c r="AJ117" s="342">
        <f>AJ78*(0-$D$22)/$C$30</f>
        <v>0</v>
      </c>
      <c r="AK117" s="342">
        <f>AK78*(0-$D$22)/$C$30</f>
        <v>0</v>
      </c>
      <c r="AL117" s="342">
        <f>AL78*(0-$D$22)/$C$30</f>
        <v>0</v>
      </c>
      <c r="AM117" s="343">
        <f>AM78*(0-$D$22)/$C$30</f>
        <v>0</v>
      </c>
    </row>
    <row r="118" spans="1:39">
      <c r="B118" s="276" t="s">
        <v>497</v>
      </c>
      <c r="C118" s="259" t="s">
        <v>373</v>
      </c>
      <c r="D118" s="344" t="e">
        <f>SUM(D117:AD117)</f>
        <v>#REF!</v>
      </c>
    </row>
    <row r="119" spans="1:39">
      <c r="D119" s="345"/>
    </row>
    <row r="120" spans="1:39">
      <c r="D120" s="345"/>
    </row>
    <row r="121" spans="1:39" ht="12.95">
      <c r="B121" s="346" t="s">
        <v>447</v>
      </c>
      <c r="C121" s="312" t="s">
        <v>364</v>
      </c>
      <c r="D121" s="345"/>
    </row>
    <row r="122" spans="1:39">
      <c r="B122" s="294" t="s">
        <v>448</v>
      </c>
      <c r="C122" s="295" t="s">
        <v>417</v>
      </c>
      <c r="D122" s="347">
        <f>D78*($D$17-$D$60)</f>
        <v>403049.39745250001</v>
      </c>
      <c r="E122" s="348">
        <f>E78*($D$17-$D$60)</f>
        <v>403049.39745250001</v>
      </c>
      <c r="F122" s="348">
        <f>F78*($D$17-$D$60)</f>
        <v>403049.39745250001</v>
      </c>
      <c r="G122" s="348">
        <f>G78*($D$17-$D$60)</f>
        <v>403049.39745250001</v>
      </c>
      <c r="H122" s="348">
        <f>H78*($D$17-$D$60)</f>
        <v>403049.39745250001</v>
      </c>
      <c r="I122" s="348">
        <f>I78*($D$17-$D$60)</f>
        <v>366302.58369582769</v>
      </c>
      <c r="J122" s="348">
        <f>J78*($D$17-$D$60)</f>
        <v>366302.58369582769</v>
      </c>
      <c r="K122" s="348">
        <f>K78*($D$17-$D$60)</f>
        <v>366302.58369582769</v>
      </c>
      <c r="L122" s="348">
        <f>L78*($D$17-$D$60)</f>
        <v>366302.58369582769</v>
      </c>
      <c r="M122" s="348">
        <f>M78*($D$17-$D$60)</f>
        <v>366302.58369582769</v>
      </c>
      <c r="N122" s="348">
        <f>N78*($D$17-$D$60)</f>
        <v>366302.58369582769</v>
      </c>
      <c r="O122" s="348">
        <f>O78*($D$17-$D$60)</f>
        <v>366302.58369582769</v>
      </c>
      <c r="P122" s="348">
        <f>P78*($D$17-$D$60)</f>
        <v>366302.58369582769</v>
      </c>
      <c r="Q122" s="348">
        <f>Q78*($D$17-$D$60)</f>
        <v>366302.58369582769</v>
      </c>
      <c r="R122" s="348">
        <f>R78*($D$17-$D$60)</f>
        <v>366302.58369582769</v>
      </c>
      <c r="S122" s="348">
        <f>S78*($D$17-$D$60)</f>
        <v>366302.58369582769</v>
      </c>
      <c r="T122" s="348">
        <f>T78*($D$17-$D$60)</f>
        <v>366302.58369582769</v>
      </c>
      <c r="U122" s="348">
        <f>U78*($D$17-$D$60)</f>
        <v>366302.58369582769</v>
      </c>
      <c r="V122" s="348">
        <f>V78*($D$17-$D$60)</f>
        <v>366302.58369582769</v>
      </c>
      <c r="W122" s="348">
        <f>W78*($D$17-$D$60)</f>
        <v>366302.58369582769</v>
      </c>
      <c r="X122" s="348">
        <f>X78*($D$17-$D$60)</f>
        <v>366302.58369582769</v>
      </c>
      <c r="Y122" s="348">
        <f>Y78*($D$17-$D$60)</f>
        <v>366302.58369582769</v>
      </c>
      <c r="Z122" s="348">
        <f>Z78*($D$17-$D$60)</f>
        <v>366302.58369582769</v>
      </c>
      <c r="AA122" s="348">
        <f>AA78*($D$17-$D$60)</f>
        <v>366302.58369582769</v>
      </c>
      <c r="AB122" s="348">
        <f>AB78*($D$17-$D$60)</f>
        <v>366302.58369582769</v>
      </c>
      <c r="AC122" s="348">
        <f>AC78*($D$17-$D$60)</f>
        <v>0</v>
      </c>
      <c r="AD122" s="348">
        <f>AD78*($D$17-$D$60)</f>
        <v>0</v>
      </c>
      <c r="AE122" s="348">
        <f>AE78*($D$17-$D$60)</f>
        <v>0</v>
      </c>
      <c r="AF122" s="348">
        <f>AF78*($D$17-$D$60)</f>
        <v>0</v>
      </c>
      <c r="AG122" s="348">
        <f>AG78*($D$17-$D$60)</f>
        <v>0</v>
      </c>
      <c r="AH122" s="348">
        <f>AH78*($D$17-$D$60)</f>
        <v>0</v>
      </c>
      <c r="AI122" s="348">
        <f>AI78*($D$17-$D$60)</f>
        <v>0</v>
      </c>
      <c r="AJ122" s="348">
        <f>AJ78*($D$17-$D$60)</f>
        <v>0</v>
      </c>
      <c r="AK122" s="348">
        <f>AK78*($D$17-$D$60)</f>
        <v>0</v>
      </c>
      <c r="AL122" s="348">
        <f>AL78*($D$17-$D$60)</f>
        <v>0</v>
      </c>
      <c r="AM122" s="349">
        <f>AM78*($D$17-$D$60)</f>
        <v>0</v>
      </c>
    </row>
    <row r="123" spans="1:39" s="281" customFormat="1" ht="12.95">
      <c r="A123" s="215"/>
      <c r="B123" s="350" t="s">
        <v>449</v>
      </c>
      <c r="C123" s="312" t="s">
        <v>331</v>
      </c>
      <c r="D123" s="351">
        <f>SUM(D122:AM122)</f>
        <v>9341298.6611790545</v>
      </c>
      <c r="E123" s="352"/>
      <c r="F123" s="352"/>
      <c r="G123" s="352"/>
      <c r="H123" s="352"/>
      <c r="I123" s="352"/>
      <c r="J123" s="352"/>
      <c r="K123" s="352"/>
      <c r="L123" s="352"/>
      <c r="M123" s="352"/>
      <c r="N123" s="352"/>
      <c r="O123" s="352"/>
      <c r="P123" s="352"/>
      <c r="Q123" s="352"/>
      <c r="R123" s="352"/>
      <c r="S123" s="352"/>
      <c r="T123" s="352"/>
      <c r="U123" s="352"/>
      <c r="V123" s="352"/>
      <c r="W123" s="352"/>
      <c r="X123" s="352"/>
      <c r="Y123" s="352"/>
      <c r="Z123" s="352"/>
      <c r="AA123" s="352"/>
      <c r="AB123" s="352"/>
      <c r="AC123" s="352"/>
      <c r="AD123" s="352"/>
      <c r="AE123" s="352"/>
      <c r="AF123" s="352"/>
      <c r="AG123" s="352"/>
      <c r="AH123" s="352"/>
      <c r="AI123" s="352"/>
      <c r="AJ123" s="352"/>
      <c r="AK123" s="352"/>
      <c r="AL123" s="352"/>
      <c r="AM123" s="352"/>
    </row>
    <row r="124" spans="1:39" s="281" customFormat="1">
      <c r="A124" s="215"/>
      <c r="B124" s="345"/>
      <c r="C124" s="345"/>
      <c r="D124" s="345"/>
      <c r="E124" s="352"/>
      <c r="F124" s="352"/>
      <c r="G124" s="352"/>
      <c r="H124" s="352"/>
      <c r="I124" s="352"/>
      <c r="J124" s="352"/>
      <c r="K124" s="352"/>
      <c r="L124" s="352"/>
      <c r="M124" s="352"/>
      <c r="N124" s="352"/>
      <c r="O124" s="352"/>
      <c r="P124" s="352"/>
      <c r="Q124" s="352"/>
      <c r="R124" s="352"/>
      <c r="S124" s="352"/>
      <c r="T124" s="352"/>
      <c r="U124" s="352"/>
      <c r="V124" s="352"/>
      <c r="W124" s="352"/>
      <c r="X124" s="352"/>
      <c r="Y124" s="352"/>
      <c r="Z124" s="352"/>
      <c r="AA124" s="352"/>
      <c r="AB124" s="352"/>
      <c r="AC124" s="352"/>
      <c r="AD124" s="352"/>
      <c r="AE124" s="352"/>
      <c r="AF124" s="352"/>
      <c r="AG124" s="352"/>
      <c r="AH124" s="352"/>
      <c r="AI124" s="352"/>
      <c r="AJ124" s="352"/>
      <c r="AK124" s="352"/>
      <c r="AL124" s="352"/>
      <c r="AM124" s="352"/>
    </row>
    <row r="125" spans="1:39" ht="12.95">
      <c r="B125" s="346" t="s">
        <v>450</v>
      </c>
      <c r="C125" s="345"/>
      <c r="D125" s="345"/>
    </row>
    <row r="126" spans="1:39" s="281" customFormat="1" ht="12.95">
      <c r="A126" s="215"/>
      <c r="B126" s="353" t="s">
        <v>451</v>
      </c>
      <c r="C126" s="312" t="s">
        <v>364</v>
      </c>
      <c r="D126" s="345"/>
      <c r="E126" s="352"/>
      <c r="F126" s="352"/>
      <c r="G126" s="352"/>
      <c r="H126" s="352"/>
      <c r="I126" s="352"/>
      <c r="J126" s="352"/>
      <c r="K126" s="352"/>
      <c r="L126" s="352"/>
      <c r="M126" s="352"/>
      <c r="N126" s="352"/>
      <c r="O126" s="352"/>
      <c r="P126" s="352"/>
      <c r="Q126" s="352"/>
      <c r="R126" s="352"/>
      <c r="S126" s="352"/>
      <c r="T126" s="352"/>
      <c r="U126" s="352"/>
      <c r="V126" s="352"/>
      <c r="W126" s="352"/>
      <c r="X126" s="352"/>
      <c r="Y126" s="352"/>
      <c r="Z126" s="352"/>
      <c r="AA126" s="352"/>
      <c r="AB126" s="352"/>
      <c r="AC126" s="352"/>
      <c r="AD126" s="352"/>
      <c r="AE126" s="352"/>
      <c r="AF126" s="352"/>
      <c r="AG126" s="352"/>
      <c r="AH126" s="352"/>
      <c r="AI126" s="352"/>
      <c r="AJ126" s="352"/>
      <c r="AK126" s="352"/>
      <c r="AL126" s="352"/>
      <c r="AM126" s="352"/>
    </row>
    <row r="127" spans="1:39">
      <c r="B127" s="354" t="s">
        <v>452</v>
      </c>
      <c r="C127" s="355" t="s">
        <v>453</v>
      </c>
      <c r="D127" s="356">
        <v>31</v>
      </c>
    </row>
    <row r="128" spans="1:39">
      <c r="B128" s="286" t="s">
        <v>79</v>
      </c>
      <c r="C128" s="292" t="s">
        <v>417</v>
      </c>
      <c r="D128" s="347">
        <f>$D$127*D117</f>
        <v>-104357.12566097823</v>
      </c>
      <c r="E128" s="348">
        <f t="shared" ref="E128:AM128" si="15">$D$127*E117</f>
        <v>-104357.12566097823</v>
      </c>
      <c r="F128" s="348">
        <f t="shared" si="15"/>
        <v>-104357.12566097823</v>
      </c>
      <c r="G128" s="348">
        <f t="shared" si="15"/>
        <v>-104357.12566097823</v>
      </c>
      <c r="H128" s="348">
        <f t="shared" si="15"/>
        <v>-104357.12566097823</v>
      </c>
      <c r="I128" s="348">
        <f t="shared" si="15"/>
        <v>-94842.679329874212</v>
      </c>
      <c r="J128" s="348">
        <f t="shared" si="15"/>
        <v>-94842.679329874212</v>
      </c>
      <c r="K128" s="348">
        <f t="shared" si="15"/>
        <v>-94842.679329874212</v>
      </c>
      <c r="L128" s="348">
        <f t="shared" si="15"/>
        <v>-94842.679329874212</v>
      </c>
      <c r="M128" s="348">
        <f t="shared" si="15"/>
        <v>-94842.679329874212</v>
      </c>
      <c r="N128" s="348">
        <f t="shared" si="15"/>
        <v>-94842.679329874212</v>
      </c>
      <c r="O128" s="348">
        <f t="shared" si="15"/>
        <v>-94842.679329874212</v>
      </c>
      <c r="P128" s="348">
        <f t="shared" si="15"/>
        <v>-94842.679329874212</v>
      </c>
      <c r="Q128" s="348">
        <f t="shared" si="15"/>
        <v>-94842.679329874212</v>
      </c>
      <c r="R128" s="348">
        <f t="shared" si="15"/>
        <v>-94842.679329874212</v>
      </c>
      <c r="S128" s="348">
        <f t="shared" si="15"/>
        <v>-94842.679329874212</v>
      </c>
      <c r="T128" s="348">
        <f t="shared" si="15"/>
        <v>-94842.679329874212</v>
      </c>
      <c r="U128" s="348">
        <f t="shared" si="15"/>
        <v>-94842.679329874212</v>
      </c>
      <c r="V128" s="348">
        <f t="shared" si="15"/>
        <v>-94842.679329874212</v>
      </c>
      <c r="W128" s="348">
        <f t="shared" si="15"/>
        <v>-94842.679329874212</v>
      </c>
      <c r="X128" s="348">
        <f t="shared" si="15"/>
        <v>-94842.679329874212</v>
      </c>
      <c r="Y128" s="348">
        <f t="shared" si="15"/>
        <v>-94842.679329874212</v>
      </c>
      <c r="Z128" s="348">
        <f t="shared" si="15"/>
        <v>-94842.679329874212</v>
      </c>
      <c r="AA128" s="348">
        <f t="shared" si="15"/>
        <v>-94842.679329874212</v>
      </c>
      <c r="AB128" s="348">
        <f t="shared" si="15"/>
        <v>-94842.679329874212</v>
      </c>
      <c r="AC128" s="348" t="e">
        <f t="shared" si="15"/>
        <v>#REF!</v>
      </c>
      <c r="AD128" s="348" t="e">
        <f t="shared" si="15"/>
        <v>#REF!</v>
      </c>
      <c r="AE128" s="348">
        <f t="shared" si="15"/>
        <v>0</v>
      </c>
      <c r="AF128" s="348">
        <f t="shared" si="15"/>
        <v>0</v>
      </c>
      <c r="AG128" s="348">
        <f t="shared" si="15"/>
        <v>0</v>
      </c>
      <c r="AH128" s="348">
        <f t="shared" si="15"/>
        <v>0</v>
      </c>
      <c r="AI128" s="348">
        <f t="shared" si="15"/>
        <v>0</v>
      </c>
      <c r="AJ128" s="348">
        <f t="shared" si="15"/>
        <v>0</v>
      </c>
      <c r="AK128" s="348">
        <f t="shared" si="15"/>
        <v>0</v>
      </c>
      <c r="AL128" s="348">
        <f t="shared" si="15"/>
        <v>0</v>
      </c>
      <c r="AM128" s="349">
        <f t="shared" si="15"/>
        <v>0</v>
      </c>
    </row>
    <row r="129" spans="2:39" ht="12.95">
      <c r="B129" s="350" t="s">
        <v>454</v>
      </c>
      <c r="C129" s="312" t="s">
        <v>331</v>
      </c>
      <c r="D129" s="309" t="e">
        <f>SUM(D128:AM128)</f>
        <v>#REF!</v>
      </c>
    </row>
    <row r="130" spans="2:39">
      <c r="B130" s="286" t="s">
        <v>455</v>
      </c>
      <c r="C130" s="292" t="s">
        <v>417</v>
      </c>
      <c r="D130" s="347">
        <f>(0-$D$22)*D78*$D$127/$C$30</f>
        <v>-263670.35048545251</v>
      </c>
      <c r="E130" s="348">
        <f>(0-$D$22)*E78*$D$127/$C$30</f>
        <v>-263670.35048545251</v>
      </c>
      <c r="F130" s="348">
        <f>(0-$D$22)*F78*$D$127/$C$30</f>
        <v>-263670.35048545251</v>
      </c>
      <c r="G130" s="348">
        <f>(0-$D$22)*G78*$D$127/$C$30</f>
        <v>-263670.35048545251</v>
      </c>
      <c r="H130" s="348">
        <f>(0-$D$22)*H78*$D$127/$C$30</f>
        <v>-263670.35048545251</v>
      </c>
      <c r="I130" s="348">
        <f>(0-$D$22)*I78*$D$127/$C$30</f>
        <v>-239631.00115585254</v>
      </c>
      <c r="J130" s="348">
        <f>(0-$D$22)*J78*$D$127/$C$30</f>
        <v>-239631.00115585254</v>
      </c>
      <c r="K130" s="348">
        <f>(0-$D$22)*K78*$D$127/$C$30</f>
        <v>-239631.00115585254</v>
      </c>
      <c r="L130" s="348">
        <f>(0-$D$22)*L78*$D$127/$C$30</f>
        <v>-239631.00115585254</v>
      </c>
      <c r="M130" s="348">
        <f>(0-$D$22)*M78*$D$127/$C$30</f>
        <v>-239631.00115585254</v>
      </c>
      <c r="N130" s="348">
        <f>(0-$D$22)*N78*$D$127/$C$30</f>
        <v>-239631.00115585254</v>
      </c>
      <c r="O130" s="348">
        <f>(0-$D$22)*O78*$D$127/$C$30</f>
        <v>-239631.00115585254</v>
      </c>
      <c r="P130" s="348">
        <f>(0-$D$22)*P78*$D$127/$C$30</f>
        <v>-239631.00115585254</v>
      </c>
      <c r="Q130" s="348">
        <f>(0-$D$22)*Q78*$D$127/$C$30</f>
        <v>-239631.00115585254</v>
      </c>
      <c r="R130" s="348">
        <f>(0-$D$22)*R78*$D$127/$C$30</f>
        <v>-239631.00115585254</v>
      </c>
      <c r="S130" s="348">
        <f>(0-$D$22)*S78*$D$127/$C$30</f>
        <v>-239631.00115585254</v>
      </c>
      <c r="T130" s="348">
        <f>(0-$D$22)*T78*$D$127/$C$30</f>
        <v>-239631.00115585254</v>
      </c>
      <c r="U130" s="348">
        <f>(0-$D$22)*U78*$D$127/$C$30</f>
        <v>-239631.00115585254</v>
      </c>
      <c r="V130" s="348">
        <f>(0-$D$22)*V78*$D$127/$C$30</f>
        <v>-239631.00115585254</v>
      </c>
      <c r="W130" s="348">
        <f>(0-$D$22)*W78*$D$127/$C$30</f>
        <v>-239631.00115585254</v>
      </c>
      <c r="X130" s="348">
        <f>(0-$D$22)*X78*$D$127/$C$30</f>
        <v>-239631.00115585254</v>
      </c>
      <c r="Y130" s="348">
        <f>(0-$D$22)*Y78*$D$127/$C$30</f>
        <v>-239631.00115585254</v>
      </c>
      <c r="Z130" s="348">
        <f>(0-$D$22)*Z78*$D$127/$C$30</f>
        <v>-239631.00115585254</v>
      </c>
      <c r="AA130" s="348">
        <f>(0-$D$22)*AA78*$D$127/$C$30</f>
        <v>-239631.00115585254</v>
      </c>
      <c r="AB130" s="348">
        <f>(0-$D$22)*AB78*$D$127/$C$30</f>
        <v>-239631.00115585254</v>
      </c>
      <c r="AC130" s="348">
        <f>(0-$D$22)*AC78*$D$127/$C$30</f>
        <v>0</v>
      </c>
      <c r="AD130" s="348">
        <f>(0-$D$22)*AD78*$D$127/$C$30</f>
        <v>0</v>
      </c>
      <c r="AE130" s="348">
        <f>(0-$D$22)*AE78*$D$127/$C$30</f>
        <v>0</v>
      </c>
      <c r="AF130" s="348">
        <f>(0-$D$22)*AF78*$D$127/$C$30</f>
        <v>0</v>
      </c>
      <c r="AG130" s="348">
        <f>(0-$D$22)*AG78*$D$127/$C$30</f>
        <v>0</v>
      </c>
      <c r="AH130" s="348">
        <f>(0-$D$22)*AH78*$D$127/$C$30</f>
        <v>0</v>
      </c>
      <c r="AI130" s="348">
        <f>(0-$D$22)*AI78*$D$127/$C$30</f>
        <v>0</v>
      </c>
      <c r="AJ130" s="348">
        <f>(0-$D$22)*AJ78*$D$127/$C$30</f>
        <v>0</v>
      </c>
      <c r="AK130" s="348">
        <f>(0-$D$22)*AK78*$D$127/$C$30</f>
        <v>0</v>
      </c>
      <c r="AL130" s="348">
        <f>(0-$D$22)*AL78*$D$127/$C$30</f>
        <v>0</v>
      </c>
      <c r="AM130" s="349">
        <f>(0-$D$22)*AM78*$D$127/$C$30</f>
        <v>0</v>
      </c>
    </row>
    <row r="131" spans="2:39" ht="12.95">
      <c r="B131" s="350" t="s">
        <v>456</v>
      </c>
      <c r="C131" s="312" t="s">
        <v>331</v>
      </c>
      <c r="D131" s="309">
        <f>SUM(D130:AM130)</f>
        <v>-6110971.77554431</v>
      </c>
    </row>
    <row r="133" spans="2:39" ht="12.95">
      <c r="B133" s="357" t="s">
        <v>457</v>
      </c>
      <c r="C133" s="284" t="s">
        <v>364</v>
      </c>
    </row>
    <row r="134" spans="2:39">
      <c r="B134" s="286" t="str">
        <f>B122</f>
        <v>Avoided electricity cost (grid)</v>
      </c>
      <c r="C134" s="358" t="s">
        <v>417</v>
      </c>
      <c r="D134" s="289">
        <f t="shared" ref="D134:AM134" si="16">D122</f>
        <v>403049.39745250001</v>
      </c>
      <c r="E134" s="289">
        <f t="shared" si="16"/>
        <v>403049.39745250001</v>
      </c>
      <c r="F134" s="289">
        <f t="shared" si="16"/>
        <v>403049.39745250001</v>
      </c>
      <c r="G134" s="289">
        <f t="shared" si="16"/>
        <v>403049.39745250001</v>
      </c>
      <c r="H134" s="289">
        <f t="shared" si="16"/>
        <v>403049.39745250001</v>
      </c>
      <c r="I134" s="289">
        <f t="shared" si="16"/>
        <v>366302.58369582769</v>
      </c>
      <c r="J134" s="289">
        <f t="shared" si="16"/>
        <v>366302.58369582769</v>
      </c>
      <c r="K134" s="289">
        <f t="shared" si="16"/>
        <v>366302.58369582769</v>
      </c>
      <c r="L134" s="289">
        <f t="shared" si="16"/>
        <v>366302.58369582769</v>
      </c>
      <c r="M134" s="289">
        <f t="shared" si="16"/>
        <v>366302.58369582769</v>
      </c>
      <c r="N134" s="289">
        <f t="shared" si="16"/>
        <v>366302.58369582769</v>
      </c>
      <c r="O134" s="289">
        <f t="shared" si="16"/>
        <v>366302.58369582769</v>
      </c>
      <c r="P134" s="289">
        <f t="shared" si="16"/>
        <v>366302.58369582769</v>
      </c>
      <c r="Q134" s="289">
        <f t="shared" si="16"/>
        <v>366302.58369582769</v>
      </c>
      <c r="R134" s="289">
        <f t="shared" si="16"/>
        <v>366302.58369582769</v>
      </c>
      <c r="S134" s="289">
        <f t="shared" si="16"/>
        <v>366302.58369582769</v>
      </c>
      <c r="T134" s="289">
        <f t="shared" si="16"/>
        <v>366302.58369582769</v>
      </c>
      <c r="U134" s="289">
        <f t="shared" si="16"/>
        <v>366302.58369582769</v>
      </c>
      <c r="V134" s="289">
        <f t="shared" si="16"/>
        <v>366302.58369582769</v>
      </c>
      <c r="W134" s="289">
        <f t="shared" si="16"/>
        <v>366302.58369582769</v>
      </c>
      <c r="X134" s="289">
        <f t="shared" si="16"/>
        <v>366302.58369582769</v>
      </c>
      <c r="Y134" s="289">
        <f t="shared" si="16"/>
        <v>366302.58369582769</v>
      </c>
      <c r="Z134" s="289">
        <f t="shared" si="16"/>
        <v>366302.58369582769</v>
      </c>
      <c r="AA134" s="289">
        <f t="shared" si="16"/>
        <v>366302.58369582769</v>
      </c>
      <c r="AB134" s="289">
        <f t="shared" si="16"/>
        <v>366302.58369582769</v>
      </c>
      <c r="AC134" s="289">
        <f t="shared" si="16"/>
        <v>0</v>
      </c>
      <c r="AD134" s="289">
        <f t="shared" si="16"/>
        <v>0</v>
      </c>
      <c r="AE134" s="289">
        <f t="shared" si="16"/>
        <v>0</v>
      </c>
      <c r="AF134" s="289">
        <f t="shared" si="16"/>
        <v>0</v>
      </c>
      <c r="AG134" s="289">
        <f t="shared" si="16"/>
        <v>0</v>
      </c>
      <c r="AH134" s="289">
        <f t="shared" si="16"/>
        <v>0</v>
      </c>
      <c r="AI134" s="289">
        <f t="shared" si="16"/>
        <v>0</v>
      </c>
      <c r="AJ134" s="289">
        <f t="shared" si="16"/>
        <v>0</v>
      </c>
      <c r="AK134" s="289">
        <f t="shared" si="16"/>
        <v>0</v>
      </c>
      <c r="AL134" s="289">
        <f t="shared" si="16"/>
        <v>0</v>
      </c>
      <c r="AM134" s="290">
        <f t="shared" si="16"/>
        <v>0</v>
      </c>
    </row>
    <row r="135" spans="2:39">
      <c r="B135" s="294" t="str">
        <f>B128</f>
        <v>Avoided annual social cost of carbon</v>
      </c>
      <c r="C135" s="332" t="s">
        <v>417</v>
      </c>
      <c r="D135" s="255">
        <f t="shared" ref="D135:AM135" si="17">D128</f>
        <v>-104357.12566097823</v>
      </c>
      <c r="E135" s="255">
        <f t="shared" si="17"/>
        <v>-104357.12566097823</v>
      </c>
      <c r="F135" s="255">
        <f t="shared" si="17"/>
        <v>-104357.12566097823</v>
      </c>
      <c r="G135" s="255">
        <f t="shared" si="17"/>
        <v>-104357.12566097823</v>
      </c>
      <c r="H135" s="255">
        <f t="shared" si="17"/>
        <v>-104357.12566097823</v>
      </c>
      <c r="I135" s="255">
        <f t="shared" si="17"/>
        <v>-94842.679329874212</v>
      </c>
      <c r="J135" s="255">
        <f t="shared" si="17"/>
        <v>-94842.679329874212</v>
      </c>
      <c r="K135" s="255">
        <f t="shared" si="17"/>
        <v>-94842.679329874212</v>
      </c>
      <c r="L135" s="255">
        <f t="shared" si="17"/>
        <v>-94842.679329874212</v>
      </c>
      <c r="M135" s="255">
        <f t="shared" si="17"/>
        <v>-94842.679329874212</v>
      </c>
      <c r="N135" s="255">
        <f t="shared" si="17"/>
        <v>-94842.679329874212</v>
      </c>
      <c r="O135" s="255">
        <f t="shared" si="17"/>
        <v>-94842.679329874212</v>
      </c>
      <c r="P135" s="255">
        <f t="shared" si="17"/>
        <v>-94842.679329874212</v>
      </c>
      <c r="Q135" s="255">
        <f t="shared" si="17"/>
        <v>-94842.679329874212</v>
      </c>
      <c r="R135" s="255">
        <f t="shared" si="17"/>
        <v>-94842.679329874212</v>
      </c>
      <c r="S135" s="255">
        <f t="shared" si="17"/>
        <v>-94842.679329874212</v>
      </c>
      <c r="T135" s="255">
        <f t="shared" si="17"/>
        <v>-94842.679329874212</v>
      </c>
      <c r="U135" s="255">
        <f t="shared" si="17"/>
        <v>-94842.679329874212</v>
      </c>
      <c r="V135" s="255">
        <f t="shared" si="17"/>
        <v>-94842.679329874212</v>
      </c>
      <c r="W135" s="255">
        <f t="shared" si="17"/>
        <v>-94842.679329874212</v>
      </c>
      <c r="X135" s="255">
        <f t="shared" si="17"/>
        <v>-94842.679329874212</v>
      </c>
      <c r="Y135" s="255">
        <f t="shared" si="17"/>
        <v>-94842.679329874212</v>
      </c>
      <c r="Z135" s="255">
        <f t="shared" si="17"/>
        <v>-94842.679329874212</v>
      </c>
      <c r="AA135" s="255">
        <f t="shared" si="17"/>
        <v>-94842.679329874212</v>
      </c>
      <c r="AB135" s="255">
        <f t="shared" si="17"/>
        <v>-94842.679329874212</v>
      </c>
      <c r="AC135" s="255" t="e">
        <f t="shared" si="17"/>
        <v>#REF!</v>
      </c>
      <c r="AD135" s="255" t="e">
        <f t="shared" si="17"/>
        <v>#REF!</v>
      </c>
      <c r="AE135" s="255">
        <f t="shared" si="17"/>
        <v>0</v>
      </c>
      <c r="AF135" s="255">
        <f t="shared" si="17"/>
        <v>0</v>
      </c>
      <c r="AG135" s="255">
        <f t="shared" si="17"/>
        <v>0</v>
      </c>
      <c r="AH135" s="255">
        <f t="shared" si="17"/>
        <v>0</v>
      </c>
      <c r="AI135" s="255">
        <f t="shared" si="17"/>
        <v>0</v>
      </c>
      <c r="AJ135" s="255">
        <f t="shared" si="17"/>
        <v>0</v>
      </c>
      <c r="AK135" s="255">
        <f t="shared" si="17"/>
        <v>0</v>
      </c>
      <c r="AL135" s="255">
        <f t="shared" si="17"/>
        <v>0</v>
      </c>
      <c r="AM135" s="293">
        <f t="shared" si="17"/>
        <v>0</v>
      </c>
    </row>
    <row r="136" spans="2:39" ht="12.95">
      <c r="B136" s="359" t="s">
        <v>458</v>
      </c>
      <c r="C136" s="324" t="s">
        <v>417</v>
      </c>
      <c r="D136" s="321">
        <f>D134+D135</f>
        <v>298692.27179152181</v>
      </c>
      <c r="E136" s="321">
        <f t="shared" ref="E136:AM136" si="18">E134+E135</f>
        <v>298692.27179152181</v>
      </c>
      <c r="F136" s="321">
        <f t="shared" si="18"/>
        <v>298692.27179152181</v>
      </c>
      <c r="G136" s="321">
        <f t="shared" si="18"/>
        <v>298692.27179152181</v>
      </c>
      <c r="H136" s="321">
        <f t="shared" si="18"/>
        <v>298692.27179152181</v>
      </c>
      <c r="I136" s="321">
        <f t="shared" si="18"/>
        <v>271459.90436595347</v>
      </c>
      <c r="J136" s="321">
        <f t="shared" si="18"/>
        <v>271459.90436595347</v>
      </c>
      <c r="K136" s="321">
        <f t="shared" si="18"/>
        <v>271459.90436595347</v>
      </c>
      <c r="L136" s="321">
        <f t="shared" si="18"/>
        <v>271459.90436595347</v>
      </c>
      <c r="M136" s="321">
        <f t="shared" si="18"/>
        <v>271459.90436595347</v>
      </c>
      <c r="N136" s="321">
        <f t="shared" si="18"/>
        <v>271459.90436595347</v>
      </c>
      <c r="O136" s="321">
        <f t="shared" si="18"/>
        <v>271459.90436595347</v>
      </c>
      <c r="P136" s="321">
        <f t="shared" si="18"/>
        <v>271459.90436595347</v>
      </c>
      <c r="Q136" s="321">
        <f t="shared" si="18"/>
        <v>271459.90436595347</v>
      </c>
      <c r="R136" s="321">
        <f t="shared" si="18"/>
        <v>271459.90436595347</v>
      </c>
      <c r="S136" s="321">
        <f t="shared" si="18"/>
        <v>271459.90436595347</v>
      </c>
      <c r="T136" s="321">
        <f t="shared" si="18"/>
        <v>271459.90436595347</v>
      </c>
      <c r="U136" s="321">
        <f t="shared" si="18"/>
        <v>271459.90436595347</v>
      </c>
      <c r="V136" s="321">
        <f t="shared" si="18"/>
        <v>271459.90436595347</v>
      </c>
      <c r="W136" s="321">
        <f t="shared" si="18"/>
        <v>271459.90436595347</v>
      </c>
      <c r="X136" s="321">
        <f t="shared" si="18"/>
        <v>271459.90436595347</v>
      </c>
      <c r="Y136" s="321">
        <f t="shared" si="18"/>
        <v>271459.90436595347</v>
      </c>
      <c r="Z136" s="321">
        <f t="shared" si="18"/>
        <v>271459.90436595347</v>
      </c>
      <c r="AA136" s="321">
        <f t="shared" si="18"/>
        <v>271459.90436595347</v>
      </c>
      <c r="AB136" s="321">
        <f t="shared" si="18"/>
        <v>271459.90436595347</v>
      </c>
      <c r="AC136" s="321" t="e">
        <f t="shared" si="18"/>
        <v>#REF!</v>
      </c>
      <c r="AD136" s="321" t="e">
        <f t="shared" si="18"/>
        <v>#REF!</v>
      </c>
      <c r="AE136" s="321">
        <f t="shared" si="18"/>
        <v>0</v>
      </c>
      <c r="AF136" s="321">
        <f t="shared" si="18"/>
        <v>0</v>
      </c>
      <c r="AG136" s="321">
        <f t="shared" si="18"/>
        <v>0</v>
      </c>
      <c r="AH136" s="321">
        <f t="shared" si="18"/>
        <v>0</v>
      </c>
      <c r="AI136" s="321">
        <f t="shared" si="18"/>
        <v>0</v>
      </c>
      <c r="AJ136" s="321">
        <f t="shared" si="18"/>
        <v>0</v>
      </c>
      <c r="AK136" s="321">
        <f t="shared" si="18"/>
        <v>0</v>
      </c>
      <c r="AL136" s="321">
        <f t="shared" si="18"/>
        <v>0</v>
      </c>
      <c r="AM136" s="322">
        <f t="shared" si="18"/>
        <v>0</v>
      </c>
    </row>
    <row r="137" spans="2:39">
      <c r="B137" s="360" t="s">
        <v>424</v>
      </c>
      <c r="C137" s="358" t="s">
        <v>417</v>
      </c>
      <c r="D137" s="289">
        <f t="shared" ref="D137:M137" si="19">D94</f>
        <v>4455145.2300000004</v>
      </c>
      <c r="E137" s="289">
        <f t="shared" si="19"/>
        <v>0</v>
      </c>
      <c r="F137" s="289">
        <f t="shared" si="19"/>
        <v>0</v>
      </c>
      <c r="G137" s="289">
        <f t="shared" si="19"/>
        <v>0</v>
      </c>
      <c r="H137" s="289">
        <f t="shared" si="19"/>
        <v>0</v>
      </c>
      <c r="I137" s="289">
        <f t="shared" si="19"/>
        <v>0</v>
      </c>
      <c r="J137" s="289">
        <f t="shared" si="19"/>
        <v>0</v>
      </c>
      <c r="K137" s="289">
        <f t="shared" si="19"/>
        <v>0</v>
      </c>
      <c r="L137" s="289">
        <f t="shared" si="19"/>
        <v>0</v>
      </c>
      <c r="M137" s="290">
        <f t="shared" si="19"/>
        <v>0</v>
      </c>
      <c r="N137" s="352"/>
    </row>
    <row r="138" spans="2:39">
      <c r="B138" s="361" t="s">
        <v>459</v>
      </c>
      <c r="C138" s="358" t="s">
        <v>417</v>
      </c>
      <c r="D138" s="289">
        <f>D9</f>
        <v>406112.52300000004</v>
      </c>
      <c r="E138" s="289">
        <f t="shared" ref="E138:AB138" si="20">$D$138</f>
        <v>406112.52300000004</v>
      </c>
      <c r="F138" s="289">
        <f t="shared" si="20"/>
        <v>406112.52300000004</v>
      </c>
      <c r="G138" s="289">
        <f t="shared" si="20"/>
        <v>406112.52300000004</v>
      </c>
      <c r="H138" s="289">
        <f t="shared" si="20"/>
        <v>406112.52300000004</v>
      </c>
      <c r="I138" s="289">
        <f t="shared" si="20"/>
        <v>406112.52300000004</v>
      </c>
      <c r="J138" s="289">
        <f t="shared" si="20"/>
        <v>406112.52300000004</v>
      </c>
      <c r="K138" s="289">
        <f t="shared" si="20"/>
        <v>406112.52300000004</v>
      </c>
      <c r="L138" s="289">
        <f t="shared" si="20"/>
        <v>406112.52300000004</v>
      </c>
      <c r="M138" s="289">
        <f t="shared" si="20"/>
        <v>406112.52300000004</v>
      </c>
      <c r="N138" s="289">
        <f t="shared" si="20"/>
        <v>406112.52300000004</v>
      </c>
      <c r="O138" s="289">
        <f t="shared" si="20"/>
        <v>406112.52300000004</v>
      </c>
      <c r="P138" s="289">
        <f t="shared" si="20"/>
        <v>406112.52300000004</v>
      </c>
      <c r="Q138" s="289">
        <f t="shared" si="20"/>
        <v>406112.52300000004</v>
      </c>
      <c r="R138" s="289">
        <f t="shared" si="20"/>
        <v>406112.52300000004</v>
      </c>
      <c r="S138" s="289">
        <f t="shared" si="20"/>
        <v>406112.52300000004</v>
      </c>
      <c r="T138" s="289">
        <f t="shared" si="20"/>
        <v>406112.52300000004</v>
      </c>
      <c r="U138" s="289">
        <f t="shared" si="20"/>
        <v>406112.52300000004</v>
      </c>
      <c r="V138" s="289">
        <f t="shared" si="20"/>
        <v>406112.52300000004</v>
      </c>
      <c r="W138" s="289">
        <f t="shared" si="20"/>
        <v>406112.52300000004</v>
      </c>
      <c r="X138" s="289">
        <f t="shared" si="20"/>
        <v>406112.52300000004</v>
      </c>
      <c r="Y138" s="289">
        <f t="shared" si="20"/>
        <v>406112.52300000004</v>
      </c>
      <c r="Z138" s="289">
        <f t="shared" si="20"/>
        <v>406112.52300000004</v>
      </c>
      <c r="AA138" s="289">
        <f t="shared" si="20"/>
        <v>406112.52300000004</v>
      </c>
      <c r="AB138" s="289">
        <f t="shared" si="20"/>
        <v>406112.52300000004</v>
      </c>
      <c r="AC138" s="289">
        <v>1990816.9347549786</v>
      </c>
      <c r="AD138" s="289">
        <v>1990816.9347549786</v>
      </c>
      <c r="AE138" s="289" t="e">
        <f>AE82+#REF!</f>
        <v>#REF!</v>
      </c>
      <c r="AF138" s="289" t="e">
        <f>AF82+#REF!</f>
        <v>#REF!</v>
      </c>
      <c r="AG138" s="289" t="e">
        <f>AG82+#REF!</f>
        <v>#REF!</v>
      </c>
      <c r="AH138" s="289" t="e">
        <f>AH82+#REF!</f>
        <v>#REF!</v>
      </c>
      <c r="AI138" s="289" t="e">
        <f>AI82+#REF!</f>
        <v>#REF!</v>
      </c>
      <c r="AJ138" s="289" t="e">
        <f>AJ82+#REF!</f>
        <v>#REF!</v>
      </c>
      <c r="AK138" s="289" t="e">
        <f>AK82+#REF!</f>
        <v>#REF!</v>
      </c>
      <c r="AL138" s="289" t="e">
        <f>AL82+#REF!</f>
        <v>#REF!</v>
      </c>
      <c r="AM138" s="290" t="e">
        <f>AM82+#REF!</f>
        <v>#REF!</v>
      </c>
    </row>
    <row r="139" spans="2:39">
      <c r="B139" s="362" t="s">
        <v>460</v>
      </c>
      <c r="C139" s="363" t="s">
        <v>417</v>
      </c>
      <c r="D139" s="255">
        <f t="shared" ref="D139:AM139" si="21">D83</f>
        <v>0</v>
      </c>
      <c r="E139" s="255">
        <f t="shared" si="21"/>
        <v>0</v>
      </c>
      <c r="F139" s="255">
        <f t="shared" si="21"/>
        <v>0</v>
      </c>
      <c r="G139" s="255">
        <f t="shared" si="21"/>
        <v>0</v>
      </c>
      <c r="H139" s="255">
        <f t="shared" si="21"/>
        <v>0</v>
      </c>
      <c r="I139" s="255">
        <f t="shared" si="21"/>
        <v>0</v>
      </c>
      <c r="J139" s="255">
        <f t="shared" si="21"/>
        <v>0</v>
      </c>
      <c r="K139" s="255">
        <f t="shared" si="21"/>
        <v>0</v>
      </c>
      <c r="L139" s="255">
        <f t="shared" si="21"/>
        <v>0</v>
      </c>
      <c r="M139" s="255">
        <f t="shared" si="21"/>
        <v>0</v>
      </c>
      <c r="N139" s="255">
        <f t="shared" si="21"/>
        <v>0</v>
      </c>
      <c r="O139" s="255">
        <f t="shared" si="21"/>
        <v>0</v>
      </c>
      <c r="P139" s="255">
        <f t="shared" si="21"/>
        <v>0</v>
      </c>
      <c r="Q139" s="255">
        <f t="shared" si="21"/>
        <v>0</v>
      </c>
      <c r="R139" s="255">
        <f t="shared" si="21"/>
        <v>0</v>
      </c>
      <c r="S139" s="255">
        <f t="shared" si="21"/>
        <v>0</v>
      </c>
      <c r="T139" s="255">
        <f t="shared" si="21"/>
        <v>0</v>
      </c>
      <c r="U139" s="255">
        <f t="shared" si="21"/>
        <v>0</v>
      </c>
      <c r="V139" s="255">
        <f t="shared" si="21"/>
        <v>0</v>
      </c>
      <c r="W139" s="255">
        <f t="shared" si="21"/>
        <v>0</v>
      </c>
      <c r="X139" s="255">
        <f t="shared" si="21"/>
        <v>0</v>
      </c>
      <c r="Y139" s="255">
        <f t="shared" si="21"/>
        <v>0</v>
      </c>
      <c r="Z139" s="255">
        <f t="shared" si="21"/>
        <v>0</v>
      </c>
      <c r="AA139" s="255">
        <f t="shared" si="21"/>
        <v>0</v>
      </c>
      <c r="AB139" s="255">
        <f t="shared" si="21"/>
        <v>0</v>
      </c>
      <c r="AC139" s="255">
        <f t="shared" si="21"/>
        <v>0</v>
      </c>
      <c r="AD139" s="255">
        <f t="shared" si="21"/>
        <v>0</v>
      </c>
      <c r="AE139" s="255">
        <f t="shared" si="21"/>
        <v>0</v>
      </c>
      <c r="AF139" s="255">
        <f t="shared" si="21"/>
        <v>0</v>
      </c>
      <c r="AG139" s="255">
        <f t="shared" si="21"/>
        <v>0</v>
      </c>
      <c r="AH139" s="255">
        <f t="shared" si="21"/>
        <v>0</v>
      </c>
      <c r="AI139" s="255">
        <f t="shared" si="21"/>
        <v>0</v>
      </c>
      <c r="AJ139" s="255">
        <f t="shared" si="21"/>
        <v>0</v>
      </c>
      <c r="AK139" s="255">
        <f t="shared" si="21"/>
        <v>0</v>
      </c>
      <c r="AL139" s="255">
        <f t="shared" si="21"/>
        <v>0</v>
      </c>
      <c r="AM139" s="293">
        <f t="shared" si="21"/>
        <v>0</v>
      </c>
    </row>
    <row r="140" spans="2:39">
      <c r="B140" s="362" t="s">
        <v>428</v>
      </c>
      <c r="C140" s="363" t="s">
        <v>417</v>
      </c>
      <c r="D140" s="255">
        <f>D97</f>
        <v>0</v>
      </c>
      <c r="E140" s="255">
        <f t="shared" ref="E140:AM141" si="22">E97</f>
        <v>0</v>
      </c>
      <c r="F140" s="255">
        <f t="shared" si="22"/>
        <v>0</v>
      </c>
      <c r="G140" s="255">
        <f t="shared" si="22"/>
        <v>0</v>
      </c>
      <c r="H140" s="255">
        <f t="shared" si="22"/>
        <v>0</v>
      </c>
      <c r="I140" s="255">
        <f t="shared" si="22"/>
        <v>0</v>
      </c>
      <c r="J140" s="255">
        <f t="shared" si="22"/>
        <v>0</v>
      </c>
      <c r="K140" s="255">
        <f t="shared" si="22"/>
        <v>0</v>
      </c>
      <c r="L140" s="255">
        <f t="shared" si="22"/>
        <v>0</v>
      </c>
      <c r="M140" s="255">
        <f t="shared" si="22"/>
        <v>0</v>
      </c>
      <c r="N140" s="255">
        <f t="shared" si="22"/>
        <v>0</v>
      </c>
      <c r="O140" s="255">
        <f t="shared" si="22"/>
        <v>0</v>
      </c>
      <c r="P140" s="255">
        <f t="shared" si="22"/>
        <v>0</v>
      </c>
      <c r="Q140" s="255">
        <f t="shared" si="22"/>
        <v>0</v>
      </c>
      <c r="R140" s="255">
        <f t="shared" si="22"/>
        <v>0</v>
      </c>
      <c r="S140" s="255">
        <f t="shared" si="22"/>
        <v>0</v>
      </c>
      <c r="T140" s="255">
        <f t="shared" si="22"/>
        <v>0</v>
      </c>
      <c r="U140" s="255">
        <f t="shared" si="22"/>
        <v>0</v>
      </c>
      <c r="V140" s="255">
        <f t="shared" si="22"/>
        <v>0</v>
      </c>
      <c r="W140" s="255">
        <f t="shared" si="22"/>
        <v>0</v>
      </c>
      <c r="X140" s="255">
        <f t="shared" si="22"/>
        <v>0</v>
      </c>
      <c r="Y140" s="255">
        <f t="shared" si="22"/>
        <v>0</v>
      </c>
      <c r="Z140" s="255">
        <f t="shared" si="22"/>
        <v>0</v>
      </c>
      <c r="AA140" s="255">
        <f t="shared" si="22"/>
        <v>0</v>
      </c>
      <c r="AB140" s="255">
        <f t="shared" si="22"/>
        <v>0</v>
      </c>
      <c r="AC140" s="255">
        <f t="shared" si="22"/>
        <v>0</v>
      </c>
      <c r="AD140" s="255">
        <f t="shared" si="22"/>
        <v>0</v>
      </c>
      <c r="AE140" s="255">
        <f t="shared" si="22"/>
        <v>0</v>
      </c>
      <c r="AF140" s="255">
        <f t="shared" si="22"/>
        <v>0</v>
      </c>
      <c r="AG140" s="255">
        <f t="shared" si="22"/>
        <v>0</v>
      </c>
      <c r="AH140" s="255">
        <f t="shared" si="22"/>
        <v>0</v>
      </c>
      <c r="AI140" s="255">
        <f t="shared" si="22"/>
        <v>0</v>
      </c>
      <c r="AJ140" s="255">
        <f t="shared" si="22"/>
        <v>0</v>
      </c>
      <c r="AK140" s="255">
        <f t="shared" si="22"/>
        <v>0</v>
      </c>
      <c r="AL140" s="255">
        <f t="shared" si="22"/>
        <v>0</v>
      </c>
      <c r="AM140" s="293">
        <f t="shared" si="22"/>
        <v>0</v>
      </c>
    </row>
    <row r="141" spans="2:39">
      <c r="B141" s="364" t="s">
        <v>429</v>
      </c>
      <c r="C141" s="332" t="s">
        <v>417</v>
      </c>
      <c r="D141" s="297">
        <f>D98</f>
        <v>0</v>
      </c>
      <c r="E141" s="297">
        <f t="shared" si="22"/>
        <v>178205.80920000002</v>
      </c>
      <c r="F141" s="297">
        <f t="shared" si="22"/>
        <v>178205.80920000002</v>
      </c>
      <c r="G141" s="297">
        <f t="shared" si="22"/>
        <v>178205.80920000002</v>
      </c>
      <c r="H141" s="297">
        <f t="shared" si="22"/>
        <v>178205.80920000002</v>
      </c>
      <c r="I141" s="297">
        <f t="shared" si="22"/>
        <v>178205.80920000002</v>
      </c>
      <c r="J141" s="297">
        <f t="shared" si="22"/>
        <v>178205.80920000002</v>
      </c>
      <c r="K141" s="297">
        <f t="shared" si="22"/>
        <v>178205.80920000002</v>
      </c>
      <c r="L141" s="297">
        <f t="shared" si="22"/>
        <v>178205.80920000002</v>
      </c>
      <c r="M141" s="297">
        <f t="shared" si="22"/>
        <v>178205.80920000002</v>
      </c>
      <c r="N141" s="297">
        <f t="shared" si="22"/>
        <v>178205.80920000002</v>
      </c>
      <c r="O141" s="297">
        <f t="shared" si="22"/>
        <v>178205.80920000002</v>
      </c>
      <c r="P141" s="297">
        <f t="shared" si="22"/>
        <v>178205.80920000002</v>
      </c>
      <c r="Q141" s="297">
        <f t="shared" si="22"/>
        <v>178205.80920000002</v>
      </c>
      <c r="R141" s="297">
        <f t="shared" si="22"/>
        <v>178205.80920000002</v>
      </c>
      <c r="S141" s="297">
        <f t="shared" si="22"/>
        <v>178205.80920000002</v>
      </c>
      <c r="T141" s="297">
        <f t="shared" si="22"/>
        <v>178205.80920000002</v>
      </c>
      <c r="U141" s="297">
        <f t="shared" si="22"/>
        <v>178205.80920000002</v>
      </c>
      <c r="V141" s="297">
        <f t="shared" si="22"/>
        <v>178205.80920000002</v>
      </c>
      <c r="W141" s="297">
        <f t="shared" si="22"/>
        <v>178205.80920000002</v>
      </c>
      <c r="X141" s="297">
        <f t="shared" si="22"/>
        <v>178205.80920000002</v>
      </c>
      <c r="Y141" s="297">
        <f t="shared" si="22"/>
        <v>178205.80920000002</v>
      </c>
      <c r="Z141" s="297">
        <f t="shared" si="22"/>
        <v>178205.80920000002</v>
      </c>
      <c r="AA141" s="297">
        <f t="shared" si="22"/>
        <v>178205.80920000002</v>
      </c>
      <c r="AB141" s="297">
        <f t="shared" si="22"/>
        <v>178205.80920000002</v>
      </c>
      <c r="AC141" s="297">
        <f t="shared" si="22"/>
        <v>178205.80920000002</v>
      </c>
      <c r="AD141" s="297">
        <f t="shared" si="22"/>
        <v>0</v>
      </c>
      <c r="AE141" s="297">
        <f t="shared" si="22"/>
        <v>0</v>
      </c>
      <c r="AF141" s="297">
        <f t="shared" si="22"/>
        <v>0</v>
      </c>
      <c r="AG141" s="297">
        <f t="shared" si="22"/>
        <v>0</v>
      </c>
      <c r="AH141" s="297">
        <f t="shared" si="22"/>
        <v>0</v>
      </c>
      <c r="AI141" s="297">
        <f t="shared" si="22"/>
        <v>0</v>
      </c>
      <c r="AJ141" s="297">
        <f t="shared" si="22"/>
        <v>0</v>
      </c>
      <c r="AK141" s="297">
        <f t="shared" si="22"/>
        <v>0</v>
      </c>
      <c r="AL141" s="297">
        <f t="shared" si="22"/>
        <v>0</v>
      </c>
      <c r="AM141" s="298">
        <f t="shared" si="22"/>
        <v>0</v>
      </c>
    </row>
    <row r="142" spans="2:39" ht="12.95">
      <c r="B142" s="365" t="s">
        <v>461</v>
      </c>
      <c r="C142" s="366" t="s">
        <v>417</v>
      </c>
      <c r="D142" s="302">
        <f>SUM(D137:D141)</f>
        <v>4861257.7530000005</v>
      </c>
      <c r="E142" s="302">
        <f t="shared" ref="E142:AM142" si="23">SUM(E137:E141)</f>
        <v>584318.33220000006</v>
      </c>
      <c r="F142" s="302">
        <f t="shared" si="23"/>
        <v>584318.33220000006</v>
      </c>
      <c r="G142" s="302">
        <f t="shared" si="23"/>
        <v>584318.33220000006</v>
      </c>
      <c r="H142" s="302">
        <f t="shared" si="23"/>
        <v>584318.33220000006</v>
      </c>
      <c r="I142" s="302">
        <f t="shared" si="23"/>
        <v>584318.33220000006</v>
      </c>
      <c r="J142" s="302">
        <f t="shared" si="23"/>
        <v>584318.33220000006</v>
      </c>
      <c r="K142" s="302">
        <f t="shared" si="23"/>
        <v>584318.33220000006</v>
      </c>
      <c r="L142" s="302">
        <f t="shared" si="23"/>
        <v>584318.33220000006</v>
      </c>
      <c r="M142" s="302">
        <f t="shared" si="23"/>
        <v>584318.33220000006</v>
      </c>
      <c r="N142" s="302">
        <f t="shared" si="23"/>
        <v>584318.33220000006</v>
      </c>
      <c r="O142" s="302">
        <f t="shared" si="23"/>
        <v>584318.33220000006</v>
      </c>
      <c r="P142" s="302">
        <f t="shared" si="23"/>
        <v>584318.33220000006</v>
      </c>
      <c r="Q142" s="302">
        <f t="shared" si="23"/>
        <v>584318.33220000006</v>
      </c>
      <c r="R142" s="302">
        <f t="shared" si="23"/>
        <v>584318.33220000006</v>
      </c>
      <c r="S142" s="302">
        <f t="shared" si="23"/>
        <v>584318.33220000006</v>
      </c>
      <c r="T142" s="302">
        <f t="shared" si="23"/>
        <v>584318.33220000006</v>
      </c>
      <c r="U142" s="302">
        <f t="shared" si="23"/>
        <v>584318.33220000006</v>
      </c>
      <c r="V142" s="302">
        <f t="shared" si="23"/>
        <v>584318.33220000006</v>
      </c>
      <c r="W142" s="302">
        <f t="shared" si="23"/>
        <v>584318.33220000006</v>
      </c>
      <c r="X142" s="302">
        <f t="shared" si="23"/>
        <v>584318.33220000006</v>
      </c>
      <c r="Y142" s="302">
        <f t="shared" si="23"/>
        <v>584318.33220000006</v>
      </c>
      <c r="Z142" s="302">
        <f t="shared" si="23"/>
        <v>584318.33220000006</v>
      </c>
      <c r="AA142" s="302">
        <f t="shared" si="23"/>
        <v>584318.33220000006</v>
      </c>
      <c r="AB142" s="302">
        <f t="shared" si="23"/>
        <v>584318.33220000006</v>
      </c>
      <c r="AC142" s="302">
        <f t="shared" si="23"/>
        <v>2169022.7439549789</v>
      </c>
      <c r="AD142" s="302">
        <f t="shared" si="23"/>
        <v>1990816.9347549786</v>
      </c>
      <c r="AE142" s="302" t="e">
        <f t="shared" si="23"/>
        <v>#REF!</v>
      </c>
      <c r="AF142" s="302" t="e">
        <f t="shared" si="23"/>
        <v>#REF!</v>
      </c>
      <c r="AG142" s="302" t="e">
        <f t="shared" si="23"/>
        <v>#REF!</v>
      </c>
      <c r="AH142" s="302" t="e">
        <f t="shared" si="23"/>
        <v>#REF!</v>
      </c>
      <c r="AI142" s="302" t="e">
        <f t="shared" si="23"/>
        <v>#REF!</v>
      </c>
      <c r="AJ142" s="302" t="e">
        <f t="shared" si="23"/>
        <v>#REF!</v>
      </c>
      <c r="AK142" s="302" t="e">
        <f t="shared" si="23"/>
        <v>#REF!</v>
      </c>
      <c r="AL142" s="302" t="e">
        <f t="shared" si="23"/>
        <v>#REF!</v>
      </c>
      <c r="AM142" s="302" t="e">
        <f t="shared" si="23"/>
        <v>#REF!</v>
      </c>
    </row>
    <row r="143" spans="2:39" ht="12.95">
      <c r="B143" s="367" t="s">
        <v>462</v>
      </c>
      <c r="C143" s="366" t="s">
        <v>417</v>
      </c>
      <c r="D143" s="320">
        <f>D136-D142</f>
        <v>-4562565.481208479</v>
      </c>
      <c r="E143" s="321">
        <f t="shared" ref="E143:AM143" si="24">E136-E138-E139</f>
        <v>-107420.25120847824</v>
      </c>
      <c r="F143" s="321">
        <f t="shared" si="24"/>
        <v>-107420.25120847824</v>
      </c>
      <c r="G143" s="321">
        <f t="shared" si="24"/>
        <v>-107420.25120847824</v>
      </c>
      <c r="H143" s="321">
        <f t="shared" si="24"/>
        <v>-107420.25120847824</v>
      </c>
      <c r="I143" s="321">
        <f t="shared" si="24"/>
        <v>-134652.61863404658</v>
      </c>
      <c r="J143" s="321">
        <f t="shared" si="24"/>
        <v>-134652.61863404658</v>
      </c>
      <c r="K143" s="321">
        <f t="shared" si="24"/>
        <v>-134652.61863404658</v>
      </c>
      <c r="L143" s="321">
        <f t="shared" si="24"/>
        <v>-134652.61863404658</v>
      </c>
      <c r="M143" s="321">
        <f t="shared" si="24"/>
        <v>-134652.61863404658</v>
      </c>
      <c r="N143" s="321">
        <f t="shared" si="24"/>
        <v>-134652.61863404658</v>
      </c>
      <c r="O143" s="321">
        <f t="shared" si="24"/>
        <v>-134652.61863404658</v>
      </c>
      <c r="P143" s="321">
        <f t="shared" si="24"/>
        <v>-134652.61863404658</v>
      </c>
      <c r="Q143" s="321">
        <f t="shared" si="24"/>
        <v>-134652.61863404658</v>
      </c>
      <c r="R143" s="321">
        <f t="shared" si="24"/>
        <v>-134652.61863404658</v>
      </c>
      <c r="S143" s="321">
        <f t="shared" si="24"/>
        <v>-134652.61863404658</v>
      </c>
      <c r="T143" s="321">
        <f t="shared" si="24"/>
        <v>-134652.61863404658</v>
      </c>
      <c r="U143" s="321">
        <f t="shared" si="24"/>
        <v>-134652.61863404658</v>
      </c>
      <c r="V143" s="321">
        <f t="shared" si="24"/>
        <v>-134652.61863404658</v>
      </c>
      <c r="W143" s="321">
        <f t="shared" si="24"/>
        <v>-134652.61863404658</v>
      </c>
      <c r="X143" s="321">
        <f t="shared" si="24"/>
        <v>-134652.61863404658</v>
      </c>
      <c r="Y143" s="321">
        <f t="shared" si="24"/>
        <v>-134652.61863404658</v>
      </c>
      <c r="Z143" s="321">
        <f t="shared" si="24"/>
        <v>-134652.61863404658</v>
      </c>
      <c r="AA143" s="321">
        <f t="shared" si="24"/>
        <v>-134652.61863404658</v>
      </c>
      <c r="AB143" s="321">
        <f t="shared" si="24"/>
        <v>-134652.61863404658</v>
      </c>
      <c r="AC143" s="321" t="e">
        <f t="shared" si="24"/>
        <v>#REF!</v>
      </c>
      <c r="AD143" s="321" t="e">
        <f t="shared" si="24"/>
        <v>#REF!</v>
      </c>
      <c r="AE143" s="321" t="e">
        <f t="shared" si="24"/>
        <v>#REF!</v>
      </c>
      <c r="AF143" s="321" t="e">
        <f t="shared" si="24"/>
        <v>#REF!</v>
      </c>
      <c r="AG143" s="321" t="e">
        <f t="shared" si="24"/>
        <v>#REF!</v>
      </c>
      <c r="AH143" s="321" t="e">
        <f t="shared" si="24"/>
        <v>#REF!</v>
      </c>
      <c r="AI143" s="321" t="e">
        <f t="shared" si="24"/>
        <v>#REF!</v>
      </c>
      <c r="AJ143" s="321" t="e">
        <f t="shared" si="24"/>
        <v>#REF!</v>
      </c>
      <c r="AK143" s="321" t="e">
        <f t="shared" si="24"/>
        <v>#REF!</v>
      </c>
      <c r="AL143" s="321" t="e">
        <f t="shared" si="24"/>
        <v>#REF!</v>
      </c>
      <c r="AM143" s="322" t="e">
        <f t="shared" si="24"/>
        <v>#REF!</v>
      </c>
    </row>
    <row r="146" spans="1:39" ht="12.95">
      <c r="B146" s="357" t="s">
        <v>463</v>
      </c>
      <c r="C146" s="284" t="s">
        <v>364</v>
      </c>
    </row>
    <row r="147" spans="1:39">
      <c r="B147" s="276" t="s">
        <v>464</v>
      </c>
      <c r="C147" s="259" t="s">
        <v>417</v>
      </c>
      <c r="D147" s="347">
        <f>D78*$D$17</f>
        <v>1009554.3236736003</v>
      </c>
      <c r="E147" s="348">
        <f t="shared" ref="E147:AM147" si="25">E78*$D$17</f>
        <v>1009554.3236736003</v>
      </c>
      <c r="F147" s="348">
        <f t="shared" si="25"/>
        <v>1009554.3236736003</v>
      </c>
      <c r="G147" s="348">
        <f t="shared" si="25"/>
        <v>1009554.3236736003</v>
      </c>
      <c r="H147" s="348">
        <f t="shared" si="25"/>
        <v>1009554.3236736003</v>
      </c>
      <c r="I147" s="348">
        <f t="shared" si="25"/>
        <v>917511.25167360029</v>
      </c>
      <c r="J147" s="348">
        <f t="shared" si="25"/>
        <v>917511.25167360029</v>
      </c>
      <c r="K147" s="348">
        <f t="shared" si="25"/>
        <v>917511.25167360029</v>
      </c>
      <c r="L147" s="348">
        <f t="shared" si="25"/>
        <v>917511.25167360029</v>
      </c>
      <c r="M147" s="348">
        <f t="shared" si="25"/>
        <v>917511.25167360029</v>
      </c>
      <c r="N147" s="348">
        <f t="shared" si="25"/>
        <v>917511.25167360029</v>
      </c>
      <c r="O147" s="348">
        <f t="shared" si="25"/>
        <v>917511.25167360029</v>
      </c>
      <c r="P147" s="348">
        <f t="shared" si="25"/>
        <v>917511.25167360029</v>
      </c>
      <c r="Q147" s="348">
        <f t="shared" si="25"/>
        <v>917511.25167360029</v>
      </c>
      <c r="R147" s="348">
        <f t="shared" si="25"/>
        <v>917511.25167360029</v>
      </c>
      <c r="S147" s="348">
        <f t="shared" si="25"/>
        <v>917511.25167360029</v>
      </c>
      <c r="T147" s="348">
        <f t="shared" si="25"/>
        <v>917511.25167360029</v>
      </c>
      <c r="U147" s="348">
        <f t="shared" si="25"/>
        <v>917511.25167360029</v>
      </c>
      <c r="V147" s="348">
        <f t="shared" si="25"/>
        <v>917511.25167360029</v>
      </c>
      <c r="W147" s="348">
        <f t="shared" si="25"/>
        <v>917511.25167360029</v>
      </c>
      <c r="X147" s="348">
        <f t="shared" si="25"/>
        <v>917511.25167360029</v>
      </c>
      <c r="Y147" s="348">
        <f t="shared" si="25"/>
        <v>917511.25167360029</v>
      </c>
      <c r="Z147" s="348">
        <f t="shared" si="25"/>
        <v>917511.25167360029</v>
      </c>
      <c r="AA147" s="348">
        <f t="shared" si="25"/>
        <v>917511.25167360029</v>
      </c>
      <c r="AB147" s="348">
        <f t="shared" si="25"/>
        <v>917511.25167360029</v>
      </c>
      <c r="AC147" s="348">
        <f t="shared" si="25"/>
        <v>0</v>
      </c>
      <c r="AD147" s="348">
        <f t="shared" si="25"/>
        <v>0</v>
      </c>
      <c r="AE147" s="348">
        <f t="shared" si="25"/>
        <v>0</v>
      </c>
      <c r="AF147" s="348">
        <f t="shared" si="25"/>
        <v>0</v>
      </c>
      <c r="AG147" s="348">
        <f t="shared" si="25"/>
        <v>0</v>
      </c>
      <c r="AH147" s="348">
        <f t="shared" si="25"/>
        <v>0</v>
      </c>
      <c r="AI147" s="348">
        <f t="shared" si="25"/>
        <v>0</v>
      </c>
      <c r="AJ147" s="348">
        <f t="shared" si="25"/>
        <v>0</v>
      </c>
      <c r="AK147" s="348">
        <f t="shared" si="25"/>
        <v>0</v>
      </c>
      <c r="AL147" s="348">
        <f t="shared" si="25"/>
        <v>0</v>
      </c>
      <c r="AM147" s="349">
        <f t="shared" si="25"/>
        <v>0</v>
      </c>
    </row>
    <row r="148" spans="1:39">
      <c r="B148" s="276" t="s">
        <v>465</v>
      </c>
      <c r="C148" s="259" t="s">
        <v>417</v>
      </c>
      <c r="D148" s="347">
        <f>SUM(D137:D141)</f>
        <v>4861257.7530000005</v>
      </c>
      <c r="E148" s="348">
        <f>SUM(E137:E141)</f>
        <v>584318.33220000006</v>
      </c>
      <c r="F148" s="348">
        <f t="shared" ref="F148:AM148" si="26">SUM(F137:F141)</f>
        <v>584318.33220000006</v>
      </c>
      <c r="G148" s="348">
        <f t="shared" si="26"/>
        <v>584318.33220000006</v>
      </c>
      <c r="H148" s="348">
        <f t="shared" si="26"/>
        <v>584318.33220000006</v>
      </c>
      <c r="I148" s="348">
        <f t="shared" si="26"/>
        <v>584318.33220000006</v>
      </c>
      <c r="J148" s="348">
        <f t="shared" si="26"/>
        <v>584318.33220000006</v>
      </c>
      <c r="K148" s="348">
        <f t="shared" si="26"/>
        <v>584318.33220000006</v>
      </c>
      <c r="L148" s="348">
        <f t="shared" si="26"/>
        <v>584318.33220000006</v>
      </c>
      <c r="M148" s="348">
        <f t="shared" si="26"/>
        <v>584318.33220000006</v>
      </c>
      <c r="N148" s="348">
        <f t="shared" si="26"/>
        <v>584318.33220000006</v>
      </c>
      <c r="O148" s="348">
        <f t="shared" si="26"/>
        <v>584318.33220000006</v>
      </c>
      <c r="P148" s="348">
        <f t="shared" si="26"/>
        <v>584318.33220000006</v>
      </c>
      <c r="Q148" s="348">
        <f t="shared" si="26"/>
        <v>584318.33220000006</v>
      </c>
      <c r="R148" s="348">
        <f t="shared" si="26"/>
        <v>584318.33220000006</v>
      </c>
      <c r="S148" s="348">
        <f t="shared" si="26"/>
        <v>584318.33220000006</v>
      </c>
      <c r="T148" s="348">
        <f t="shared" si="26"/>
        <v>584318.33220000006</v>
      </c>
      <c r="U148" s="348">
        <f t="shared" si="26"/>
        <v>584318.33220000006</v>
      </c>
      <c r="V148" s="348">
        <f t="shared" si="26"/>
        <v>584318.33220000006</v>
      </c>
      <c r="W148" s="348">
        <f t="shared" si="26"/>
        <v>584318.33220000006</v>
      </c>
      <c r="X148" s="348">
        <f t="shared" si="26"/>
        <v>584318.33220000006</v>
      </c>
      <c r="Y148" s="348">
        <f t="shared" si="26"/>
        <v>584318.33220000006</v>
      </c>
      <c r="Z148" s="348">
        <f t="shared" si="26"/>
        <v>584318.33220000006</v>
      </c>
      <c r="AA148" s="348">
        <f t="shared" si="26"/>
        <v>584318.33220000006</v>
      </c>
      <c r="AB148" s="348">
        <f t="shared" si="26"/>
        <v>584318.33220000006</v>
      </c>
      <c r="AC148" s="348">
        <f t="shared" si="26"/>
        <v>2169022.7439549789</v>
      </c>
      <c r="AD148" s="348">
        <f t="shared" si="26"/>
        <v>1990816.9347549786</v>
      </c>
      <c r="AE148" s="348" t="e">
        <f t="shared" si="26"/>
        <v>#REF!</v>
      </c>
      <c r="AF148" s="348" t="e">
        <f t="shared" si="26"/>
        <v>#REF!</v>
      </c>
      <c r="AG148" s="348" t="e">
        <f t="shared" si="26"/>
        <v>#REF!</v>
      </c>
      <c r="AH148" s="348" t="e">
        <f t="shared" si="26"/>
        <v>#REF!</v>
      </c>
      <c r="AI148" s="348" t="e">
        <f t="shared" si="26"/>
        <v>#REF!</v>
      </c>
      <c r="AJ148" s="348" t="e">
        <f t="shared" si="26"/>
        <v>#REF!</v>
      </c>
      <c r="AK148" s="348" t="e">
        <f t="shared" si="26"/>
        <v>#REF!</v>
      </c>
      <c r="AL148" s="348" t="e">
        <f t="shared" si="26"/>
        <v>#REF!</v>
      </c>
      <c r="AM148" s="349" t="e">
        <f t="shared" si="26"/>
        <v>#REF!</v>
      </c>
    </row>
    <row r="149" spans="1:39" ht="12.95">
      <c r="B149" s="367" t="s">
        <v>466</v>
      </c>
      <c r="C149" s="366" t="s">
        <v>417</v>
      </c>
      <c r="D149" s="301">
        <f>D147-D148</f>
        <v>-3851703.4293264002</v>
      </c>
      <c r="E149" s="302">
        <f t="shared" ref="E149:AM149" si="27">E147-E148</f>
        <v>425235.99147360027</v>
      </c>
      <c r="F149" s="302">
        <f t="shared" si="27"/>
        <v>425235.99147360027</v>
      </c>
      <c r="G149" s="302">
        <f t="shared" si="27"/>
        <v>425235.99147360027</v>
      </c>
      <c r="H149" s="302">
        <f t="shared" si="27"/>
        <v>425235.99147360027</v>
      </c>
      <c r="I149" s="302">
        <f t="shared" si="27"/>
        <v>333192.91947360022</v>
      </c>
      <c r="J149" s="302">
        <f t="shared" si="27"/>
        <v>333192.91947360022</v>
      </c>
      <c r="K149" s="302">
        <f t="shared" si="27"/>
        <v>333192.91947360022</v>
      </c>
      <c r="L149" s="302">
        <f t="shared" si="27"/>
        <v>333192.91947360022</v>
      </c>
      <c r="M149" s="302">
        <f t="shared" si="27"/>
        <v>333192.91947360022</v>
      </c>
      <c r="N149" s="302">
        <f t="shared" si="27"/>
        <v>333192.91947360022</v>
      </c>
      <c r="O149" s="302">
        <f t="shared" si="27"/>
        <v>333192.91947360022</v>
      </c>
      <c r="P149" s="302">
        <f t="shared" si="27"/>
        <v>333192.91947360022</v>
      </c>
      <c r="Q149" s="302">
        <f t="shared" si="27"/>
        <v>333192.91947360022</v>
      </c>
      <c r="R149" s="302">
        <f t="shared" si="27"/>
        <v>333192.91947360022</v>
      </c>
      <c r="S149" s="302">
        <f t="shared" si="27"/>
        <v>333192.91947360022</v>
      </c>
      <c r="T149" s="302">
        <f t="shared" si="27"/>
        <v>333192.91947360022</v>
      </c>
      <c r="U149" s="302">
        <f t="shared" si="27"/>
        <v>333192.91947360022</v>
      </c>
      <c r="V149" s="302">
        <f t="shared" si="27"/>
        <v>333192.91947360022</v>
      </c>
      <c r="W149" s="302">
        <f t="shared" si="27"/>
        <v>333192.91947360022</v>
      </c>
      <c r="X149" s="302">
        <f t="shared" si="27"/>
        <v>333192.91947360022</v>
      </c>
      <c r="Y149" s="302">
        <f t="shared" si="27"/>
        <v>333192.91947360022</v>
      </c>
      <c r="Z149" s="302">
        <f t="shared" si="27"/>
        <v>333192.91947360022</v>
      </c>
      <c r="AA149" s="302">
        <f t="shared" si="27"/>
        <v>333192.91947360022</v>
      </c>
      <c r="AB149" s="302">
        <f t="shared" si="27"/>
        <v>333192.91947360022</v>
      </c>
      <c r="AC149" s="302">
        <f t="shared" si="27"/>
        <v>-2169022.7439549789</v>
      </c>
      <c r="AD149" s="302">
        <f t="shared" si="27"/>
        <v>-1990816.9347549786</v>
      </c>
      <c r="AE149" s="302" t="e">
        <f t="shared" si="27"/>
        <v>#REF!</v>
      </c>
      <c r="AF149" s="302" t="e">
        <f t="shared" si="27"/>
        <v>#REF!</v>
      </c>
      <c r="AG149" s="302" t="e">
        <f t="shared" si="27"/>
        <v>#REF!</v>
      </c>
      <c r="AH149" s="302" t="e">
        <f t="shared" si="27"/>
        <v>#REF!</v>
      </c>
      <c r="AI149" s="302" t="e">
        <f t="shared" si="27"/>
        <v>#REF!</v>
      </c>
      <c r="AJ149" s="302" t="e">
        <f t="shared" si="27"/>
        <v>#REF!</v>
      </c>
      <c r="AK149" s="302" t="e">
        <f t="shared" si="27"/>
        <v>#REF!</v>
      </c>
      <c r="AL149" s="302" t="e">
        <f t="shared" si="27"/>
        <v>#REF!</v>
      </c>
      <c r="AM149" s="303" t="e">
        <f t="shared" si="27"/>
        <v>#REF!</v>
      </c>
    </row>
    <row r="150" spans="1:39" s="331" customFormat="1" ht="12.95">
      <c r="B150" s="368" t="s">
        <v>467</v>
      </c>
      <c r="C150" s="334" t="s">
        <v>417</v>
      </c>
      <c r="D150" s="369">
        <f>D149+D128</f>
        <v>-3956060.5549873784</v>
      </c>
      <c r="E150" s="370">
        <f t="shared" ref="E150:AM150" si="28">E149+E128</f>
        <v>320878.86581262201</v>
      </c>
      <c r="F150" s="370">
        <f t="shared" si="28"/>
        <v>320878.86581262201</v>
      </c>
      <c r="G150" s="370">
        <f t="shared" si="28"/>
        <v>320878.86581262201</v>
      </c>
      <c r="H150" s="370">
        <f t="shared" si="28"/>
        <v>320878.86581262201</v>
      </c>
      <c r="I150" s="370">
        <f t="shared" si="28"/>
        <v>238350.240143726</v>
      </c>
      <c r="J150" s="370">
        <f t="shared" si="28"/>
        <v>238350.240143726</v>
      </c>
      <c r="K150" s="370">
        <f t="shared" si="28"/>
        <v>238350.240143726</v>
      </c>
      <c r="L150" s="370">
        <f t="shared" si="28"/>
        <v>238350.240143726</v>
      </c>
      <c r="M150" s="370">
        <f t="shared" si="28"/>
        <v>238350.240143726</v>
      </c>
      <c r="N150" s="370">
        <f t="shared" si="28"/>
        <v>238350.240143726</v>
      </c>
      <c r="O150" s="370">
        <f t="shared" si="28"/>
        <v>238350.240143726</v>
      </c>
      <c r="P150" s="370">
        <f t="shared" si="28"/>
        <v>238350.240143726</v>
      </c>
      <c r="Q150" s="370">
        <f t="shared" si="28"/>
        <v>238350.240143726</v>
      </c>
      <c r="R150" s="370">
        <f t="shared" si="28"/>
        <v>238350.240143726</v>
      </c>
      <c r="S150" s="370">
        <f t="shared" si="28"/>
        <v>238350.240143726</v>
      </c>
      <c r="T150" s="370">
        <f t="shared" si="28"/>
        <v>238350.240143726</v>
      </c>
      <c r="U150" s="370">
        <f t="shared" si="28"/>
        <v>238350.240143726</v>
      </c>
      <c r="V150" s="370">
        <f t="shared" si="28"/>
        <v>238350.240143726</v>
      </c>
      <c r="W150" s="370">
        <f t="shared" si="28"/>
        <v>238350.240143726</v>
      </c>
      <c r="X150" s="370">
        <f t="shared" si="28"/>
        <v>238350.240143726</v>
      </c>
      <c r="Y150" s="370">
        <f t="shared" si="28"/>
        <v>238350.240143726</v>
      </c>
      <c r="Z150" s="370">
        <f t="shared" si="28"/>
        <v>238350.240143726</v>
      </c>
      <c r="AA150" s="370">
        <f t="shared" si="28"/>
        <v>238350.240143726</v>
      </c>
      <c r="AB150" s="370">
        <f t="shared" si="28"/>
        <v>238350.240143726</v>
      </c>
      <c r="AC150" s="370" t="e">
        <f t="shared" si="28"/>
        <v>#REF!</v>
      </c>
      <c r="AD150" s="370" t="e">
        <f t="shared" si="28"/>
        <v>#REF!</v>
      </c>
      <c r="AE150" s="370" t="e">
        <f t="shared" si="28"/>
        <v>#REF!</v>
      </c>
      <c r="AF150" s="370" t="e">
        <f t="shared" si="28"/>
        <v>#REF!</v>
      </c>
      <c r="AG150" s="370" t="e">
        <f t="shared" si="28"/>
        <v>#REF!</v>
      </c>
      <c r="AH150" s="370" t="e">
        <f t="shared" si="28"/>
        <v>#REF!</v>
      </c>
      <c r="AI150" s="370" t="e">
        <f t="shared" si="28"/>
        <v>#REF!</v>
      </c>
      <c r="AJ150" s="370" t="e">
        <f t="shared" si="28"/>
        <v>#REF!</v>
      </c>
      <c r="AK150" s="370" t="e">
        <f t="shared" si="28"/>
        <v>#REF!</v>
      </c>
      <c r="AL150" s="370" t="e">
        <f t="shared" si="28"/>
        <v>#REF!</v>
      </c>
      <c r="AM150" s="371" t="e">
        <f t="shared" si="28"/>
        <v>#REF!</v>
      </c>
    </row>
    <row r="151" spans="1:39" s="372" customFormat="1" ht="12.95">
      <c r="A151" s="331"/>
      <c r="B151" s="276" t="s">
        <v>468</v>
      </c>
      <c r="C151" s="259" t="s">
        <v>331</v>
      </c>
      <c r="D151" s="327">
        <f>SUM(D147:AB147)</f>
        <v>23397996.651840013</v>
      </c>
      <c r="F151" s="373"/>
      <c r="G151" s="373"/>
      <c r="H151" s="373"/>
      <c r="I151" s="373"/>
      <c r="J151" s="373"/>
      <c r="K151" s="373"/>
      <c r="L151" s="373"/>
      <c r="M151" s="373"/>
      <c r="N151" s="373"/>
      <c r="O151" s="373"/>
      <c r="P151" s="373"/>
      <c r="Q151" s="373"/>
      <c r="R151" s="373"/>
      <c r="S151" s="373"/>
      <c r="T151" s="373"/>
      <c r="U151" s="373"/>
      <c r="V151" s="373"/>
      <c r="W151" s="373"/>
      <c r="X151" s="373"/>
      <c r="Y151" s="373"/>
      <c r="Z151" s="373"/>
      <c r="AA151" s="373"/>
      <c r="AB151" s="373"/>
      <c r="AC151" s="373"/>
      <c r="AD151" s="373"/>
      <c r="AE151" s="373"/>
      <c r="AF151" s="373"/>
      <c r="AG151" s="373"/>
      <c r="AH151" s="373"/>
      <c r="AI151" s="373"/>
      <c r="AJ151" s="373"/>
      <c r="AK151" s="373"/>
      <c r="AL151" s="373"/>
      <c r="AM151" s="373"/>
    </row>
    <row r="152" spans="1:39" s="372" customFormat="1" ht="12.95">
      <c r="A152" s="331"/>
      <c r="B152" s="276" t="s">
        <v>469</v>
      </c>
      <c r="C152" s="259" t="s">
        <v>331</v>
      </c>
      <c r="D152" s="327">
        <f>SUM(D149:AB149)</f>
        <v>4513098.926040004</v>
      </c>
      <c r="E152" s="373"/>
      <c r="F152" s="373"/>
      <c r="G152" s="373"/>
      <c r="H152" s="373"/>
      <c r="I152" s="373"/>
      <c r="J152" s="373"/>
      <c r="K152" s="373"/>
      <c r="L152" s="373"/>
      <c r="M152" s="373"/>
      <c r="N152" s="373"/>
      <c r="O152" s="373"/>
      <c r="P152" s="373"/>
      <c r="Q152" s="373"/>
      <c r="R152" s="373"/>
      <c r="S152" s="373"/>
      <c r="T152" s="373"/>
      <c r="U152" s="373"/>
      <c r="V152" s="373"/>
      <c r="W152" s="373"/>
      <c r="X152" s="373"/>
      <c r="Y152" s="373"/>
      <c r="Z152" s="373"/>
      <c r="AA152" s="373"/>
      <c r="AB152" s="373"/>
      <c r="AC152" s="373"/>
      <c r="AD152" s="373"/>
      <c r="AE152" s="373"/>
      <c r="AF152" s="373"/>
      <c r="AG152" s="373"/>
      <c r="AH152" s="373"/>
      <c r="AI152" s="373"/>
      <c r="AJ152" s="373"/>
      <c r="AK152" s="373"/>
      <c r="AL152" s="373"/>
      <c r="AM152" s="373"/>
    </row>
    <row r="153" spans="1:39" s="372" customFormat="1" ht="12.95">
      <c r="A153" s="331"/>
      <c r="B153" s="276" t="s">
        <v>470</v>
      </c>
      <c r="C153" s="259" t="s">
        <v>331</v>
      </c>
      <c r="D153" s="327">
        <f>SUM(D150:AB150)</f>
        <v>2094459.7111376305</v>
      </c>
      <c r="E153" s="373"/>
      <c r="F153" s="373"/>
      <c r="G153" s="373"/>
      <c r="H153" s="373"/>
      <c r="I153" s="373"/>
      <c r="J153" s="373"/>
      <c r="K153" s="373"/>
      <c r="L153" s="373"/>
      <c r="M153" s="373"/>
      <c r="N153" s="373"/>
      <c r="O153" s="373"/>
      <c r="P153" s="373"/>
      <c r="Q153" s="373"/>
      <c r="R153" s="373"/>
      <c r="S153" s="373"/>
      <c r="T153" s="373"/>
      <c r="U153" s="373"/>
      <c r="V153" s="373"/>
      <c r="W153" s="373"/>
      <c r="X153" s="373"/>
      <c r="Y153" s="373"/>
      <c r="Z153" s="373"/>
      <c r="AA153" s="373"/>
      <c r="AB153" s="373"/>
      <c r="AC153" s="373"/>
      <c r="AD153" s="373"/>
      <c r="AE153" s="373"/>
      <c r="AF153" s="373"/>
      <c r="AG153" s="373"/>
      <c r="AH153" s="373"/>
      <c r="AI153" s="373"/>
      <c r="AJ153" s="373"/>
      <c r="AK153" s="373"/>
      <c r="AL153" s="373"/>
      <c r="AM153" s="373"/>
    </row>
    <row r="155" spans="1:39">
      <c r="B155" s="279" t="s">
        <v>498</v>
      </c>
      <c r="C155" s="374">
        <f>IRR(D149:AB149)</f>
        <v>7.871688744416816E-2</v>
      </c>
    </row>
    <row r="156" spans="1:39">
      <c r="B156" s="279" t="s">
        <v>499</v>
      </c>
      <c r="C156" s="374">
        <f>IRR(D150:AB150)</f>
        <v>3.9412513303731966E-2</v>
      </c>
    </row>
    <row r="157" spans="1:39">
      <c r="B157" s="885" t="s">
        <v>500</v>
      </c>
      <c r="C157" s="725" t="str">
        <f>CostofCap_DiscountRate</f>
        <v>Cost of Capital Imp Rate</v>
      </c>
      <c r="D157" s="356">
        <f>NPV(CstofCapImpDiscRate,$D$149:$AB$149)</f>
        <v>3774666.3425316322</v>
      </c>
    </row>
    <row r="158" spans="1:39">
      <c r="B158" s="885"/>
      <c r="C158" s="726" t="str">
        <f>SocDiscountRateVal</f>
        <v xml:space="preserve">Social Discount </v>
      </c>
      <c r="D158" s="260">
        <f>NPV(SocDiscRate,$D$149:$AB$149)</f>
        <v>-873622.81730587664</v>
      </c>
    </row>
    <row r="159" spans="1:39">
      <c r="B159" s="886"/>
      <c r="C159" s="727" t="str">
        <f>'ProgrBiogas Electricity Fin Anl'!C162</f>
        <v>ESCO Discount Rate</v>
      </c>
      <c r="D159" s="375">
        <f>NPV(PvESCODiscRate,$D$149:$AB$149)</f>
        <v>-1640350.0919553116</v>
      </c>
    </row>
    <row r="160" spans="1:39">
      <c r="B160" s="884" t="s">
        <v>501</v>
      </c>
      <c r="C160" s="725" t="str">
        <f>+C157</f>
        <v>Cost of Capital Imp Rate</v>
      </c>
      <c r="D160" s="356">
        <f>NPV(CstofCapImpDiscRate,$D$150:$AB$150)</f>
        <v>1573438.3918013349</v>
      </c>
    </row>
    <row r="161" spans="2:4">
      <c r="B161" s="885"/>
      <c r="C161" s="726" t="str">
        <f>C158</f>
        <v xml:space="preserve">Social Discount </v>
      </c>
      <c r="D161" s="260">
        <f>NPV(SocDiscRate,$D$150:$AB$150)</f>
        <v>-1651784.5947638617</v>
      </c>
    </row>
    <row r="162" spans="2:4">
      <c r="B162" s="886"/>
      <c r="C162" s="727" t="str">
        <f>C159</f>
        <v>ESCO Discount Rate</v>
      </c>
      <c r="D162" s="375">
        <f>NPV(PvESCODiscRate,$D$150:$AB$150)</f>
        <v>-2138046.5198472841</v>
      </c>
    </row>
    <row r="168" spans="2:4">
      <c r="B168" s="215" t="s">
        <v>502</v>
      </c>
    </row>
    <row r="170" spans="2:4">
      <c r="B170" s="215" t="s">
        <v>503</v>
      </c>
    </row>
  </sheetData>
  <mergeCells count="6">
    <mergeCell ref="B160:B162"/>
    <mergeCell ref="B33:D33"/>
    <mergeCell ref="B43:D43"/>
    <mergeCell ref="B51:D51"/>
    <mergeCell ref="B59:D59"/>
    <mergeCell ref="B157:B159"/>
  </mergeCells>
  <hyperlinks>
    <hyperlink ref="E23" r:id="rId1" xr:uid="{81946EA1-F0B4-4AEF-859B-1BB02CBF28BD}"/>
  </hyperlinks>
  <pageMargins left="0.75" right="0.75" top="1" bottom="1" header="0.5" footer="0.5"/>
  <pageSetup orientation="portrait" horizontalDpi="1200" verticalDpi="1200" r:id="rId2"/>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D195CC-E66C-414F-BBFC-B367168CF455}">
  <sheetPr codeName="Sheet9">
    <tabColor rgb="FFFF0000"/>
  </sheetPr>
  <dimension ref="A1:AB65"/>
  <sheetViews>
    <sheetView topLeftCell="B27" zoomScale="90" zoomScaleNormal="90" workbookViewId="0">
      <selection activeCell="C58" sqref="C58"/>
    </sheetView>
  </sheetViews>
  <sheetFormatPr defaultColWidth="11.42578125" defaultRowHeight="14.45"/>
  <cols>
    <col min="1" max="1" width="18" style="122" customWidth="1"/>
    <col min="2" max="2" width="74.42578125" style="122" customWidth="1"/>
    <col min="3" max="3" width="24.85546875" style="122" bestFit="1" customWidth="1"/>
    <col min="4" max="4" width="20.85546875" style="122" customWidth="1"/>
    <col min="5" max="5" width="16.42578125" style="122" bestFit="1" customWidth="1"/>
    <col min="6" max="23" width="15.7109375" style="122" bestFit="1" customWidth="1"/>
    <col min="24" max="24" width="15" style="122" customWidth="1"/>
    <col min="25" max="25" width="17.28515625" style="122" customWidth="1"/>
    <col min="26" max="26" width="17.42578125" style="122" customWidth="1"/>
    <col min="27" max="27" width="16.140625" style="122" customWidth="1"/>
    <col min="28" max="28" width="14.85546875" style="122" customWidth="1"/>
    <col min="29" max="16384" width="11.42578125" style="122"/>
  </cols>
  <sheetData>
    <row r="1" spans="1:28" ht="17.45">
      <c r="A1" s="152"/>
      <c r="B1" s="152"/>
      <c r="C1" s="152"/>
      <c r="D1" s="156" t="s">
        <v>639</v>
      </c>
      <c r="E1" s="152"/>
      <c r="F1" s="152"/>
      <c r="G1" s="152"/>
      <c r="H1" s="152"/>
      <c r="I1" s="152"/>
      <c r="J1" s="152"/>
      <c r="K1" s="152"/>
      <c r="L1" s="152"/>
      <c r="M1" s="152"/>
      <c r="N1" s="152"/>
      <c r="O1" s="152"/>
      <c r="P1" s="152"/>
      <c r="Q1" s="152"/>
      <c r="R1" s="152"/>
      <c r="S1" s="152"/>
      <c r="T1" s="152"/>
      <c r="U1" s="152"/>
      <c r="V1" s="152"/>
      <c r="W1" s="152"/>
      <c r="X1" s="152"/>
      <c r="Y1" s="152"/>
      <c r="Z1" s="152"/>
      <c r="AA1" s="152"/>
      <c r="AB1" s="152"/>
    </row>
    <row r="2" spans="1:28">
      <c r="A2" s="152"/>
      <c r="B2" s="151"/>
      <c r="C2" s="155"/>
      <c r="E2" s="155"/>
      <c r="F2" s="155"/>
      <c r="G2" s="155"/>
      <c r="H2" s="155"/>
      <c r="I2" s="155"/>
      <c r="J2" s="155"/>
      <c r="K2" s="155"/>
      <c r="L2" s="155"/>
      <c r="M2" s="155"/>
      <c r="N2" s="155"/>
      <c r="O2" s="155"/>
      <c r="P2" s="155"/>
      <c r="Q2" s="155"/>
      <c r="R2" s="155"/>
      <c r="S2" s="155"/>
      <c r="T2" s="155"/>
      <c r="U2" s="155"/>
      <c r="V2" s="155"/>
      <c r="W2" s="155"/>
      <c r="X2" s="155"/>
      <c r="Y2" s="155"/>
      <c r="Z2" s="155"/>
      <c r="AA2" s="155"/>
      <c r="AB2" s="155"/>
    </row>
    <row r="3" spans="1:28" ht="17.45">
      <c r="A3" s="152"/>
      <c r="B3" s="151" t="s">
        <v>14</v>
      </c>
      <c r="C3" s="152"/>
      <c r="D3" s="152"/>
      <c r="E3" s="152"/>
      <c r="F3" s="155"/>
      <c r="G3" s="159" t="s">
        <v>66</v>
      </c>
      <c r="H3" s="158"/>
      <c r="I3" s="155"/>
      <c r="J3" s="155"/>
      <c r="K3" s="155"/>
      <c r="L3" s="155"/>
      <c r="M3" s="155"/>
      <c r="N3" s="155"/>
      <c r="O3" s="155"/>
      <c r="P3" s="155"/>
      <c r="Q3" s="155"/>
      <c r="R3" s="155"/>
      <c r="S3" s="155"/>
      <c r="T3" s="155"/>
      <c r="U3" s="155"/>
      <c r="V3" s="155"/>
      <c r="W3" s="155"/>
      <c r="X3" s="155"/>
      <c r="Y3" s="155"/>
      <c r="Z3" s="155"/>
      <c r="AA3" s="155"/>
      <c r="AB3" s="155"/>
    </row>
    <row r="4" spans="1:28">
      <c r="A4" s="152"/>
      <c r="B4" s="153" t="s">
        <v>16</v>
      </c>
      <c r="C4" s="152"/>
      <c r="D4" s="152"/>
      <c r="E4" s="152"/>
      <c r="F4" s="155"/>
      <c r="G4" s="837" t="s">
        <v>17</v>
      </c>
      <c r="H4" s="155"/>
      <c r="I4" s="155"/>
      <c r="J4" s="468">
        <f>EnergyDemand!F87/1000</f>
        <v>1.018248</v>
      </c>
      <c r="K4" s="155"/>
      <c r="L4" s="155"/>
      <c r="M4" s="155"/>
      <c r="N4" s="155"/>
      <c r="O4" s="155"/>
      <c r="P4" s="155"/>
      <c r="Q4" s="155"/>
      <c r="R4" s="155"/>
      <c r="S4" s="155"/>
      <c r="T4" s="155"/>
      <c r="U4" s="155"/>
      <c r="V4" s="155"/>
      <c r="W4" s="155"/>
      <c r="X4" s="155"/>
      <c r="Y4" s="155"/>
      <c r="Z4" s="155"/>
      <c r="AA4" s="155"/>
      <c r="AB4" s="155"/>
    </row>
    <row r="5" spans="1:28" ht="17.45">
      <c r="A5" s="152"/>
      <c r="B5" s="154" t="s">
        <v>18</v>
      </c>
      <c r="C5" s="152"/>
      <c r="D5" s="152"/>
      <c r="E5" s="152"/>
      <c r="F5" s="155"/>
      <c r="G5" s="837" t="s">
        <v>19</v>
      </c>
      <c r="H5" s="156"/>
      <c r="I5" s="155"/>
      <c r="J5" s="804">
        <f>EnergyDemand!D67/1000</f>
        <v>7.1665265709615387</v>
      </c>
      <c r="K5" s="155"/>
      <c r="L5" s="155"/>
      <c r="M5" s="155"/>
      <c r="N5" s="155"/>
      <c r="O5" s="155"/>
      <c r="P5" s="155"/>
      <c r="Q5" s="155"/>
      <c r="R5" s="155"/>
      <c r="S5" s="155"/>
      <c r="T5" s="155"/>
      <c r="U5" s="155"/>
      <c r="V5" s="155"/>
      <c r="W5" s="155"/>
      <c r="X5" s="155"/>
      <c r="Y5" s="155"/>
      <c r="Z5" s="155"/>
      <c r="AA5" s="155"/>
      <c r="AB5" s="155"/>
    </row>
    <row r="6" spans="1:28" ht="17.45">
      <c r="A6" s="152"/>
      <c r="B6" s="151"/>
      <c r="C6" s="155"/>
      <c r="D6" s="156"/>
      <c r="E6" s="155"/>
      <c r="F6" s="155"/>
      <c r="G6" s="837" t="s">
        <v>20</v>
      </c>
      <c r="H6" s="155"/>
      <c r="I6" s="155"/>
      <c r="J6" s="470">
        <f>+'Assump&amp;Est_Togo'!D24</f>
        <v>9447.0626634615401</v>
      </c>
      <c r="K6" s="155"/>
      <c r="L6" s="155"/>
      <c r="M6" s="155"/>
      <c r="N6" s="155"/>
      <c r="O6" s="155"/>
      <c r="P6" s="155"/>
      <c r="Q6" s="155"/>
      <c r="R6" s="155"/>
      <c r="S6" s="155"/>
      <c r="T6" s="155"/>
      <c r="U6" s="155"/>
      <c r="V6" s="155"/>
      <c r="W6" s="155"/>
      <c r="X6" s="155"/>
      <c r="Y6" s="155"/>
      <c r="Z6" s="155"/>
      <c r="AA6" s="155"/>
      <c r="AB6" s="155"/>
    </row>
    <row r="7" spans="1:28">
      <c r="A7" s="152"/>
      <c r="B7" s="151"/>
      <c r="C7" s="155"/>
      <c r="D7" s="155"/>
      <c r="E7" s="155"/>
      <c r="F7" s="155"/>
      <c r="G7" s="155"/>
      <c r="H7" s="155"/>
      <c r="I7" s="155"/>
      <c r="J7" s="155"/>
      <c r="K7" s="155"/>
      <c r="L7" s="155"/>
      <c r="M7" s="155"/>
      <c r="N7" s="155"/>
      <c r="O7" s="155"/>
      <c r="P7" s="155"/>
      <c r="Q7" s="155"/>
      <c r="R7" s="155"/>
      <c r="S7" s="155"/>
      <c r="T7" s="155"/>
      <c r="U7" s="155"/>
      <c r="V7" s="155"/>
      <c r="W7" s="155"/>
      <c r="X7" s="155"/>
      <c r="Y7" s="155"/>
      <c r="Z7" s="155"/>
      <c r="AA7" s="155"/>
      <c r="AB7" s="155"/>
    </row>
    <row r="8" spans="1:28">
      <c r="A8" s="157" t="s">
        <v>21</v>
      </c>
      <c r="B8" s="153"/>
      <c r="C8" s="184"/>
      <c r="D8" s="161"/>
      <c r="E8" s="161"/>
      <c r="F8" s="161"/>
      <c r="G8" s="161"/>
      <c r="H8" s="161"/>
      <c r="I8" s="161"/>
      <c r="J8" s="161"/>
      <c r="K8" s="161"/>
      <c r="L8" s="161"/>
      <c r="M8" s="161"/>
      <c r="N8" s="161"/>
      <c r="O8" s="161"/>
      <c r="P8" s="161"/>
      <c r="Q8" s="161"/>
      <c r="R8" s="161"/>
      <c r="S8" s="161"/>
      <c r="T8" s="161"/>
      <c r="U8" s="161"/>
      <c r="V8" s="161"/>
      <c r="W8" s="161"/>
      <c r="X8" s="161"/>
      <c r="Y8" s="161"/>
      <c r="Z8" s="161"/>
      <c r="AA8" s="161"/>
      <c r="AB8" s="161"/>
    </row>
    <row r="9" spans="1:28">
      <c r="A9" s="152"/>
      <c r="B9" s="151" t="s">
        <v>23</v>
      </c>
      <c r="C9" s="162">
        <f>5*365</f>
        <v>1825</v>
      </c>
      <c r="D9" s="163"/>
      <c r="E9" s="163"/>
      <c r="F9" s="163"/>
      <c r="G9" s="163"/>
      <c r="H9" s="163"/>
      <c r="I9" s="163"/>
      <c r="J9" s="163"/>
      <c r="K9" s="163"/>
      <c r="L9" s="163"/>
      <c r="M9" s="163"/>
      <c r="N9" s="163"/>
      <c r="O9" s="163"/>
      <c r="P9" s="163"/>
      <c r="Q9" s="163"/>
      <c r="R9" s="163"/>
      <c r="S9" s="163"/>
      <c r="T9" s="163"/>
      <c r="U9" s="163"/>
      <c r="V9" s="163"/>
      <c r="W9" s="163"/>
      <c r="X9" s="163"/>
      <c r="Y9" s="163"/>
      <c r="Z9" s="163"/>
      <c r="AA9" s="163"/>
      <c r="AB9" s="163"/>
    </row>
    <row r="10" spans="1:28">
      <c r="A10" s="152"/>
      <c r="B10" s="151" t="s">
        <v>24</v>
      </c>
      <c r="C10" s="162">
        <f>12*365</f>
        <v>4380</v>
      </c>
      <c r="D10" s="163"/>
      <c r="E10" s="163"/>
      <c r="F10" s="163"/>
      <c r="G10" s="163"/>
      <c r="H10" s="163"/>
      <c r="I10" s="163"/>
      <c r="J10" s="163"/>
      <c r="K10" s="163"/>
      <c r="L10" s="163"/>
      <c r="M10" s="163"/>
      <c r="N10" s="163"/>
      <c r="O10" s="163"/>
      <c r="P10" s="163"/>
      <c r="Q10" s="163"/>
      <c r="R10" s="163"/>
      <c r="S10" s="163"/>
      <c r="T10" s="163"/>
      <c r="U10" s="163"/>
      <c r="V10" s="163"/>
      <c r="W10" s="163"/>
      <c r="X10" s="163"/>
      <c r="Y10" s="163"/>
      <c r="Z10" s="163"/>
      <c r="AA10" s="163"/>
      <c r="AB10" s="163"/>
    </row>
    <row r="11" spans="1:28">
      <c r="A11" s="152"/>
      <c r="B11" s="151" t="s">
        <v>25</v>
      </c>
      <c r="C11" s="162">
        <f>12*365</f>
        <v>4380</v>
      </c>
      <c r="D11" s="163"/>
      <c r="E11" s="163"/>
      <c r="F11" s="163"/>
      <c r="G11" s="163"/>
      <c r="H11" s="163"/>
      <c r="I11" s="163"/>
      <c r="J11" s="163"/>
      <c r="K11" s="163"/>
      <c r="L11" s="163"/>
      <c r="M11" s="163"/>
      <c r="N11" s="163"/>
      <c r="O11" s="163"/>
      <c r="P11" s="163"/>
      <c r="Q11" s="163"/>
      <c r="R11" s="163"/>
      <c r="S11" s="163"/>
      <c r="T11" s="163"/>
      <c r="U11" s="163"/>
      <c r="V11" s="163"/>
      <c r="W11" s="163"/>
      <c r="X11" s="163"/>
      <c r="Y11" s="163"/>
      <c r="Z11" s="163"/>
      <c r="AA11" s="163"/>
      <c r="AB11" s="163"/>
    </row>
    <row r="12" spans="1:28">
      <c r="A12" s="152"/>
      <c r="B12" s="151" t="s">
        <v>26</v>
      </c>
      <c r="C12" s="162">
        <v>0.8</v>
      </c>
      <c r="D12" s="163"/>
      <c r="E12" s="163"/>
      <c r="F12" s="163"/>
      <c r="G12" s="163"/>
      <c r="H12" s="163"/>
      <c r="I12" s="163"/>
      <c r="J12" s="163"/>
      <c r="K12" s="163"/>
      <c r="L12" s="163"/>
      <c r="M12" s="163"/>
      <c r="N12" s="163"/>
      <c r="O12" s="163"/>
      <c r="P12" s="163"/>
      <c r="Q12" s="163"/>
      <c r="R12" s="163"/>
      <c r="S12" s="163"/>
      <c r="T12" s="163"/>
      <c r="U12" s="163"/>
      <c r="V12" s="163"/>
      <c r="W12" s="163"/>
      <c r="X12" s="163"/>
      <c r="Y12" s="163"/>
      <c r="Z12" s="163"/>
      <c r="AA12" s="163"/>
      <c r="AB12" s="163"/>
    </row>
    <row r="13" spans="1:28">
      <c r="A13" s="152"/>
      <c r="B13" s="151" t="s">
        <v>27</v>
      </c>
      <c r="C13" s="162">
        <v>25</v>
      </c>
      <c r="D13" s="163"/>
      <c r="E13" s="163"/>
      <c r="F13" s="163"/>
      <c r="G13" s="163"/>
      <c r="H13" s="163"/>
      <c r="I13" s="163"/>
      <c r="J13" s="163"/>
      <c r="K13" s="163"/>
      <c r="L13" s="163"/>
      <c r="M13" s="163"/>
      <c r="N13" s="163"/>
      <c r="O13" s="163"/>
      <c r="P13" s="163"/>
      <c r="Q13" s="163"/>
      <c r="R13" s="163"/>
      <c r="S13" s="163"/>
      <c r="T13" s="163"/>
      <c r="U13" s="163"/>
      <c r="V13" s="163"/>
      <c r="W13" s="163"/>
      <c r="X13" s="163"/>
      <c r="Y13" s="163"/>
      <c r="Z13" s="163"/>
      <c r="AA13" s="163"/>
      <c r="AB13" s="163"/>
    </row>
    <row r="14" spans="1:28">
      <c r="A14" s="152"/>
      <c r="B14" s="151" t="s">
        <v>28</v>
      </c>
      <c r="C14" s="165">
        <f>+J6/'SCPZ Biogas Assump&amp; Estimation'!E32</f>
        <v>0.38439161173471825</v>
      </c>
      <c r="D14" s="163"/>
      <c r="E14" s="163"/>
      <c r="F14" s="163"/>
      <c r="G14" s="163"/>
      <c r="H14" s="163"/>
      <c r="I14" s="163"/>
      <c r="J14" s="163"/>
      <c r="K14" s="163"/>
      <c r="L14" s="163"/>
      <c r="M14" s="163"/>
      <c r="N14" s="163"/>
      <c r="O14" s="163"/>
      <c r="P14" s="163"/>
      <c r="Q14" s="163"/>
      <c r="R14" s="163"/>
      <c r="S14" s="163"/>
      <c r="T14" s="163"/>
      <c r="U14" s="163"/>
      <c r="V14" s="163"/>
      <c r="W14" s="163"/>
      <c r="X14" s="163"/>
      <c r="Y14" s="163"/>
      <c r="Z14" s="163"/>
      <c r="AA14" s="163"/>
      <c r="AB14" s="163"/>
    </row>
    <row r="15" spans="1:28">
      <c r="A15" s="152"/>
      <c r="B15" s="151"/>
      <c r="C15" s="164"/>
      <c r="D15" s="163"/>
      <c r="E15" s="163"/>
      <c r="F15" s="163"/>
      <c r="G15" s="163"/>
      <c r="H15" s="163"/>
      <c r="I15" s="163"/>
      <c r="J15" s="163"/>
      <c r="K15" s="163"/>
      <c r="L15" s="163"/>
      <c r="M15" s="163"/>
      <c r="N15" s="163"/>
      <c r="O15" s="163"/>
      <c r="P15" s="163"/>
      <c r="Q15" s="163"/>
      <c r="R15" s="163"/>
      <c r="S15" s="163"/>
      <c r="T15" s="163"/>
      <c r="U15" s="163"/>
      <c r="V15" s="163"/>
      <c r="W15" s="163"/>
      <c r="X15" s="163"/>
      <c r="Y15" s="163"/>
      <c r="Z15" s="163"/>
      <c r="AA15" s="163"/>
      <c r="AB15" s="163"/>
    </row>
    <row r="16" spans="1:28">
      <c r="A16" s="152"/>
      <c r="B16" s="120" t="s">
        <v>67</v>
      </c>
      <c r="C16" s="121"/>
      <c r="D16" s="121">
        <v>1</v>
      </c>
      <c r="E16" s="121">
        <v>2</v>
      </c>
      <c r="F16" s="121">
        <v>3</v>
      </c>
      <c r="G16" s="121">
        <v>4</v>
      </c>
      <c r="H16" s="121">
        <v>5</v>
      </c>
      <c r="I16" s="121">
        <v>6</v>
      </c>
      <c r="J16" s="121">
        <v>7</v>
      </c>
      <c r="K16" s="121">
        <v>8</v>
      </c>
      <c r="L16" s="121">
        <v>9</v>
      </c>
      <c r="M16" s="121">
        <v>10</v>
      </c>
      <c r="N16" s="121">
        <v>11</v>
      </c>
      <c r="O16" s="121">
        <v>12</v>
      </c>
      <c r="P16" s="121">
        <v>13</v>
      </c>
      <c r="Q16" s="121">
        <v>14</v>
      </c>
      <c r="R16" s="121">
        <v>15</v>
      </c>
      <c r="S16" s="121">
        <v>16</v>
      </c>
      <c r="T16" s="121">
        <v>17</v>
      </c>
      <c r="U16" s="121">
        <v>18</v>
      </c>
      <c r="V16" s="121">
        <v>19</v>
      </c>
      <c r="W16" s="121">
        <v>20</v>
      </c>
      <c r="X16" s="121">
        <v>21</v>
      </c>
      <c r="Y16" s="121">
        <v>22</v>
      </c>
      <c r="Z16" s="121">
        <v>23</v>
      </c>
      <c r="AA16" s="121">
        <v>24</v>
      </c>
      <c r="AB16" s="121">
        <v>25</v>
      </c>
    </row>
    <row r="17" spans="1:28">
      <c r="A17" s="157" t="s">
        <v>29</v>
      </c>
      <c r="B17" s="839" t="s">
        <v>31</v>
      </c>
      <c r="C17" s="166"/>
      <c r="D17" s="161">
        <f>'TogoSolarPV Financial Analys'!D19/1000</f>
        <v>1486.6420800000001</v>
      </c>
      <c r="E17" s="161">
        <f>+D17</f>
        <v>1486.6420800000001</v>
      </c>
      <c r="F17" s="161">
        <f t="shared" ref="F17:AB19" si="0">+E17</f>
        <v>1486.6420800000001</v>
      </c>
      <c r="G17" s="161">
        <f t="shared" si="0"/>
        <v>1486.6420800000001</v>
      </c>
      <c r="H17" s="161">
        <f t="shared" si="0"/>
        <v>1486.6420800000001</v>
      </c>
      <c r="I17" s="161">
        <f t="shared" si="0"/>
        <v>1486.6420800000001</v>
      </c>
      <c r="J17" s="161">
        <f t="shared" si="0"/>
        <v>1486.6420800000001</v>
      </c>
      <c r="K17" s="161">
        <f t="shared" si="0"/>
        <v>1486.6420800000001</v>
      </c>
      <c r="L17" s="161">
        <f t="shared" si="0"/>
        <v>1486.6420800000001</v>
      </c>
      <c r="M17" s="161">
        <f t="shared" si="0"/>
        <v>1486.6420800000001</v>
      </c>
      <c r="N17" s="161">
        <f t="shared" si="0"/>
        <v>1486.6420800000001</v>
      </c>
      <c r="O17" s="161">
        <f t="shared" si="0"/>
        <v>1486.6420800000001</v>
      </c>
      <c r="P17" s="161">
        <f t="shared" si="0"/>
        <v>1486.6420800000001</v>
      </c>
      <c r="Q17" s="161">
        <f t="shared" si="0"/>
        <v>1486.6420800000001</v>
      </c>
      <c r="R17" s="161">
        <f t="shared" si="0"/>
        <v>1486.6420800000001</v>
      </c>
      <c r="S17" s="161">
        <f t="shared" si="0"/>
        <v>1486.6420800000001</v>
      </c>
      <c r="T17" s="161">
        <f t="shared" si="0"/>
        <v>1486.6420800000001</v>
      </c>
      <c r="U17" s="161">
        <f t="shared" si="0"/>
        <v>1486.6420800000001</v>
      </c>
      <c r="V17" s="161">
        <f t="shared" si="0"/>
        <v>1486.6420800000001</v>
      </c>
      <c r="W17" s="161">
        <f t="shared" si="0"/>
        <v>1486.6420800000001</v>
      </c>
      <c r="X17" s="161">
        <f t="shared" si="0"/>
        <v>1486.6420800000001</v>
      </c>
      <c r="Y17" s="161">
        <f t="shared" si="0"/>
        <v>1486.6420800000001</v>
      </c>
      <c r="Z17" s="161">
        <f t="shared" si="0"/>
        <v>1486.6420800000001</v>
      </c>
      <c r="AA17" s="161">
        <f t="shared" si="0"/>
        <v>1486.6420800000001</v>
      </c>
      <c r="AB17" s="161">
        <f t="shared" si="0"/>
        <v>1486.6420800000001</v>
      </c>
    </row>
    <row r="18" spans="1:28">
      <c r="A18" s="152"/>
      <c r="B18" s="837" t="s">
        <v>32</v>
      </c>
      <c r="C18" s="164"/>
      <c r="D18" s="163">
        <f>'TogoSolarPV Financial Analys'!D20/1000</f>
        <v>25111.509104649234</v>
      </c>
      <c r="E18" s="163">
        <f>+D18</f>
        <v>25111.509104649234</v>
      </c>
      <c r="F18" s="163">
        <f t="shared" si="0"/>
        <v>25111.509104649234</v>
      </c>
      <c r="G18" s="163">
        <f t="shared" si="0"/>
        <v>25111.509104649234</v>
      </c>
      <c r="H18" s="163">
        <f t="shared" si="0"/>
        <v>25111.509104649234</v>
      </c>
      <c r="I18" s="163">
        <f t="shared" si="0"/>
        <v>25111.509104649234</v>
      </c>
      <c r="J18" s="163">
        <f t="shared" si="0"/>
        <v>25111.509104649234</v>
      </c>
      <c r="K18" s="163">
        <f t="shared" si="0"/>
        <v>25111.509104649234</v>
      </c>
      <c r="L18" s="163">
        <f t="shared" si="0"/>
        <v>25111.509104649234</v>
      </c>
      <c r="M18" s="163">
        <f t="shared" si="0"/>
        <v>25111.509104649234</v>
      </c>
      <c r="N18" s="163">
        <f t="shared" si="0"/>
        <v>25111.509104649234</v>
      </c>
      <c r="O18" s="163">
        <f t="shared" si="0"/>
        <v>25111.509104649234</v>
      </c>
      <c r="P18" s="163">
        <f t="shared" si="0"/>
        <v>25111.509104649234</v>
      </c>
      <c r="Q18" s="163">
        <f t="shared" si="0"/>
        <v>25111.509104649234</v>
      </c>
      <c r="R18" s="163">
        <f t="shared" si="0"/>
        <v>25111.509104649234</v>
      </c>
      <c r="S18" s="163">
        <f t="shared" si="0"/>
        <v>25111.509104649234</v>
      </c>
      <c r="T18" s="163">
        <f t="shared" si="0"/>
        <v>25111.509104649234</v>
      </c>
      <c r="U18" s="163">
        <f t="shared" si="0"/>
        <v>25111.509104649234</v>
      </c>
      <c r="V18" s="163">
        <f t="shared" si="0"/>
        <v>25111.509104649234</v>
      </c>
      <c r="W18" s="163">
        <f t="shared" si="0"/>
        <v>25111.509104649234</v>
      </c>
      <c r="X18" s="163">
        <f t="shared" si="0"/>
        <v>25111.509104649234</v>
      </c>
      <c r="Y18" s="163">
        <f t="shared" si="0"/>
        <v>25111.509104649234</v>
      </c>
      <c r="Z18" s="163">
        <f t="shared" si="0"/>
        <v>25111.509104649234</v>
      </c>
      <c r="AA18" s="163">
        <f t="shared" si="0"/>
        <v>25111.509104649234</v>
      </c>
      <c r="AB18" s="163">
        <f t="shared" si="0"/>
        <v>25111.509104649234</v>
      </c>
    </row>
    <row r="19" spans="1:28">
      <c r="A19" s="152"/>
      <c r="B19" s="837" t="s">
        <v>33</v>
      </c>
      <c r="C19" s="164"/>
      <c r="D19" s="163">
        <f>TogoDigesterAnaly!B68/1000</f>
        <v>17246.537115842253</v>
      </c>
      <c r="E19" s="163">
        <f>+D19</f>
        <v>17246.537115842253</v>
      </c>
      <c r="F19" s="163">
        <f t="shared" si="0"/>
        <v>17246.537115842253</v>
      </c>
      <c r="G19" s="163">
        <f t="shared" si="0"/>
        <v>17246.537115842253</v>
      </c>
      <c r="H19" s="163">
        <f t="shared" si="0"/>
        <v>17246.537115842253</v>
      </c>
      <c r="I19" s="163">
        <f t="shared" si="0"/>
        <v>17246.537115842253</v>
      </c>
      <c r="J19" s="163">
        <f t="shared" si="0"/>
        <v>17246.537115842253</v>
      </c>
      <c r="K19" s="163">
        <f t="shared" si="0"/>
        <v>17246.537115842253</v>
      </c>
      <c r="L19" s="163">
        <f t="shared" si="0"/>
        <v>17246.537115842253</v>
      </c>
      <c r="M19" s="163">
        <f t="shared" si="0"/>
        <v>17246.537115842253</v>
      </c>
      <c r="N19" s="163">
        <f t="shared" si="0"/>
        <v>17246.537115842253</v>
      </c>
      <c r="O19" s="163">
        <f t="shared" si="0"/>
        <v>17246.537115842253</v>
      </c>
      <c r="P19" s="163">
        <f t="shared" si="0"/>
        <v>17246.537115842253</v>
      </c>
      <c r="Q19" s="163">
        <f t="shared" si="0"/>
        <v>17246.537115842253</v>
      </c>
      <c r="R19" s="163">
        <f t="shared" si="0"/>
        <v>17246.537115842253</v>
      </c>
      <c r="S19" s="163">
        <f t="shared" si="0"/>
        <v>17246.537115842253</v>
      </c>
      <c r="T19" s="163">
        <f t="shared" si="0"/>
        <v>17246.537115842253</v>
      </c>
      <c r="U19" s="163">
        <f t="shared" si="0"/>
        <v>17246.537115842253</v>
      </c>
      <c r="V19" s="163">
        <f t="shared" si="0"/>
        <v>17246.537115842253</v>
      </c>
      <c r="W19" s="163">
        <f t="shared" si="0"/>
        <v>17246.537115842253</v>
      </c>
      <c r="X19" s="163">
        <f t="shared" si="0"/>
        <v>17246.537115842253</v>
      </c>
      <c r="Y19" s="163">
        <f t="shared" si="0"/>
        <v>17246.537115842253</v>
      </c>
      <c r="Z19" s="163">
        <f t="shared" si="0"/>
        <v>17246.537115842253</v>
      </c>
      <c r="AA19" s="163">
        <f t="shared" si="0"/>
        <v>17246.537115842253</v>
      </c>
      <c r="AB19" s="163">
        <f t="shared" si="0"/>
        <v>17246.537115842253</v>
      </c>
    </row>
    <row r="20" spans="1:28">
      <c r="A20" s="152"/>
      <c r="B20" s="151"/>
      <c r="C20" s="164"/>
      <c r="D20" s="163"/>
      <c r="E20" s="163"/>
      <c r="F20" s="163"/>
      <c r="G20" s="163"/>
      <c r="H20" s="163"/>
      <c r="I20" s="163"/>
      <c r="J20" s="163"/>
      <c r="K20" s="163"/>
      <c r="L20" s="163"/>
      <c r="M20" s="163"/>
      <c r="N20" s="163"/>
      <c r="O20" s="163"/>
      <c r="P20" s="163"/>
      <c r="Q20" s="163"/>
      <c r="R20" s="163"/>
      <c r="S20" s="163"/>
      <c r="T20" s="163"/>
      <c r="U20" s="163"/>
      <c r="V20" s="163"/>
      <c r="W20" s="163"/>
      <c r="X20" s="163"/>
      <c r="Y20" s="163"/>
      <c r="Z20" s="163"/>
      <c r="AA20" s="163"/>
      <c r="AB20" s="163"/>
    </row>
    <row r="21" spans="1:28">
      <c r="A21" s="152"/>
      <c r="B21" s="123"/>
      <c r="C21" s="131"/>
      <c r="D21" s="124"/>
      <c r="E21" s="124"/>
      <c r="F21" s="124"/>
      <c r="G21" s="124"/>
      <c r="H21" s="124"/>
      <c r="I21" s="124"/>
      <c r="J21" s="124"/>
      <c r="K21" s="124"/>
      <c r="L21" s="124"/>
      <c r="M21" s="124"/>
      <c r="N21" s="124"/>
      <c r="O21" s="124"/>
      <c r="P21" s="124"/>
      <c r="Q21" s="124"/>
      <c r="R21" s="124"/>
      <c r="S21" s="124"/>
      <c r="T21" s="124"/>
      <c r="U21" s="124"/>
      <c r="V21" s="124"/>
      <c r="W21" s="124"/>
      <c r="X21" s="124"/>
      <c r="Y21" s="124"/>
      <c r="Z21" s="124"/>
      <c r="AA21" s="124"/>
      <c r="AB21" s="124"/>
    </row>
    <row r="22" spans="1:28">
      <c r="A22" s="157" t="s">
        <v>34</v>
      </c>
      <c r="B22" s="839" t="s">
        <v>35</v>
      </c>
      <c r="C22" s="169"/>
      <c r="D22" s="170">
        <f>-'TogoSolarPV Financial Analys'!D117</f>
        <v>7095.32281001703</v>
      </c>
      <c r="E22" s="170">
        <f>+D22</f>
        <v>7095.32281001703</v>
      </c>
      <c r="F22" s="170">
        <f t="shared" ref="F22:AB24" si="1">+E22</f>
        <v>7095.32281001703</v>
      </c>
      <c r="G22" s="170">
        <f t="shared" si="1"/>
        <v>7095.32281001703</v>
      </c>
      <c r="H22" s="170">
        <f t="shared" si="1"/>
        <v>7095.32281001703</v>
      </c>
      <c r="I22" s="170">
        <f t="shared" si="1"/>
        <v>7095.32281001703</v>
      </c>
      <c r="J22" s="170">
        <f t="shared" si="1"/>
        <v>7095.32281001703</v>
      </c>
      <c r="K22" s="170">
        <f t="shared" si="1"/>
        <v>7095.32281001703</v>
      </c>
      <c r="L22" s="170">
        <f t="shared" si="1"/>
        <v>7095.32281001703</v>
      </c>
      <c r="M22" s="170">
        <f t="shared" si="1"/>
        <v>7095.32281001703</v>
      </c>
      <c r="N22" s="170">
        <f t="shared" si="1"/>
        <v>7095.32281001703</v>
      </c>
      <c r="O22" s="170">
        <f t="shared" si="1"/>
        <v>7095.32281001703</v>
      </c>
      <c r="P22" s="170">
        <f t="shared" si="1"/>
        <v>7095.32281001703</v>
      </c>
      <c r="Q22" s="170">
        <f t="shared" si="1"/>
        <v>7095.32281001703</v>
      </c>
      <c r="R22" s="170">
        <f t="shared" si="1"/>
        <v>7095.32281001703</v>
      </c>
      <c r="S22" s="170">
        <f t="shared" si="1"/>
        <v>7095.32281001703</v>
      </c>
      <c r="T22" s="170">
        <f t="shared" si="1"/>
        <v>7095.32281001703</v>
      </c>
      <c r="U22" s="170">
        <f t="shared" si="1"/>
        <v>7095.32281001703</v>
      </c>
      <c r="V22" s="170">
        <f t="shared" si="1"/>
        <v>7095.32281001703</v>
      </c>
      <c r="W22" s="170">
        <f t="shared" si="1"/>
        <v>7095.32281001703</v>
      </c>
      <c r="X22" s="170">
        <f t="shared" si="1"/>
        <v>7095.32281001703</v>
      </c>
      <c r="Y22" s="170">
        <f t="shared" si="1"/>
        <v>7095.32281001703</v>
      </c>
      <c r="Z22" s="170">
        <f t="shared" si="1"/>
        <v>7095.32281001703</v>
      </c>
      <c r="AA22" s="170">
        <f t="shared" si="1"/>
        <v>7095.32281001703</v>
      </c>
      <c r="AB22" s="170">
        <f t="shared" si="1"/>
        <v>7095.32281001703</v>
      </c>
    </row>
    <row r="23" spans="1:28">
      <c r="A23" s="151"/>
      <c r="B23" s="837" t="s">
        <v>36</v>
      </c>
      <c r="C23" s="167"/>
      <c r="D23" s="167">
        <f>+C13*TogoDigesterAnaly!G12</f>
        <v>183505.47481858236</v>
      </c>
      <c r="E23" s="167">
        <f>+D23</f>
        <v>183505.47481858236</v>
      </c>
      <c r="F23" s="167">
        <f t="shared" si="1"/>
        <v>183505.47481858236</v>
      </c>
      <c r="G23" s="167">
        <f t="shared" si="1"/>
        <v>183505.47481858236</v>
      </c>
      <c r="H23" s="167">
        <f t="shared" si="1"/>
        <v>183505.47481858236</v>
      </c>
      <c r="I23" s="167">
        <f t="shared" si="1"/>
        <v>183505.47481858236</v>
      </c>
      <c r="J23" s="167">
        <f t="shared" si="1"/>
        <v>183505.47481858236</v>
      </c>
      <c r="K23" s="167">
        <f t="shared" si="1"/>
        <v>183505.47481858236</v>
      </c>
      <c r="L23" s="167">
        <f t="shared" si="1"/>
        <v>183505.47481858236</v>
      </c>
      <c r="M23" s="167">
        <f t="shared" si="1"/>
        <v>183505.47481858236</v>
      </c>
      <c r="N23" s="167">
        <f t="shared" si="1"/>
        <v>183505.47481858236</v>
      </c>
      <c r="O23" s="167">
        <f t="shared" si="1"/>
        <v>183505.47481858236</v>
      </c>
      <c r="P23" s="167">
        <f t="shared" si="1"/>
        <v>183505.47481858236</v>
      </c>
      <c r="Q23" s="167">
        <f t="shared" si="1"/>
        <v>183505.47481858236</v>
      </c>
      <c r="R23" s="167">
        <f t="shared" si="1"/>
        <v>183505.47481858236</v>
      </c>
      <c r="S23" s="167">
        <f t="shared" si="1"/>
        <v>183505.47481858236</v>
      </c>
      <c r="T23" s="167">
        <f t="shared" si="1"/>
        <v>183505.47481858236</v>
      </c>
      <c r="U23" s="167">
        <f t="shared" si="1"/>
        <v>183505.47481858236</v>
      </c>
      <c r="V23" s="167">
        <f t="shared" si="1"/>
        <v>183505.47481858236</v>
      </c>
      <c r="W23" s="167">
        <f t="shared" si="1"/>
        <v>183505.47481858236</v>
      </c>
      <c r="X23" s="167">
        <f t="shared" si="1"/>
        <v>183505.47481858236</v>
      </c>
      <c r="Y23" s="167">
        <f t="shared" si="1"/>
        <v>183505.47481858236</v>
      </c>
      <c r="Z23" s="167">
        <f t="shared" si="1"/>
        <v>183505.47481858236</v>
      </c>
      <c r="AA23" s="167">
        <f t="shared" si="1"/>
        <v>183505.47481858236</v>
      </c>
      <c r="AB23" s="167">
        <f t="shared" si="1"/>
        <v>183505.47481858236</v>
      </c>
    </row>
    <row r="24" spans="1:28">
      <c r="A24" s="151"/>
      <c r="B24" s="837" t="s">
        <v>37</v>
      </c>
      <c r="C24" s="152"/>
      <c r="D24" s="167">
        <f>-'TogoBiogas Electricity Fin'!D119</f>
        <v>11037.783754139042</v>
      </c>
      <c r="E24" s="167">
        <f>+D24</f>
        <v>11037.783754139042</v>
      </c>
      <c r="F24" s="167">
        <f t="shared" si="1"/>
        <v>11037.783754139042</v>
      </c>
      <c r="G24" s="167">
        <f t="shared" si="1"/>
        <v>11037.783754139042</v>
      </c>
      <c r="H24" s="167">
        <f t="shared" si="1"/>
        <v>11037.783754139042</v>
      </c>
      <c r="I24" s="167">
        <f t="shared" si="1"/>
        <v>11037.783754139042</v>
      </c>
      <c r="J24" s="167">
        <f t="shared" si="1"/>
        <v>11037.783754139042</v>
      </c>
      <c r="K24" s="167">
        <f t="shared" si="1"/>
        <v>11037.783754139042</v>
      </c>
      <c r="L24" s="167">
        <f t="shared" si="1"/>
        <v>11037.783754139042</v>
      </c>
      <c r="M24" s="167">
        <f t="shared" si="1"/>
        <v>11037.783754139042</v>
      </c>
      <c r="N24" s="167">
        <f t="shared" si="1"/>
        <v>11037.783754139042</v>
      </c>
      <c r="O24" s="167">
        <f t="shared" si="1"/>
        <v>11037.783754139042</v>
      </c>
      <c r="P24" s="167">
        <f t="shared" si="1"/>
        <v>11037.783754139042</v>
      </c>
      <c r="Q24" s="167">
        <f t="shared" si="1"/>
        <v>11037.783754139042</v>
      </c>
      <c r="R24" s="167">
        <f t="shared" si="1"/>
        <v>11037.783754139042</v>
      </c>
      <c r="S24" s="167">
        <f t="shared" si="1"/>
        <v>11037.783754139042</v>
      </c>
      <c r="T24" s="167">
        <f t="shared" si="1"/>
        <v>11037.783754139042</v>
      </c>
      <c r="U24" s="167">
        <f t="shared" si="1"/>
        <v>11037.783754139042</v>
      </c>
      <c r="V24" s="167">
        <f t="shared" si="1"/>
        <v>11037.783754139042</v>
      </c>
      <c r="W24" s="167">
        <f t="shared" si="1"/>
        <v>11037.783754139042</v>
      </c>
      <c r="X24" s="167">
        <f t="shared" si="1"/>
        <v>11037.783754139042</v>
      </c>
      <c r="Y24" s="167">
        <f t="shared" si="1"/>
        <v>11037.783754139042</v>
      </c>
      <c r="Z24" s="167">
        <f t="shared" si="1"/>
        <v>11037.783754139042</v>
      </c>
      <c r="AA24" s="167">
        <f t="shared" si="1"/>
        <v>11037.783754139042</v>
      </c>
      <c r="AB24" s="167">
        <f t="shared" si="1"/>
        <v>11037.783754139042</v>
      </c>
    </row>
    <row r="25" spans="1:28">
      <c r="A25" s="151"/>
      <c r="B25" s="837" t="s">
        <v>71</v>
      </c>
      <c r="C25" s="152"/>
      <c r="D25" s="167">
        <f>+D51</f>
        <v>0</v>
      </c>
      <c r="E25" s="167">
        <f t="shared" ref="E25:AB25" si="2">+E51</f>
        <v>0</v>
      </c>
      <c r="F25" s="167">
        <f t="shared" si="2"/>
        <v>0</v>
      </c>
      <c r="G25" s="167">
        <f t="shared" si="2"/>
        <v>0</v>
      </c>
      <c r="H25" s="167">
        <f t="shared" si="2"/>
        <v>0</v>
      </c>
      <c r="I25" s="167">
        <f t="shared" si="2"/>
        <v>806262</v>
      </c>
      <c r="J25" s="167">
        <f t="shared" si="2"/>
        <v>806262</v>
      </c>
      <c r="K25" s="167">
        <f t="shared" si="2"/>
        <v>806262</v>
      </c>
      <c r="L25" s="167">
        <f t="shared" si="2"/>
        <v>806262</v>
      </c>
      <c r="M25" s="167">
        <f t="shared" si="2"/>
        <v>806262</v>
      </c>
      <c r="N25" s="167">
        <f t="shared" si="2"/>
        <v>806262</v>
      </c>
      <c r="O25" s="167">
        <f t="shared" si="2"/>
        <v>806262</v>
      </c>
      <c r="P25" s="167">
        <f t="shared" si="2"/>
        <v>806262</v>
      </c>
      <c r="Q25" s="167">
        <f t="shared" si="2"/>
        <v>806262</v>
      </c>
      <c r="R25" s="167">
        <f t="shared" si="2"/>
        <v>806262</v>
      </c>
      <c r="S25" s="167">
        <f t="shared" si="2"/>
        <v>806262</v>
      </c>
      <c r="T25" s="167">
        <f t="shared" si="2"/>
        <v>806262</v>
      </c>
      <c r="U25" s="167">
        <f t="shared" si="2"/>
        <v>806262</v>
      </c>
      <c r="V25" s="167">
        <f t="shared" si="2"/>
        <v>806262</v>
      </c>
      <c r="W25" s="167">
        <f t="shared" si="2"/>
        <v>806262</v>
      </c>
      <c r="X25" s="167">
        <f t="shared" si="2"/>
        <v>806262</v>
      </c>
      <c r="Y25" s="167">
        <f t="shared" si="2"/>
        <v>806262</v>
      </c>
      <c r="Z25" s="167">
        <f t="shared" si="2"/>
        <v>806262</v>
      </c>
      <c r="AA25" s="167">
        <f t="shared" si="2"/>
        <v>806262</v>
      </c>
      <c r="AB25" s="167">
        <f t="shared" si="2"/>
        <v>806262</v>
      </c>
    </row>
    <row r="26" spans="1:28">
      <c r="A26" s="151"/>
      <c r="B26" s="837" t="s">
        <v>39</v>
      </c>
      <c r="C26" s="152"/>
      <c r="D26" s="167">
        <f>+D45</f>
        <v>19932.976000000002</v>
      </c>
      <c r="E26" s="167">
        <f t="shared" ref="E26:AB26" si="3">+E45</f>
        <v>19932.976000000002</v>
      </c>
      <c r="F26" s="167">
        <f t="shared" si="3"/>
        <v>19932.976000000002</v>
      </c>
      <c r="G26" s="167">
        <f t="shared" si="3"/>
        <v>19932.976000000002</v>
      </c>
      <c r="H26" s="167">
        <f t="shared" si="3"/>
        <v>19932.976000000002</v>
      </c>
      <c r="I26" s="167">
        <f t="shared" si="3"/>
        <v>19932.976000000002</v>
      </c>
      <c r="J26" s="167">
        <f t="shared" si="3"/>
        <v>19932.976000000002</v>
      </c>
      <c r="K26" s="167">
        <f t="shared" si="3"/>
        <v>19932.976000000002</v>
      </c>
      <c r="L26" s="167">
        <f t="shared" si="3"/>
        <v>19932.976000000002</v>
      </c>
      <c r="M26" s="167">
        <f t="shared" si="3"/>
        <v>19932.976000000002</v>
      </c>
      <c r="N26" s="167">
        <f t="shared" si="3"/>
        <v>19932.976000000002</v>
      </c>
      <c r="O26" s="167">
        <f t="shared" si="3"/>
        <v>19932.976000000002</v>
      </c>
      <c r="P26" s="167">
        <f t="shared" si="3"/>
        <v>19932.976000000002</v>
      </c>
      <c r="Q26" s="167">
        <f t="shared" si="3"/>
        <v>19932.976000000002</v>
      </c>
      <c r="R26" s="167">
        <f t="shared" si="3"/>
        <v>19932.976000000002</v>
      </c>
      <c r="S26" s="167">
        <f t="shared" si="3"/>
        <v>19932.976000000002</v>
      </c>
      <c r="T26" s="167">
        <f t="shared" si="3"/>
        <v>19932.976000000002</v>
      </c>
      <c r="U26" s="167">
        <f t="shared" si="3"/>
        <v>19932.976000000002</v>
      </c>
      <c r="V26" s="167">
        <f t="shared" si="3"/>
        <v>19932.976000000002</v>
      </c>
      <c r="W26" s="167">
        <f t="shared" si="3"/>
        <v>19932.976000000002</v>
      </c>
      <c r="X26" s="167">
        <f t="shared" si="3"/>
        <v>19932.976000000002</v>
      </c>
      <c r="Y26" s="167">
        <f t="shared" si="3"/>
        <v>19932.976000000002</v>
      </c>
      <c r="Z26" s="167">
        <f t="shared" si="3"/>
        <v>19932.976000000002</v>
      </c>
      <c r="AA26" s="167">
        <f t="shared" si="3"/>
        <v>19932.976000000002</v>
      </c>
      <c r="AB26" s="167">
        <f t="shared" si="3"/>
        <v>19932.976000000002</v>
      </c>
    </row>
    <row r="27" spans="1:28">
      <c r="A27" s="151"/>
      <c r="B27" s="151" t="s">
        <v>40</v>
      </c>
      <c r="C27" s="172"/>
      <c r="D27" s="168">
        <f t="shared" ref="D27:AB27" si="4">SUM(D22:D26)</f>
        <v>221571.55738273842</v>
      </c>
      <c r="E27" s="168">
        <f t="shared" si="4"/>
        <v>221571.55738273842</v>
      </c>
      <c r="F27" s="168">
        <f t="shared" si="4"/>
        <v>221571.55738273842</v>
      </c>
      <c r="G27" s="168">
        <f t="shared" si="4"/>
        <v>221571.55738273842</v>
      </c>
      <c r="H27" s="168">
        <f t="shared" si="4"/>
        <v>221571.55738273842</v>
      </c>
      <c r="I27" s="168">
        <f t="shared" si="4"/>
        <v>1027833.5573827385</v>
      </c>
      <c r="J27" s="168">
        <f t="shared" si="4"/>
        <v>1027833.5573827385</v>
      </c>
      <c r="K27" s="168">
        <f t="shared" si="4"/>
        <v>1027833.5573827385</v>
      </c>
      <c r="L27" s="168">
        <f t="shared" si="4"/>
        <v>1027833.5573827385</v>
      </c>
      <c r="M27" s="168">
        <f t="shared" si="4"/>
        <v>1027833.5573827385</v>
      </c>
      <c r="N27" s="168">
        <f t="shared" si="4"/>
        <v>1027833.5573827385</v>
      </c>
      <c r="O27" s="168">
        <f t="shared" si="4"/>
        <v>1027833.5573827385</v>
      </c>
      <c r="P27" s="168">
        <f t="shared" si="4"/>
        <v>1027833.5573827385</v>
      </c>
      <c r="Q27" s="168">
        <f t="shared" si="4"/>
        <v>1027833.5573827385</v>
      </c>
      <c r="R27" s="168">
        <f t="shared" si="4"/>
        <v>1027833.5573827385</v>
      </c>
      <c r="S27" s="168">
        <f t="shared" si="4"/>
        <v>1027833.5573827385</v>
      </c>
      <c r="T27" s="168">
        <f t="shared" si="4"/>
        <v>1027833.5573827385</v>
      </c>
      <c r="U27" s="168">
        <f t="shared" si="4"/>
        <v>1027833.5573827385</v>
      </c>
      <c r="V27" s="168">
        <f t="shared" si="4"/>
        <v>1027833.5573827385</v>
      </c>
      <c r="W27" s="168">
        <f t="shared" si="4"/>
        <v>1027833.5573827385</v>
      </c>
      <c r="X27" s="168">
        <f t="shared" si="4"/>
        <v>1027833.5573827385</v>
      </c>
      <c r="Y27" s="168">
        <f t="shared" si="4"/>
        <v>1027833.5573827385</v>
      </c>
      <c r="Z27" s="168">
        <f t="shared" si="4"/>
        <v>1027833.5573827385</v>
      </c>
      <c r="AA27" s="168">
        <f t="shared" si="4"/>
        <v>1027833.5573827385</v>
      </c>
      <c r="AB27" s="168">
        <f t="shared" si="4"/>
        <v>1027833.5573827385</v>
      </c>
    </row>
    <row r="28" spans="1:28">
      <c r="A28" s="152"/>
      <c r="B28" s="152"/>
      <c r="C28" s="152"/>
      <c r="D28" s="171"/>
      <c r="E28" s="171"/>
      <c r="F28" s="171"/>
      <c r="G28" s="171"/>
      <c r="H28" s="171"/>
      <c r="I28" s="171"/>
      <c r="J28" s="171"/>
      <c r="K28" s="171"/>
      <c r="L28" s="171"/>
      <c r="M28" s="171"/>
      <c r="N28" s="171"/>
      <c r="O28" s="171"/>
      <c r="P28" s="171"/>
      <c r="Q28" s="171"/>
      <c r="R28" s="171"/>
      <c r="S28" s="171"/>
      <c r="T28" s="171"/>
      <c r="U28" s="171"/>
      <c r="V28" s="171"/>
      <c r="W28" s="171"/>
      <c r="X28" s="171"/>
      <c r="Y28" s="171"/>
      <c r="Z28" s="171"/>
      <c r="AA28" s="171"/>
      <c r="AB28" s="171"/>
    </row>
    <row r="29" spans="1:28" ht="29.1">
      <c r="A29" s="173" t="s">
        <v>41</v>
      </c>
      <c r="B29" s="839" t="s">
        <v>44</v>
      </c>
      <c r="C29" s="169"/>
      <c r="D29" s="175">
        <f>'TogoSolarPV Financial Analys'!D19*'TogoSolarPV Financial Analys'!C31*'TogoSolarPV Financial Analys'!D23</f>
        <v>396.57664126079999</v>
      </c>
      <c r="E29" s="170">
        <f>+D29</f>
        <v>396.57664126079999</v>
      </c>
      <c r="F29" s="170">
        <f t="shared" ref="F29:AB32" si="5">+E29</f>
        <v>396.57664126079999</v>
      </c>
      <c r="G29" s="170">
        <f t="shared" si="5"/>
        <v>396.57664126079999</v>
      </c>
      <c r="H29" s="170">
        <f t="shared" si="5"/>
        <v>396.57664126079999</v>
      </c>
      <c r="I29" s="170">
        <f t="shared" si="5"/>
        <v>396.57664126079999</v>
      </c>
      <c r="J29" s="170">
        <f t="shared" si="5"/>
        <v>396.57664126079999</v>
      </c>
      <c r="K29" s="170">
        <f t="shared" si="5"/>
        <v>396.57664126079999</v>
      </c>
      <c r="L29" s="170">
        <f t="shared" si="5"/>
        <v>396.57664126079999</v>
      </c>
      <c r="M29" s="170">
        <f t="shared" si="5"/>
        <v>396.57664126079999</v>
      </c>
      <c r="N29" s="170">
        <f t="shared" si="5"/>
        <v>396.57664126079999</v>
      </c>
      <c r="O29" s="170">
        <f t="shared" si="5"/>
        <v>396.57664126079999</v>
      </c>
      <c r="P29" s="170">
        <f t="shared" si="5"/>
        <v>396.57664126079999</v>
      </c>
      <c r="Q29" s="170">
        <f t="shared" si="5"/>
        <v>396.57664126079999</v>
      </c>
      <c r="R29" s="170">
        <f t="shared" si="5"/>
        <v>396.57664126079999</v>
      </c>
      <c r="S29" s="170">
        <f t="shared" si="5"/>
        <v>396.57664126079999</v>
      </c>
      <c r="T29" s="170">
        <f t="shared" si="5"/>
        <v>396.57664126079999</v>
      </c>
      <c r="U29" s="170">
        <f t="shared" si="5"/>
        <v>396.57664126079999</v>
      </c>
      <c r="V29" s="170">
        <f t="shared" si="5"/>
        <v>396.57664126079999</v>
      </c>
      <c r="W29" s="170">
        <f t="shared" si="5"/>
        <v>396.57664126079999</v>
      </c>
      <c r="X29" s="170">
        <f t="shared" si="5"/>
        <v>396.57664126079999</v>
      </c>
      <c r="Y29" s="170">
        <f t="shared" si="5"/>
        <v>396.57664126079999</v>
      </c>
      <c r="Z29" s="170">
        <f t="shared" si="5"/>
        <v>396.57664126079999</v>
      </c>
      <c r="AA29" s="170">
        <f t="shared" si="5"/>
        <v>396.57664126079999</v>
      </c>
      <c r="AB29" s="170">
        <f t="shared" si="5"/>
        <v>396.57664126079999</v>
      </c>
    </row>
    <row r="30" spans="1:28">
      <c r="A30" s="152"/>
      <c r="B30" s="837" t="s">
        <v>45</v>
      </c>
      <c r="C30" s="152"/>
      <c r="D30" s="174">
        <f>'TogoSolarPV Financial Analys'!D20*'TogoSolarPV Financial Analys'!D23*'TogoSolarPV Financial Analys'!C31</f>
        <v>6698.7461687562291</v>
      </c>
      <c r="E30" s="167">
        <f>+D30</f>
        <v>6698.7461687562291</v>
      </c>
      <c r="F30" s="167">
        <f t="shared" si="5"/>
        <v>6698.7461687562291</v>
      </c>
      <c r="G30" s="167">
        <f t="shared" si="5"/>
        <v>6698.7461687562291</v>
      </c>
      <c r="H30" s="167">
        <f t="shared" si="5"/>
        <v>6698.7461687562291</v>
      </c>
      <c r="I30" s="167">
        <f t="shared" si="5"/>
        <v>6698.7461687562291</v>
      </c>
      <c r="J30" s="167">
        <f t="shared" si="5"/>
        <v>6698.7461687562291</v>
      </c>
      <c r="K30" s="167">
        <f t="shared" si="5"/>
        <v>6698.7461687562291</v>
      </c>
      <c r="L30" s="167">
        <f t="shared" si="5"/>
        <v>6698.7461687562291</v>
      </c>
      <c r="M30" s="167">
        <f t="shared" si="5"/>
        <v>6698.7461687562291</v>
      </c>
      <c r="N30" s="167">
        <f t="shared" si="5"/>
        <v>6698.7461687562291</v>
      </c>
      <c r="O30" s="167">
        <f t="shared" si="5"/>
        <v>6698.7461687562291</v>
      </c>
      <c r="P30" s="167">
        <f t="shared" si="5"/>
        <v>6698.7461687562291</v>
      </c>
      <c r="Q30" s="167">
        <f t="shared" si="5"/>
        <v>6698.7461687562291</v>
      </c>
      <c r="R30" s="167">
        <f t="shared" si="5"/>
        <v>6698.7461687562291</v>
      </c>
      <c r="S30" s="167">
        <f t="shared" si="5"/>
        <v>6698.7461687562291</v>
      </c>
      <c r="T30" s="167">
        <f t="shared" si="5"/>
        <v>6698.7461687562291</v>
      </c>
      <c r="U30" s="167">
        <f t="shared" si="5"/>
        <v>6698.7461687562291</v>
      </c>
      <c r="V30" s="167">
        <f t="shared" si="5"/>
        <v>6698.7461687562291</v>
      </c>
      <c r="W30" s="167">
        <f t="shared" si="5"/>
        <v>6698.7461687562291</v>
      </c>
      <c r="X30" s="167">
        <f t="shared" si="5"/>
        <v>6698.7461687562291</v>
      </c>
      <c r="Y30" s="167">
        <f t="shared" si="5"/>
        <v>6698.7461687562291</v>
      </c>
      <c r="Z30" s="167">
        <f t="shared" si="5"/>
        <v>6698.7461687562291</v>
      </c>
      <c r="AA30" s="167">
        <f t="shared" si="5"/>
        <v>6698.7461687562291</v>
      </c>
      <c r="AB30" s="167">
        <f t="shared" si="5"/>
        <v>6698.7461687562291</v>
      </c>
    </row>
    <row r="31" spans="1:28">
      <c r="A31" s="152"/>
      <c r="B31" s="837" t="s">
        <v>46</v>
      </c>
      <c r="C31" s="152"/>
      <c r="D31" s="174">
        <f>TogoDigesterAnaly!J12</f>
        <v>163319.87258853827</v>
      </c>
      <c r="E31" s="167">
        <f>+D31</f>
        <v>163319.87258853827</v>
      </c>
      <c r="F31" s="167">
        <f t="shared" si="5"/>
        <v>163319.87258853827</v>
      </c>
      <c r="G31" s="167">
        <f t="shared" si="5"/>
        <v>163319.87258853827</v>
      </c>
      <c r="H31" s="167">
        <f t="shared" si="5"/>
        <v>163319.87258853827</v>
      </c>
      <c r="I31" s="167">
        <f t="shared" si="5"/>
        <v>163319.87258853827</v>
      </c>
      <c r="J31" s="167">
        <f t="shared" si="5"/>
        <v>163319.87258853827</v>
      </c>
      <c r="K31" s="167">
        <f t="shared" si="5"/>
        <v>163319.87258853827</v>
      </c>
      <c r="L31" s="167">
        <f t="shared" si="5"/>
        <v>163319.87258853827</v>
      </c>
      <c r="M31" s="167">
        <f t="shared" si="5"/>
        <v>163319.87258853827</v>
      </c>
      <c r="N31" s="167">
        <f t="shared" si="5"/>
        <v>163319.87258853827</v>
      </c>
      <c r="O31" s="167">
        <f t="shared" si="5"/>
        <v>163319.87258853827</v>
      </c>
      <c r="P31" s="167">
        <f t="shared" si="5"/>
        <v>163319.87258853827</v>
      </c>
      <c r="Q31" s="167">
        <f t="shared" si="5"/>
        <v>163319.87258853827</v>
      </c>
      <c r="R31" s="167">
        <f t="shared" si="5"/>
        <v>163319.87258853827</v>
      </c>
      <c r="S31" s="167">
        <f t="shared" si="5"/>
        <v>163319.87258853827</v>
      </c>
      <c r="T31" s="167">
        <f t="shared" si="5"/>
        <v>163319.87258853827</v>
      </c>
      <c r="U31" s="167">
        <f t="shared" si="5"/>
        <v>163319.87258853827</v>
      </c>
      <c r="V31" s="167">
        <f t="shared" si="5"/>
        <v>163319.87258853827</v>
      </c>
      <c r="W31" s="167">
        <f t="shared" si="5"/>
        <v>163319.87258853827</v>
      </c>
      <c r="X31" s="167">
        <f t="shared" si="5"/>
        <v>163319.87258853827</v>
      </c>
      <c r="Y31" s="167">
        <f t="shared" si="5"/>
        <v>163319.87258853827</v>
      </c>
      <c r="Z31" s="167">
        <f t="shared" si="5"/>
        <v>163319.87258853827</v>
      </c>
      <c r="AA31" s="167">
        <f t="shared" si="5"/>
        <v>163319.87258853827</v>
      </c>
      <c r="AB31" s="167">
        <f t="shared" si="5"/>
        <v>163319.87258853827</v>
      </c>
    </row>
    <row r="32" spans="1:28">
      <c r="A32" s="152"/>
      <c r="B32" s="837" t="s">
        <v>47</v>
      </c>
      <c r="C32" s="152"/>
      <c r="D32" s="174">
        <f>-'TogoBiogas Electricity Fin'!D119</f>
        <v>11037.783754139042</v>
      </c>
      <c r="E32" s="167">
        <f>+D32</f>
        <v>11037.783754139042</v>
      </c>
      <c r="F32" s="167">
        <f t="shared" si="5"/>
        <v>11037.783754139042</v>
      </c>
      <c r="G32" s="167">
        <f t="shared" si="5"/>
        <v>11037.783754139042</v>
      </c>
      <c r="H32" s="167">
        <f t="shared" si="5"/>
        <v>11037.783754139042</v>
      </c>
      <c r="I32" s="167">
        <f t="shared" si="5"/>
        <v>11037.783754139042</v>
      </c>
      <c r="J32" s="167">
        <f t="shared" si="5"/>
        <v>11037.783754139042</v>
      </c>
      <c r="K32" s="167">
        <f t="shared" si="5"/>
        <v>11037.783754139042</v>
      </c>
      <c r="L32" s="167">
        <f t="shared" si="5"/>
        <v>11037.783754139042</v>
      </c>
      <c r="M32" s="167">
        <f t="shared" si="5"/>
        <v>11037.783754139042</v>
      </c>
      <c r="N32" s="167">
        <f t="shared" si="5"/>
        <v>11037.783754139042</v>
      </c>
      <c r="O32" s="167">
        <f t="shared" si="5"/>
        <v>11037.783754139042</v>
      </c>
      <c r="P32" s="167">
        <f t="shared" si="5"/>
        <v>11037.783754139042</v>
      </c>
      <c r="Q32" s="167">
        <f t="shared" si="5"/>
        <v>11037.783754139042</v>
      </c>
      <c r="R32" s="167">
        <f t="shared" si="5"/>
        <v>11037.783754139042</v>
      </c>
      <c r="S32" s="167">
        <f t="shared" si="5"/>
        <v>11037.783754139042</v>
      </c>
      <c r="T32" s="167">
        <f t="shared" si="5"/>
        <v>11037.783754139042</v>
      </c>
      <c r="U32" s="167">
        <f t="shared" si="5"/>
        <v>11037.783754139042</v>
      </c>
      <c r="V32" s="167">
        <f t="shared" si="5"/>
        <v>11037.783754139042</v>
      </c>
      <c r="W32" s="167">
        <f t="shared" si="5"/>
        <v>11037.783754139042</v>
      </c>
      <c r="X32" s="167">
        <f t="shared" si="5"/>
        <v>11037.783754139042</v>
      </c>
      <c r="Y32" s="167">
        <f t="shared" si="5"/>
        <v>11037.783754139042</v>
      </c>
      <c r="Z32" s="167">
        <f t="shared" si="5"/>
        <v>11037.783754139042</v>
      </c>
      <c r="AA32" s="167">
        <f t="shared" si="5"/>
        <v>11037.783754139042</v>
      </c>
      <c r="AB32" s="167">
        <f t="shared" si="5"/>
        <v>11037.783754139042</v>
      </c>
    </row>
    <row r="33" spans="1:28">
      <c r="A33" s="152"/>
      <c r="B33" s="837"/>
      <c r="C33" s="152"/>
      <c r="D33" s="174"/>
      <c r="E33" s="167"/>
      <c r="F33" s="167"/>
      <c r="G33" s="167"/>
      <c r="H33" s="167"/>
      <c r="I33" s="167"/>
      <c r="J33" s="167"/>
      <c r="K33" s="167"/>
      <c r="L33" s="167"/>
      <c r="M33" s="167"/>
      <c r="N33" s="167"/>
      <c r="O33" s="167"/>
      <c r="P33" s="167"/>
      <c r="Q33" s="167"/>
      <c r="R33" s="167"/>
      <c r="S33" s="167"/>
      <c r="T33" s="167"/>
      <c r="U33" s="167"/>
      <c r="V33" s="167"/>
      <c r="W33" s="167"/>
      <c r="X33" s="167"/>
      <c r="Y33" s="167"/>
      <c r="Z33" s="167"/>
      <c r="AA33" s="167"/>
      <c r="AB33" s="167"/>
    </row>
    <row r="34" spans="1:28" hidden="1">
      <c r="A34" s="152"/>
      <c r="D34" s="125"/>
      <c r="E34" s="125"/>
      <c r="F34" s="125"/>
      <c r="G34" s="125"/>
      <c r="H34" s="125"/>
      <c r="I34" s="125"/>
      <c r="J34" s="125"/>
      <c r="K34" s="125"/>
      <c r="L34" s="125"/>
      <c r="M34" s="125"/>
      <c r="N34" s="125"/>
      <c r="O34" s="125"/>
      <c r="P34" s="125"/>
      <c r="Q34" s="125"/>
      <c r="R34" s="125"/>
      <c r="S34" s="125"/>
      <c r="T34" s="125"/>
      <c r="U34" s="125"/>
      <c r="V34" s="125"/>
      <c r="W34" s="125"/>
      <c r="X34" s="125"/>
      <c r="Y34" s="125"/>
      <c r="Z34" s="125"/>
      <c r="AA34" s="125"/>
      <c r="AB34" s="125"/>
    </row>
    <row r="35" spans="1:28" hidden="1">
      <c r="A35" s="152"/>
      <c r="B35" s="126" t="s">
        <v>49</v>
      </c>
      <c r="C35" s="129"/>
      <c r="D35" s="127"/>
      <c r="E35" s="127"/>
      <c r="F35" s="127"/>
      <c r="G35" s="127"/>
      <c r="H35" s="127"/>
      <c r="I35" s="127"/>
      <c r="J35" s="127"/>
      <c r="K35" s="127"/>
      <c r="L35" s="127"/>
      <c r="M35" s="127"/>
      <c r="N35" s="127"/>
      <c r="O35" s="127"/>
      <c r="P35" s="127"/>
      <c r="Q35" s="127"/>
      <c r="R35" s="127"/>
      <c r="S35" s="127"/>
      <c r="T35" s="127"/>
      <c r="U35" s="127"/>
      <c r="V35" s="127"/>
      <c r="W35" s="127"/>
      <c r="X35" s="127"/>
      <c r="Y35" s="127"/>
      <c r="Z35" s="127"/>
      <c r="AA35" s="127"/>
      <c r="AB35" s="127"/>
    </row>
    <row r="36" spans="1:28" hidden="1">
      <c r="A36" s="152"/>
      <c r="B36" s="122" t="s">
        <v>50</v>
      </c>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0"/>
      <c r="AB36" s="130"/>
    </row>
    <row r="37" spans="1:28" hidden="1">
      <c r="A37" s="152"/>
      <c r="B37" s="122" t="s">
        <v>51</v>
      </c>
      <c r="C37" s="131"/>
      <c r="D37" s="128">
        <f>0.4*122136259/15/1000</f>
        <v>3256.9669066666665</v>
      </c>
      <c r="E37" s="128">
        <f t="shared" ref="E37:AB37" si="6">0.4*122136259/15/1000</f>
        <v>3256.9669066666665</v>
      </c>
      <c r="F37" s="128">
        <f t="shared" si="6"/>
        <v>3256.9669066666665</v>
      </c>
      <c r="G37" s="128">
        <f t="shared" si="6"/>
        <v>3256.9669066666665</v>
      </c>
      <c r="H37" s="128">
        <f t="shared" si="6"/>
        <v>3256.9669066666665</v>
      </c>
      <c r="I37" s="128">
        <f t="shared" si="6"/>
        <v>3256.9669066666665</v>
      </c>
      <c r="J37" s="128">
        <f t="shared" si="6"/>
        <v>3256.9669066666665</v>
      </c>
      <c r="K37" s="128">
        <f t="shared" si="6"/>
        <v>3256.9669066666665</v>
      </c>
      <c r="L37" s="128">
        <f t="shared" si="6"/>
        <v>3256.9669066666665</v>
      </c>
      <c r="M37" s="128">
        <f t="shared" si="6"/>
        <v>3256.9669066666665</v>
      </c>
      <c r="N37" s="128">
        <f t="shared" si="6"/>
        <v>3256.9669066666665</v>
      </c>
      <c r="O37" s="128">
        <f t="shared" si="6"/>
        <v>3256.9669066666665</v>
      </c>
      <c r="P37" s="128">
        <f t="shared" si="6"/>
        <v>3256.9669066666665</v>
      </c>
      <c r="Q37" s="128">
        <f t="shared" si="6"/>
        <v>3256.9669066666665</v>
      </c>
      <c r="R37" s="128">
        <f t="shared" si="6"/>
        <v>3256.9669066666665</v>
      </c>
      <c r="S37" s="128">
        <f t="shared" si="6"/>
        <v>3256.9669066666665</v>
      </c>
      <c r="T37" s="128">
        <f t="shared" si="6"/>
        <v>3256.9669066666665</v>
      </c>
      <c r="U37" s="128">
        <f t="shared" si="6"/>
        <v>3256.9669066666665</v>
      </c>
      <c r="V37" s="128">
        <f t="shared" si="6"/>
        <v>3256.9669066666665</v>
      </c>
      <c r="W37" s="128">
        <f t="shared" si="6"/>
        <v>3256.9669066666665</v>
      </c>
      <c r="X37" s="128">
        <f t="shared" si="6"/>
        <v>3256.9669066666665</v>
      </c>
      <c r="Y37" s="128">
        <f t="shared" si="6"/>
        <v>3256.9669066666665</v>
      </c>
      <c r="Z37" s="128">
        <f t="shared" si="6"/>
        <v>3256.9669066666665</v>
      </c>
      <c r="AA37" s="128">
        <f t="shared" si="6"/>
        <v>3256.9669066666665</v>
      </c>
      <c r="AB37" s="128">
        <f t="shared" si="6"/>
        <v>3256.9669066666665</v>
      </c>
    </row>
    <row r="38" spans="1:28" hidden="1">
      <c r="A38" s="152"/>
      <c r="B38" s="122" t="s">
        <v>52</v>
      </c>
      <c r="C38" s="131"/>
      <c r="D38" s="132">
        <v>374.51</v>
      </c>
      <c r="E38" s="132">
        <v>374.51</v>
      </c>
      <c r="F38" s="132">
        <v>374.51</v>
      </c>
      <c r="G38" s="132">
        <v>374.51</v>
      </c>
      <c r="H38" s="132">
        <v>374.51</v>
      </c>
      <c r="I38" s="132">
        <v>374.51</v>
      </c>
      <c r="J38" s="132">
        <v>374.51</v>
      </c>
      <c r="K38" s="132">
        <v>374.51</v>
      </c>
      <c r="L38" s="132">
        <v>374.51</v>
      </c>
      <c r="M38" s="132">
        <v>374.51</v>
      </c>
      <c r="N38" s="132">
        <v>374.51</v>
      </c>
      <c r="O38" s="132">
        <v>374.51</v>
      </c>
      <c r="P38" s="132">
        <v>374.51</v>
      </c>
      <c r="Q38" s="132">
        <v>374.51</v>
      </c>
      <c r="R38" s="132">
        <v>374.51</v>
      </c>
      <c r="S38" s="132">
        <v>374.51</v>
      </c>
      <c r="T38" s="132">
        <v>374.51</v>
      </c>
      <c r="U38" s="132">
        <v>374.51</v>
      </c>
      <c r="V38" s="132">
        <v>374.51</v>
      </c>
      <c r="W38" s="132">
        <v>374.51</v>
      </c>
      <c r="X38" s="132">
        <v>374.51</v>
      </c>
      <c r="Y38" s="132">
        <v>374.51</v>
      </c>
      <c r="Z38" s="132">
        <v>374.51</v>
      </c>
      <c r="AA38" s="132">
        <v>374.51</v>
      </c>
      <c r="AB38" s="132">
        <v>374.51</v>
      </c>
    </row>
    <row r="39" spans="1:28" hidden="1">
      <c r="A39" s="152"/>
      <c r="B39" s="122" t="s">
        <v>53</v>
      </c>
      <c r="C39" s="131"/>
      <c r="D39" s="132">
        <v>4.8600000000000003</v>
      </c>
      <c r="E39" s="132">
        <v>4.8600000000000003</v>
      </c>
      <c r="F39" s="132">
        <v>4.8600000000000003</v>
      </c>
      <c r="G39" s="132">
        <v>4.8600000000000003</v>
      </c>
      <c r="H39" s="132">
        <v>4.8600000000000003</v>
      </c>
      <c r="I39" s="132">
        <v>4.8600000000000003</v>
      </c>
      <c r="J39" s="132">
        <v>4.8600000000000003</v>
      </c>
      <c r="K39" s="132">
        <v>4.8600000000000003</v>
      </c>
      <c r="L39" s="132">
        <v>4.8600000000000003</v>
      </c>
      <c r="M39" s="132">
        <v>4.8600000000000003</v>
      </c>
      <c r="N39" s="132">
        <v>4.8600000000000003</v>
      </c>
      <c r="O39" s="132">
        <v>4.8600000000000003</v>
      </c>
      <c r="P39" s="132">
        <v>4.8600000000000003</v>
      </c>
      <c r="Q39" s="132">
        <v>4.8600000000000003</v>
      </c>
      <c r="R39" s="132">
        <v>4.8600000000000003</v>
      </c>
      <c r="S39" s="132">
        <v>4.8600000000000003</v>
      </c>
      <c r="T39" s="132">
        <v>4.8600000000000003</v>
      </c>
      <c r="U39" s="132">
        <v>4.8600000000000003</v>
      </c>
      <c r="V39" s="132">
        <v>4.8600000000000003</v>
      </c>
      <c r="W39" s="132">
        <v>4.8600000000000003</v>
      </c>
      <c r="X39" s="132">
        <v>4.8600000000000003</v>
      </c>
      <c r="Y39" s="132">
        <v>4.8600000000000003</v>
      </c>
      <c r="Z39" s="132">
        <v>4.8600000000000003</v>
      </c>
      <c r="AA39" s="132">
        <v>4.8600000000000003</v>
      </c>
      <c r="AB39" s="132">
        <v>4.8600000000000003</v>
      </c>
    </row>
    <row r="40" spans="1:28" hidden="1">
      <c r="A40" s="152"/>
      <c r="B40" s="122" t="s">
        <v>54</v>
      </c>
      <c r="C40" s="131"/>
      <c r="D40" s="125">
        <f>D38*D39</f>
        <v>1820.1186</v>
      </c>
      <c r="E40" s="125">
        <f t="shared" ref="E40:W40" si="7">E38*E39</f>
        <v>1820.1186</v>
      </c>
      <c r="F40" s="125">
        <f t="shared" si="7"/>
        <v>1820.1186</v>
      </c>
      <c r="G40" s="125">
        <f t="shared" si="7"/>
        <v>1820.1186</v>
      </c>
      <c r="H40" s="125">
        <f t="shared" si="7"/>
        <v>1820.1186</v>
      </c>
      <c r="I40" s="125">
        <f t="shared" si="7"/>
        <v>1820.1186</v>
      </c>
      <c r="J40" s="125">
        <f t="shared" si="7"/>
        <v>1820.1186</v>
      </c>
      <c r="K40" s="125">
        <f t="shared" si="7"/>
        <v>1820.1186</v>
      </c>
      <c r="L40" s="125">
        <f t="shared" si="7"/>
        <v>1820.1186</v>
      </c>
      <c r="M40" s="125">
        <f t="shared" si="7"/>
        <v>1820.1186</v>
      </c>
      <c r="N40" s="125">
        <f t="shared" si="7"/>
        <v>1820.1186</v>
      </c>
      <c r="O40" s="125">
        <f t="shared" si="7"/>
        <v>1820.1186</v>
      </c>
      <c r="P40" s="125">
        <f t="shared" si="7"/>
        <v>1820.1186</v>
      </c>
      <c r="Q40" s="125">
        <f t="shared" si="7"/>
        <v>1820.1186</v>
      </c>
      <c r="R40" s="125">
        <f t="shared" si="7"/>
        <v>1820.1186</v>
      </c>
      <c r="S40" s="125">
        <f t="shared" si="7"/>
        <v>1820.1186</v>
      </c>
      <c r="T40" s="125">
        <f t="shared" si="7"/>
        <v>1820.1186</v>
      </c>
      <c r="U40" s="125">
        <f t="shared" si="7"/>
        <v>1820.1186</v>
      </c>
      <c r="V40" s="125">
        <f t="shared" si="7"/>
        <v>1820.1186</v>
      </c>
      <c r="W40" s="125">
        <f t="shared" si="7"/>
        <v>1820.1186</v>
      </c>
      <c r="X40" s="125">
        <f>X38*X39</f>
        <v>1820.1186</v>
      </c>
      <c r="Y40" s="125">
        <f>Y38*Y39</f>
        <v>1820.1186</v>
      </c>
      <c r="Z40" s="125">
        <f>Z38*Z39</f>
        <v>1820.1186</v>
      </c>
      <c r="AA40" s="125">
        <f>AA38*AA39</f>
        <v>1820.1186</v>
      </c>
      <c r="AB40" s="125">
        <f>AB38*AB39</f>
        <v>1820.1186</v>
      </c>
    </row>
    <row r="41" spans="1:28" hidden="1">
      <c r="A41" s="152"/>
      <c r="D41" s="125"/>
      <c r="E41" s="125"/>
      <c r="F41" s="125"/>
      <c r="G41" s="125"/>
      <c r="H41" s="125"/>
      <c r="I41" s="125"/>
      <c r="J41" s="125"/>
      <c r="K41" s="125"/>
      <c r="L41" s="125"/>
      <c r="M41" s="125"/>
      <c r="N41" s="125"/>
      <c r="O41" s="125"/>
      <c r="P41" s="125"/>
      <c r="Q41" s="125"/>
      <c r="R41" s="125"/>
      <c r="S41" s="125"/>
      <c r="T41" s="125"/>
      <c r="U41" s="125"/>
      <c r="V41" s="125"/>
      <c r="W41" s="125"/>
      <c r="X41" s="125"/>
      <c r="Y41" s="125"/>
      <c r="Z41" s="125"/>
      <c r="AA41" s="125"/>
      <c r="AB41" s="125"/>
    </row>
    <row r="42" spans="1:28">
      <c r="A42" s="157" t="s">
        <v>48</v>
      </c>
      <c r="B42" s="153" t="s">
        <v>55</v>
      </c>
      <c r="C42" s="169"/>
      <c r="D42" s="170"/>
      <c r="E42" s="170"/>
      <c r="F42" s="170"/>
      <c r="G42" s="170"/>
      <c r="H42" s="170"/>
      <c r="I42" s="170"/>
      <c r="J42" s="170"/>
      <c r="K42" s="170"/>
      <c r="L42" s="170"/>
      <c r="M42" s="170"/>
      <c r="N42" s="170"/>
      <c r="O42" s="170"/>
      <c r="P42" s="170"/>
      <c r="Q42" s="170"/>
      <c r="R42" s="170"/>
      <c r="S42" s="170"/>
      <c r="T42" s="170"/>
      <c r="U42" s="170"/>
      <c r="V42" s="170"/>
      <c r="W42" s="170"/>
      <c r="X42" s="170"/>
      <c r="Y42" s="170"/>
      <c r="Z42" s="170"/>
      <c r="AA42" s="170"/>
      <c r="AB42" s="170"/>
    </row>
    <row r="43" spans="1:28">
      <c r="A43" s="152"/>
      <c r="B43" s="152" t="s">
        <v>56</v>
      </c>
      <c r="C43" s="152">
        <v>1.292</v>
      </c>
      <c r="D43" s="167"/>
      <c r="E43" s="167"/>
      <c r="F43" s="167"/>
      <c r="G43" s="167"/>
      <c r="H43" s="167"/>
      <c r="I43" s="167"/>
      <c r="J43" s="167"/>
      <c r="K43" s="167"/>
      <c r="L43" s="167"/>
      <c r="M43" s="167"/>
      <c r="N43" s="167"/>
      <c r="O43" s="167"/>
      <c r="P43" s="167"/>
      <c r="Q43" s="167"/>
      <c r="R43" s="167"/>
      <c r="S43" s="167"/>
      <c r="T43" s="167"/>
      <c r="U43" s="167"/>
      <c r="V43" s="167"/>
      <c r="W43" s="167"/>
      <c r="X43" s="167"/>
      <c r="Y43" s="167"/>
      <c r="Z43" s="167"/>
      <c r="AA43" s="167"/>
      <c r="AB43" s="167"/>
    </row>
    <row r="44" spans="1:28">
      <c r="A44" s="152"/>
      <c r="B44" s="152" t="s">
        <v>57</v>
      </c>
      <c r="C44" s="192">
        <v>15428</v>
      </c>
      <c r="D44" s="167"/>
      <c r="E44" s="167"/>
      <c r="F44" s="167"/>
      <c r="G44" s="167"/>
      <c r="H44" s="167"/>
      <c r="I44" s="167"/>
      <c r="J44" s="167"/>
      <c r="K44" s="167"/>
      <c r="L44" s="167"/>
      <c r="M44" s="167"/>
      <c r="N44" s="167"/>
      <c r="O44" s="167"/>
      <c r="P44" s="167"/>
      <c r="Q44" s="167"/>
      <c r="R44" s="167"/>
      <c r="S44" s="167"/>
      <c r="T44" s="167"/>
      <c r="U44" s="167"/>
      <c r="V44" s="167"/>
      <c r="W44" s="167"/>
      <c r="X44" s="167"/>
      <c r="Y44" s="167"/>
      <c r="Z44" s="167"/>
      <c r="AA44" s="167"/>
      <c r="AB44" s="167"/>
    </row>
    <row r="45" spans="1:28">
      <c r="A45" s="152"/>
      <c r="B45" s="152" t="s">
        <v>54</v>
      </c>
      <c r="C45" s="152"/>
      <c r="D45" s="177">
        <f>$C43*$C44</f>
        <v>19932.976000000002</v>
      </c>
      <c r="E45" s="177">
        <f t="shared" ref="E45:W45" si="8">$C43*$C44</f>
        <v>19932.976000000002</v>
      </c>
      <c r="F45" s="177">
        <f t="shared" si="8"/>
        <v>19932.976000000002</v>
      </c>
      <c r="G45" s="177">
        <f t="shared" si="8"/>
        <v>19932.976000000002</v>
      </c>
      <c r="H45" s="177">
        <f t="shared" si="8"/>
        <v>19932.976000000002</v>
      </c>
      <c r="I45" s="177">
        <f t="shared" si="8"/>
        <v>19932.976000000002</v>
      </c>
      <c r="J45" s="177">
        <f t="shared" si="8"/>
        <v>19932.976000000002</v>
      </c>
      <c r="K45" s="177">
        <f t="shared" si="8"/>
        <v>19932.976000000002</v>
      </c>
      <c r="L45" s="177">
        <f t="shared" si="8"/>
        <v>19932.976000000002</v>
      </c>
      <c r="M45" s="177">
        <f t="shared" si="8"/>
        <v>19932.976000000002</v>
      </c>
      <c r="N45" s="177">
        <f t="shared" si="8"/>
        <v>19932.976000000002</v>
      </c>
      <c r="O45" s="177">
        <f t="shared" si="8"/>
        <v>19932.976000000002</v>
      </c>
      <c r="P45" s="177">
        <f t="shared" si="8"/>
        <v>19932.976000000002</v>
      </c>
      <c r="Q45" s="177">
        <f t="shared" si="8"/>
        <v>19932.976000000002</v>
      </c>
      <c r="R45" s="177">
        <f t="shared" si="8"/>
        <v>19932.976000000002</v>
      </c>
      <c r="S45" s="177">
        <f t="shared" si="8"/>
        <v>19932.976000000002</v>
      </c>
      <c r="T45" s="177">
        <f t="shared" si="8"/>
        <v>19932.976000000002</v>
      </c>
      <c r="U45" s="177">
        <f t="shared" si="8"/>
        <v>19932.976000000002</v>
      </c>
      <c r="V45" s="177">
        <f t="shared" si="8"/>
        <v>19932.976000000002</v>
      </c>
      <c r="W45" s="177">
        <f t="shared" si="8"/>
        <v>19932.976000000002</v>
      </c>
      <c r="X45" s="177">
        <f>$C43*$C44</f>
        <v>19932.976000000002</v>
      </c>
      <c r="Y45" s="177">
        <f>$C43*$C44</f>
        <v>19932.976000000002</v>
      </c>
      <c r="Z45" s="177">
        <f>$C43*$C44</f>
        <v>19932.976000000002</v>
      </c>
      <c r="AA45" s="177">
        <f>$C43*$C44</f>
        <v>19932.976000000002</v>
      </c>
      <c r="AB45" s="177">
        <f>$C43*$C44</f>
        <v>19932.976000000002</v>
      </c>
    </row>
    <row r="46" spans="1:28">
      <c r="A46" s="152"/>
      <c r="B46" s="152"/>
      <c r="C46" s="152"/>
      <c r="D46" s="177"/>
      <c r="E46" s="177"/>
      <c r="F46" s="177"/>
      <c r="G46" s="177"/>
      <c r="H46" s="177"/>
      <c r="I46" s="177"/>
      <c r="J46" s="177"/>
      <c r="K46" s="177"/>
      <c r="L46" s="177"/>
      <c r="M46" s="177"/>
      <c r="N46" s="177"/>
      <c r="O46" s="177"/>
      <c r="P46" s="177"/>
      <c r="Q46" s="177"/>
      <c r="R46" s="177"/>
      <c r="S46" s="177"/>
      <c r="T46" s="177"/>
      <c r="U46" s="177"/>
      <c r="V46" s="177"/>
      <c r="W46" s="177"/>
      <c r="X46" s="177"/>
      <c r="Y46" s="177"/>
      <c r="Z46" s="177"/>
      <c r="AA46" s="177"/>
      <c r="AB46" s="177"/>
    </row>
    <row r="47" spans="1:28">
      <c r="A47" s="152"/>
      <c r="D47" s="128"/>
      <c r="E47" s="128"/>
      <c r="F47" s="128"/>
      <c r="G47" s="128"/>
      <c r="H47" s="128"/>
      <c r="I47" s="177"/>
      <c r="J47" s="177"/>
      <c r="K47" s="177"/>
      <c r="L47" s="177"/>
      <c r="M47" s="177"/>
      <c r="N47" s="177"/>
      <c r="O47" s="177"/>
      <c r="P47" s="177"/>
      <c r="Q47" s="128"/>
      <c r="R47" s="128"/>
      <c r="S47" s="128"/>
      <c r="T47" s="128"/>
      <c r="U47" s="128"/>
      <c r="V47" s="128"/>
      <c r="W47" s="128"/>
      <c r="X47" s="128"/>
      <c r="Y47" s="128"/>
      <c r="Z47" s="128"/>
      <c r="AA47" s="128"/>
      <c r="AB47" s="128"/>
    </row>
    <row r="48" spans="1:28" ht="29.1">
      <c r="A48" s="173" t="s">
        <v>72</v>
      </c>
      <c r="B48" s="178" t="s">
        <v>641</v>
      </c>
      <c r="C48" s="178" t="s">
        <v>74</v>
      </c>
      <c r="D48" s="178"/>
      <c r="E48" s="178"/>
      <c r="F48" s="178"/>
      <c r="G48" s="178" t="s">
        <v>638</v>
      </c>
      <c r="H48" s="177"/>
      <c r="I48" s="185"/>
      <c r="J48" s="185"/>
      <c r="K48" s="185"/>
      <c r="L48" s="185"/>
      <c r="M48" s="185"/>
      <c r="N48" s="185"/>
      <c r="O48" s="177"/>
      <c r="P48" s="177"/>
      <c r="Q48" s="177"/>
      <c r="R48" s="177"/>
      <c r="S48" s="177"/>
      <c r="T48" s="177"/>
      <c r="U48" s="177"/>
      <c r="V48" s="177"/>
      <c r="W48" s="177"/>
      <c r="X48" s="177"/>
      <c r="Y48" s="177"/>
      <c r="Z48" s="177"/>
      <c r="AA48" s="177"/>
      <c r="AB48" s="177"/>
    </row>
    <row r="49" spans="1:28">
      <c r="A49" s="152"/>
      <c r="B49" s="182" t="s">
        <v>76</v>
      </c>
      <c r="C49" s="183"/>
      <c r="D49" s="183"/>
      <c r="E49" s="183"/>
      <c r="F49" s="183"/>
      <c r="G49" s="183">
        <f>'Emissions CalculationsSCPZ'!F51</f>
        <v>806262</v>
      </c>
      <c r="H49" s="177"/>
      <c r="I49" s="188"/>
      <c r="J49" s="189"/>
      <c r="K49" s="189"/>
      <c r="L49" s="189"/>
      <c r="M49" s="189"/>
      <c r="N49" s="189"/>
      <c r="O49" s="177"/>
      <c r="P49" s="177"/>
      <c r="Q49" s="177"/>
      <c r="R49" s="177"/>
      <c r="S49" s="177"/>
      <c r="T49" s="177"/>
      <c r="U49" s="177"/>
      <c r="V49" s="177"/>
      <c r="W49" s="177"/>
      <c r="X49" s="177"/>
      <c r="Y49" s="177"/>
      <c r="Z49" s="177"/>
      <c r="AA49" s="177"/>
      <c r="AB49" s="177"/>
    </row>
    <row r="50" spans="1:28">
      <c r="A50" s="152"/>
      <c r="B50" s="152"/>
      <c r="C50" s="152"/>
      <c r="D50" s="177"/>
      <c r="E50" s="177"/>
      <c r="F50" s="177"/>
      <c r="G50" s="177"/>
      <c r="H50" s="177"/>
      <c r="I50" s="177"/>
      <c r="J50" s="177"/>
      <c r="K50" s="177"/>
      <c r="L50" s="177"/>
      <c r="M50" s="177"/>
      <c r="N50" s="177"/>
      <c r="O50" s="177"/>
      <c r="P50" s="177"/>
      <c r="Q50" s="177"/>
      <c r="R50" s="177"/>
      <c r="S50" s="177"/>
      <c r="T50" s="177"/>
      <c r="U50" s="177"/>
      <c r="V50" s="177"/>
      <c r="W50" s="177"/>
      <c r="X50" s="177"/>
      <c r="Y50" s="177"/>
      <c r="Z50" s="177"/>
      <c r="AA50" s="177"/>
      <c r="AB50" s="177"/>
    </row>
    <row r="51" spans="1:28" s="150" customFormat="1">
      <c r="A51" s="841"/>
      <c r="B51" s="200" t="s">
        <v>78</v>
      </c>
      <c r="C51" s="841"/>
      <c r="D51" s="201">
        <v>0</v>
      </c>
      <c r="E51" s="863">
        <v>0</v>
      </c>
      <c r="F51" s="863">
        <v>0</v>
      </c>
      <c r="G51" s="863">
        <v>0</v>
      </c>
      <c r="H51" s="863">
        <v>0</v>
      </c>
      <c r="I51" s="863">
        <f>G49</f>
        <v>806262</v>
      </c>
      <c r="J51" s="863">
        <f>I51</f>
        <v>806262</v>
      </c>
      <c r="K51" s="863">
        <f t="shared" ref="K51:AB51" si="9">J51</f>
        <v>806262</v>
      </c>
      <c r="L51" s="863">
        <f t="shared" si="9"/>
        <v>806262</v>
      </c>
      <c r="M51" s="863">
        <f t="shared" si="9"/>
        <v>806262</v>
      </c>
      <c r="N51" s="863">
        <f t="shared" si="9"/>
        <v>806262</v>
      </c>
      <c r="O51" s="863">
        <f t="shared" si="9"/>
        <v>806262</v>
      </c>
      <c r="P51" s="863">
        <f t="shared" si="9"/>
        <v>806262</v>
      </c>
      <c r="Q51" s="863">
        <f t="shared" si="9"/>
        <v>806262</v>
      </c>
      <c r="R51" s="863">
        <f t="shared" si="9"/>
        <v>806262</v>
      </c>
      <c r="S51" s="863">
        <f t="shared" si="9"/>
        <v>806262</v>
      </c>
      <c r="T51" s="863">
        <f t="shared" si="9"/>
        <v>806262</v>
      </c>
      <c r="U51" s="863">
        <f t="shared" si="9"/>
        <v>806262</v>
      </c>
      <c r="V51" s="863">
        <f t="shared" si="9"/>
        <v>806262</v>
      </c>
      <c r="W51" s="863">
        <f t="shared" si="9"/>
        <v>806262</v>
      </c>
      <c r="X51" s="863">
        <f t="shared" si="9"/>
        <v>806262</v>
      </c>
      <c r="Y51" s="863">
        <f t="shared" si="9"/>
        <v>806262</v>
      </c>
      <c r="Z51" s="863">
        <f t="shared" si="9"/>
        <v>806262</v>
      </c>
      <c r="AA51" s="863">
        <f t="shared" si="9"/>
        <v>806262</v>
      </c>
      <c r="AB51" s="863">
        <f t="shared" si="9"/>
        <v>806262</v>
      </c>
    </row>
    <row r="52" spans="1:28">
      <c r="A52" s="152"/>
      <c r="B52" s="188"/>
      <c r="C52" s="152"/>
      <c r="D52" s="202"/>
      <c r="E52" s="171"/>
      <c r="F52" s="171"/>
      <c r="G52" s="171"/>
      <c r="H52" s="171"/>
      <c r="I52" s="171"/>
      <c r="J52" s="171"/>
      <c r="K52" s="171"/>
      <c r="L52" s="171"/>
      <c r="M52" s="171"/>
      <c r="N52" s="171"/>
      <c r="O52" s="171"/>
      <c r="P52" s="171"/>
      <c r="Q52" s="171"/>
      <c r="R52" s="171"/>
      <c r="S52" s="171"/>
      <c r="T52" s="171"/>
      <c r="U52" s="171"/>
      <c r="V52" s="171"/>
      <c r="W52" s="171"/>
      <c r="X52" s="171"/>
      <c r="Y52" s="171"/>
      <c r="Z52" s="171"/>
      <c r="AA52" s="171"/>
      <c r="AB52" s="171"/>
    </row>
    <row r="53" spans="1:28">
      <c r="A53" s="152"/>
      <c r="B53" s="200" t="s">
        <v>80</v>
      </c>
      <c r="C53" s="152">
        <f>-'Roads construction and rehab'!D12</f>
        <v>-15800</v>
      </c>
      <c r="D53" s="202"/>
      <c r="E53" s="171"/>
      <c r="F53" s="171"/>
      <c r="G53" s="171"/>
      <c r="H53" s="171"/>
      <c r="I53" s="171"/>
      <c r="J53" s="171"/>
      <c r="K53" s="171"/>
      <c r="L53" s="171"/>
      <c r="M53" s="171"/>
      <c r="N53" s="171"/>
      <c r="O53" s="171"/>
      <c r="P53" s="171"/>
      <c r="Q53" s="171"/>
      <c r="R53" s="171"/>
      <c r="S53" s="171"/>
      <c r="T53" s="171"/>
      <c r="U53" s="171"/>
      <c r="V53" s="171"/>
      <c r="W53" s="171"/>
      <c r="X53" s="171"/>
      <c r="Y53" s="171"/>
      <c r="Z53" s="171"/>
      <c r="AA53" s="171"/>
      <c r="AB53" s="171"/>
    </row>
    <row r="54" spans="1:28">
      <c r="A54" s="152"/>
      <c r="B54" s="188"/>
      <c r="C54" s="152"/>
      <c r="D54" s="202"/>
      <c r="E54" s="171"/>
      <c r="F54" s="171"/>
      <c r="G54" s="171"/>
      <c r="H54" s="171"/>
      <c r="I54" s="171"/>
      <c r="J54" s="171"/>
      <c r="K54" s="171"/>
      <c r="L54" s="171"/>
      <c r="M54" s="171"/>
      <c r="N54" s="171"/>
      <c r="O54" s="171"/>
      <c r="P54" s="171"/>
      <c r="Q54" s="171"/>
      <c r="R54" s="171"/>
      <c r="S54" s="171"/>
      <c r="T54" s="171"/>
      <c r="U54" s="171"/>
      <c r="V54" s="171"/>
      <c r="W54" s="171"/>
      <c r="X54" s="171"/>
      <c r="Y54" s="171"/>
      <c r="Z54" s="171"/>
      <c r="AA54" s="171"/>
      <c r="AB54" s="171"/>
    </row>
    <row r="55" spans="1:28">
      <c r="A55" s="152"/>
      <c r="B55" s="149" t="s">
        <v>61</v>
      </c>
      <c r="D55" s="133">
        <f>+D51+D45+D32+D31+D30+D29</f>
        <v>201385.95515269434</v>
      </c>
      <c r="E55" s="133">
        <f>+E51+E45+E32+E31+E30+E29</f>
        <v>201385.95515269434</v>
      </c>
      <c r="F55" s="133">
        <f>+F51+F45+F32+F31+F30+F29</f>
        <v>201385.95515269434</v>
      </c>
      <c r="G55" s="133">
        <f>+G51+G45+G32+G31+G30+G29</f>
        <v>201385.95515269434</v>
      </c>
      <c r="H55" s="133">
        <f>+H51+H45+H32+H31+H30+H29</f>
        <v>201385.95515269434</v>
      </c>
      <c r="I55" s="133">
        <f>+I51+I45+I32+I31+I30+I29</f>
        <v>1007647.9551526944</v>
      </c>
      <c r="J55" s="133">
        <f>+J45+J32+J31+J30+J29</f>
        <v>201385.95515269434</v>
      </c>
      <c r="K55" s="133">
        <f t="shared" ref="K55:AB55" si="10">+K45+K32+K31+K30+K29</f>
        <v>201385.95515269434</v>
      </c>
      <c r="L55" s="133">
        <f t="shared" si="10"/>
        <v>201385.95515269434</v>
      </c>
      <c r="M55" s="133">
        <f t="shared" si="10"/>
        <v>201385.95515269434</v>
      </c>
      <c r="N55" s="133">
        <f t="shared" si="10"/>
        <v>201385.95515269434</v>
      </c>
      <c r="O55" s="133">
        <f t="shared" si="10"/>
        <v>201385.95515269434</v>
      </c>
      <c r="P55" s="133">
        <f t="shared" si="10"/>
        <v>201385.95515269434</v>
      </c>
      <c r="Q55" s="133">
        <f t="shared" si="10"/>
        <v>201385.95515269434</v>
      </c>
      <c r="R55" s="133">
        <f t="shared" si="10"/>
        <v>201385.95515269434</v>
      </c>
      <c r="S55" s="133">
        <f t="shared" si="10"/>
        <v>201385.95515269434</v>
      </c>
      <c r="T55" s="133">
        <f t="shared" si="10"/>
        <v>201385.95515269434</v>
      </c>
      <c r="U55" s="133">
        <f t="shared" si="10"/>
        <v>201385.95515269434</v>
      </c>
      <c r="V55" s="133">
        <f t="shared" si="10"/>
        <v>201385.95515269434</v>
      </c>
      <c r="W55" s="133">
        <f t="shared" si="10"/>
        <v>201385.95515269434</v>
      </c>
      <c r="X55" s="133">
        <f t="shared" si="10"/>
        <v>201385.95515269434</v>
      </c>
      <c r="Y55" s="133">
        <f t="shared" si="10"/>
        <v>201385.95515269434</v>
      </c>
      <c r="Z55" s="133">
        <f t="shared" si="10"/>
        <v>201385.95515269434</v>
      </c>
      <c r="AA55" s="133">
        <f t="shared" si="10"/>
        <v>201385.95515269434</v>
      </c>
      <c r="AB55" s="133">
        <f t="shared" si="10"/>
        <v>201385.95515269434</v>
      </c>
    </row>
    <row r="56" spans="1:28">
      <c r="A56" s="152"/>
      <c r="B56" s="149"/>
      <c r="D56" s="128"/>
      <c r="E56" s="128"/>
      <c r="F56" s="128"/>
      <c r="G56" s="128"/>
      <c r="H56" s="128"/>
      <c r="I56" s="128"/>
      <c r="J56" s="128"/>
      <c r="K56" s="128"/>
      <c r="L56" s="128"/>
      <c r="M56" s="128"/>
      <c r="N56" s="128"/>
      <c r="O56" s="128"/>
      <c r="P56" s="128"/>
      <c r="Q56" s="128"/>
      <c r="R56" s="128"/>
      <c r="S56" s="128"/>
      <c r="T56" s="128"/>
      <c r="U56" s="128"/>
      <c r="V56" s="128"/>
      <c r="W56" s="128"/>
    </row>
    <row r="57" spans="1:28">
      <c r="A57" s="152"/>
      <c r="B57" s="149" t="s">
        <v>81</v>
      </c>
      <c r="C57" s="146">
        <f>SUM(D55:M55)+C53</f>
        <v>2804321.5515269428</v>
      </c>
    </row>
    <row r="58" spans="1:28">
      <c r="A58" s="152"/>
      <c r="B58" s="149" t="s">
        <v>82</v>
      </c>
      <c r="C58" s="146">
        <f>SUM(D55:AB55)+C53</f>
        <v>5825110.8788173553</v>
      </c>
    </row>
    <row r="59" spans="1:28" ht="15" thickBot="1">
      <c r="A59" s="152"/>
      <c r="C59" s="134"/>
    </row>
    <row r="60" spans="1:28" ht="14.1" customHeight="1" thickTop="1" thickBot="1">
      <c r="A60" s="152"/>
      <c r="B60" s="135"/>
      <c r="C60" s="135"/>
      <c r="E60" s="136"/>
    </row>
    <row r="61" spans="1:28" ht="14.1" customHeight="1" thickTop="1" thickBot="1">
      <c r="A61" s="152"/>
      <c r="B61" s="135" t="s">
        <v>62</v>
      </c>
      <c r="C61" s="137">
        <v>107614249.91577713</v>
      </c>
    </row>
    <row r="62" spans="1:28" ht="14.1" customHeight="1" thickTop="1" thickBot="1">
      <c r="A62" s="152"/>
      <c r="B62" s="135" t="s">
        <v>63</v>
      </c>
      <c r="C62" s="137">
        <v>38898617.375777125</v>
      </c>
    </row>
    <row r="63" spans="1:28" ht="14.1" customHeight="1" thickTop="1" thickBot="1">
      <c r="A63" s="152"/>
      <c r="B63" s="135" t="s">
        <v>64</v>
      </c>
      <c r="C63" s="137">
        <f>C61/C58</f>
        <v>18.474197685594191</v>
      </c>
    </row>
    <row r="64" spans="1:28" ht="14.1" customHeight="1" thickTop="1" thickBot="1">
      <c r="A64" s="152"/>
      <c r="B64" s="135" t="s">
        <v>65</v>
      </c>
      <c r="C64" s="137">
        <f>C62/C58</f>
        <v>6.6777471167509397</v>
      </c>
    </row>
    <row r="65" spans="1:1" ht="15" thickTop="1">
      <c r="A65" s="152"/>
    </row>
  </sheetData>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FC8B89-5C69-4F9A-B162-F907FBDFCFEF}">
  <sheetPr>
    <tabColor rgb="FF00B050"/>
  </sheetPr>
  <dimension ref="A1:AM172"/>
  <sheetViews>
    <sheetView showGridLines="0" zoomScale="60" zoomScaleNormal="100" workbookViewId="0">
      <selection activeCell="M31" sqref="M31"/>
    </sheetView>
  </sheetViews>
  <sheetFormatPr defaultColWidth="8.85546875" defaultRowHeight="12.6"/>
  <cols>
    <col min="1" max="1" width="7.28515625" style="474" customWidth="1"/>
    <col min="2" max="2" width="41" style="474" customWidth="1"/>
    <col min="3" max="3" width="23" style="474" customWidth="1"/>
    <col min="4" max="4" width="29.140625" style="474" customWidth="1"/>
    <col min="5" max="5" width="30.5703125" style="474" customWidth="1"/>
    <col min="6" max="6" width="22" style="474" customWidth="1"/>
    <col min="7" max="7" width="17.42578125" style="474" customWidth="1"/>
    <col min="8" max="8" width="19.85546875" style="474" customWidth="1"/>
    <col min="9" max="9" width="19.140625" style="474" customWidth="1"/>
    <col min="10" max="10" width="20.5703125" style="474" customWidth="1"/>
    <col min="11" max="11" width="19.7109375" style="474" customWidth="1"/>
    <col min="12" max="12" width="14.5703125" style="474" bestFit="1" customWidth="1"/>
    <col min="13" max="13" width="14.85546875" style="474" bestFit="1" customWidth="1"/>
    <col min="14" max="14" width="17.140625" style="474" customWidth="1"/>
    <col min="15" max="15" width="16.42578125" style="474" bestFit="1" customWidth="1"/>
    <col min="16" max="16" width="17.140625" style="474" bestFit="1" customWidth="1"/>
    <col min="17" max="17" width="24.28515625" style="474" customWidth="1"/>
    <col min="18" max="18" width="18.28515625" style="475" bestFit="1" customWidth="1"/>
    <col min="19" max="19" width="18.5703125" style="474" bestFit="1" customWidth="1"/>
    <col min="20" max="20" width="19.28515625" style="474" bestFit="1" customWidth="1"/>
    <col min="21" max="21" width="20.42578125" style="474" bestFit="1" customWidth="1"/>
    <col min="22" max="22" width="20.85546875" style="474" bestFit="1" customWidth="1"/>
    <col min="23" max="23" width="21.42578125" style="474" bestFit="1" customWidth="1"/>
    <col min="24" max="25" width="22.28515625" style="474" bestFit="1" customWidth="1"/>
    <col min="26" max="27" width="23.85546875" style="474" bestFit="1" customWidth="1"/>
    <col min="28" max="29" width="24.85546875" style="474" bestFit="1" customWidth="1"/>
    <col min="30" max="34" width="11.28515625" style="474" bestFit="1" customWidth="1"/>
    <col min="35" max="39" width="12.28515625" style="474" bestFit="1" customWidth="1"/>
    <col min="40" max="40" width="12" style="474" bestFit="1" customWidth="1"/>
    <col min="41" max="256" width="8.85546875" style="474"/>
    <col min="257" max="257" width="7.28515625" style="474" customWidth="1"/>
    <col min="258" max="258" width="41" style="474" customWidth="1"/>
    <col min="259" max="259" width="16" style="474" customWidth="1"/>
    <col min="260" max="260" width="16.140625" style="474" bestFit="1" customWidth="1"/>
    <col min="261" max="261" width="11.85546875" style="474" customWidth="1"/>
    <col min="262" max="262" width="12.42578125" style="474" bestFit="1" customWidth="1"/>
    <col min="263" max="264" width="13" style="474" bestFit="1" customWidth="1"/>
    <col min="265" max="265" width="12.7109375" style="474" bestFit="1" customWidth="1"/>
    <col min="266" max="266" width="13.42578125" style="474" bestFit="1" customWidth="1"/>
    <col min="267" max="267" width="13.7109375" style="474" bestFit="1" customWidth="1"/>
    <col min="268" max="268" width="14.5703125" style="474" bestFit="1" customWidth="1"/>
    <col min="269" max="269" width="14.85546875" style="474" bestFit="1" customWidth="1"/>
    <col min="270" max="270" width="17.140625" style="474" customWidth="1"/>
    <col min="271" max="271" width="16.42578125" style="474" bestFit="1" customWidth="1"/>
    <col min="272" max="272" width="17.140625" style="474" bestFit="1" customWidth="1"/>
    <col min="273" max="273" width="24.28515625" style="474" customWidth="1"/>
    <col min="274" max="274" width="18.28515625" style="474" bestFit="1" customWidth="1"/>
    <col min="275" max="275" width="18.5703125" style="474" bestFit="1" customWidth="1"/>
    <col min="276" max="276" width="19.28515625" style="474" bestFit="1" customWidth="1"/>
    <col min="277" max="277" width="20.42578125" style="474" bestFit="1" customWidth="1"/>
    <col min="278" max="278" width="20.85546875" style="474" bestFit="1" customWidth="1"/>
    <col min="279" max="279" width="21.42578125" style="474" bestFit="1" customWidth="1"/>
    <col min="280" max="281" width="22.28515625" style="474" bestFit="1" customWidth="1"/>
    <col min="282" max="283" width="23.85546875" style="474" bestFit="1" customWidth="1"/>
    <col min="284" max="285" width="24.85546875" style="474" bestFit="1" customWidth="1"/>
    <col min="286" max="290" width="11.28515625" style="474" bestFit="1" customWidth="1"/>
    <col min="291" max="295" width="12.28515625" style="474" bestFit="1" customWidth="1"/>
    <col min="296" max="296" width="12" style="474" bestFit="1" customWidth="1"/>
    <col min="297" max="512" width="8.85546875" style="474"/>
    <col min="513" max="513" width="7.28515625" style="474" customWidth="1"/>
    <col min="514" max="514" width="41" style="474" customWidth="1"/>
    <col min="515" max="515" width="16" style="474" customWidth="1"/>
    <col min="516" max="516" width="16.140625" style="474" bestFit="1" customWidth="1"/>
    <col min="517" max="517" width="11.85546875" style="474" customWidth="1"/>
    <col min="518" max="518" width="12.42578125" style="474" bestFit="1" customWidth="1"/>
    <col min="519" max="520" width="13" style="474" bestFit="1" customWidth="1"/>
    <col min="521" max="521" width="12.7109375" style="474" bestFit="1" customWidth="1"/>
    <col min="522" max="522" width="13.42578125" style="474" bestFit="1" customWidth="1"/>
    <col min="523" max="523" width="13.7109375" style="474" bestFit="1" customWidth="1"/>
    <col min="524" max="524" width="14.5703125" style="474" bestFit="1" customWidth="1"/>
    <col min="525" max="525" width="14.85546875" style="474" bestFit="1" customWidth="1"/>
    <col min="526" max="526" width="17.140625" style="474" customWidth="1"/>
    <col min="527" max="527" width="16.42578125" style="474" bestFit="1" customWidth="1"/>
    <col min="528" max="528" width="17.140625" style="474" bestFit="1" customWidth="1"/>
    <col min="529" max="529" width="24.28515625" style="474" customWidth="1"/>
    <col min="530" max="530" width="18.28515625" style="474" bestFit="1" customWidth="1"/>
    <col min="531" max="531" width="18.5703125" style="474" bestFit="1" customWidth="1"/>
    <col min="532" max="532" width="19.28515625" style="474" bestFit="1" customWidth="1"/>
    <col min="533" max="533" width="20.42578125" style="474" bestFit="1" customWidth="1"/>
    <col min="534" max="534" width="20.85546875" style="474" bestFit="1" customWidth="1"/>
    <col min="535" max="535" width="21.42578125" style="474" bestFit="1" customWidth="1"/>
    <col min="536" max="537" width="22.28515625" style="474" bestFit="1" customWidth="1"/>
    <col min="538" max="539" width="23.85546875" style="474" bestFit="1" customWidth="1"/>
    <col min="540" max="541" width="24.85546875" style="474" bestFit="1" customWidth="1"/>
    <col min="542" max="546" width="11.28515625" style="474" bestFit="1" customWidth="1"/>
    <col min="547" max="551" width="12.28515625" style="474" bestFit="1" customWidth="1"/>
    <col min="552" max="552" width="12" style="474" bestFit="1" customWidth="1"/>
    <col min="553" max="768" width="8.85546875" style="474"/>
    <col min="769" max="769" width="7.28515625" style="474" customWidth="1"/>
    <col min="770" max="770" width="41" style="474" customWidth="1"/>
    <col min="771" max="771" width="16" style="474" customWidth="1"/>
    <col min="772" max="772" width="16.140625" style="474" bestFit="1" customWidth="1"/>
    <col min="773" max="773" width="11.85546875" style="474" customWidth="1"/>
    <col min="774" max="774" width="12.42578125" style="474" bestFit="1" customWidth="1"/>
    <col min="775" max="776" width="13" style="474" bestFit="1" customWidth="1"/>
    <col min="777" max="777" width="12.7109375" style="474" bestFit="1" customWidth="1"/>
    <col min="778" max="778" width="13.42578125" style="474" bestFit="1" customWidth="1"/>
    <col min="779" max="779" width="13.7109375" style="474" bestFit="1" customWidth="1"/>
    <col min="780" max="780" width="14.5703125" style="474" bestFit="1" customWidth="1"/>
    <col min="781" max="781" width="14.85546875" style="474" bestFit="1" customWidth="1"/>
    <col min="782" max="782" width="17.140625" style="474" customWidth="1"/>
    <col min="783" max="783" width="16.42578125" style="474" bestFit="1" customWidth="1"/>
    <col min="784" max="784" width="17.140625" style="474" bestFit="1" customWidth="1"/>
    <col min="785" max="785" width="24.28515625" style="474" customWidth="1"/>
    <col min="786" max="786" width="18.28515625" style="474" bestFit="1" customWidth="1"/>
    <col min="787" max="787" width="18.5703125" style="474" bestFit="1" customWidth="1"/>
    <col min="788" max="788" width="19.28515625" style="474" bestFit="1" customWidth="1"/>
    <col min="789" max="789" width="20.42578125" style="474" bestFit="1" customWidth="1"/>
    <col min="790" max="790" width="20.85546875" style="474" bestFit="1" customWidth="1"/>
    <col min="791" max="791" width="21.42578125" style="474" bestFit="1" customWidth="1"/>
    <col min="792" max="793" width="22.28515625" style="474" bestFit="1" customWidth="1"/>
    <col min="794" max="795" width="23.85546875" style="474" bestFit="1" customWidth="1"/>
    <col min="796" max="797" width="24.85546875" style="474" bestFit="1" customWidth="1"/>
    <col min="798" max="802" width="11.28515625" style="474" bestFit="1" customWidth="1"/>
    <col min="803" max="807" width="12.28515625" style="474" bestFit="1" customWidth="1"/>
    <col min="808" max="808" width="12" style="474" bestFit="1" customWidth="1"/>
    <col min="809" max="1024" width="8.85546875" style="474"/>
    <col min="1025" max="1025" width="7.28515625" style="474" customWidth="1"/>
    <col min="1026" max="1026" width="41" style="474" customWidth="1"/>
    <col min="1027" max="1027" width="16" style="474" customWidth="1"/>
    <col min="1028" max="1028" width="16.140625" style="474" bestFit="1" customWidth="1"/>
    <col min="1029" max="1029" width="11.85546875" style="474" customWidth="1"/>
    <col min="1030" max="1030" width="12.42578125" style="474" bestFit="1" customWidth="1"/>
    <col min="1031" max="1032" width="13" style="474" bestFit="1" customWidth="1"/>
    <col min="1033" max="1033" width="12.7109375" style="474" bestFit="1" customWidth="1"/>
    <col min="1034" max="1034" width="13.42578125" style="474" bestFit="1" customWidth="1"/>
    <col min="1035" max="1035" width="13.7109375" style="474" bestFit="1" customWidth="1"/>
    <col min="1036" max="1036" width="14.5703125" style="474" bestFit="1" customWidth="1"/>
    <col min="1037" max="1037" width="14.85546875" style="474" bestFit="1" customWidth="1"/>
    <col min="1038" max="1038" width="17.140625" style="474" customWidth="1"/>
    <col min="1039" max="1039" width="16.42578125" style="474" bestFit="1" customWidth="1"/>
    <col min="1040" max="1040" width="17.140625" style="474" bestFit="1" customWidth="1"/>
    <col min="1041" max="1041" width="24.28515625" style="474" customWidth="1"/>
    <col min="1042" max="1042" width="18.28515625" style="474" bestFit="1" customWidth="1"/>
    <col min="1043" max="1043" width="18.5703125" style="474" bestFit="1" customWidth="1"/>
    <col min="1044" max="1044" width="19.28515625" style="474" bestFit="1" customWidth="1"/>
    <col min="1045" max="1045" width="20.42578125" style="474" bestFit="1" customWidth="1"/>
    <col min="1046" max="1046" width="20.85546875" style="474" bestFit="1" customWidth="1"/>
    <col min="1047" max="1047" width="21.42578125" style="474" bestFit="1" customWidth="1"/>
    <col min="1048" max="1049" width="22.28515625" style="474" bestFit="1" customWidth="1"/>
    <col min="1050" max="1051" width="23.85546875" style="474" bestFit="1" customWidth="1"/>
    <col min="1052" max="1053" width="24.85546875" style="474" bestFit="1" customWidth="1"/>
    <col min="1054" max="1058" width="11.28515625" style="474" bestFit="1" customWidth="1"/>
    <col min="1059" max="1063" width="12.28515625" style="474" bestFit="1" customWidth="1"/>
    <col min="1064" max="1064" width="12" style="474" bestFit="1" customWidth="1"/>
    <col min="1065" max="1280" width="8.85546875" style="474"/>
    <col min="1281" max="1281" width="7.28515625" style="474" customWidth="1"/>
    <col min="1282" max="1282" width="41" style="474" customWidth="1"/>
    <col min="1283" max="1283" width="16" style="474" customWidth="1"/>
    <col min="1284" max="1284" width="16.140625" style="474" bestFit="1" customWidth="1"/>
    <col min="1285" max="1285" width="11.85546875" style="474" customWidth="1"/>
    <col min="1286" max="1286" width="12.42578125" style="474" bestFit="1" customWidth="1"/>
    <col min="1287" max="1288" width="13" style="474" bestFit="1" customWidth="1"/>
    <col min="1289" max="1289" width="12.7109375" style="474" bestFit="1" customWidth="1"/>
    <col min="1290" max="1290" width="13.42578125" style="474" bestFit="1" customWidth="1"/>
    <col min="1291" max="1291" width="13.7109375" style="474" bestFit="1" customWidth="1"/>
    <col min="1292" max="1292" width="14.5703125" style="474" bestFit="1" customWidth="1"/>
    <col min="1293" max="1293" width="14.85546875" style="474" bestFit="1" customWidth="1"/>
    <col min="1294" max="1294" width="17.140625" style="474" customWidth="1"/>
    <col min="1295" max="1295" width="16.42578125" style="474" bestFit="1" customWidth="1"/>
    <col min="1296" max="1296" width="17.140625" style="474" bestFit="1" customWidth="1"/>
    <col min="1297" max="1297" width="24.28515625" style="474" customWidth="1"/>
    <col min="1298" max="1298" width="18.28515625" style="474" bestFit="1" customWidth="1"/>
    <col min="1299" max="1299" width="18.5703125" style="474" bestFit="1" customWidth="1"/>
    <col min="1300" max="1300" width="19.28515625" style="474" bestFit="1" customWidth="1"/>
    <col min="1301" max="1301" width="20.42578125" style="474" bestFit="1" customWidth="1"/>
    <col min="1302" max="1302" width="20.85546875" style="474" bestFit="1" customWidth="1"/>
    <col min="1303" max="1303" width="21.42578125" style="474" bestFit="1" customWidth="1"/>
    <col min="1304" max="1305" width="22.28515625" style="474" bestFit="1" customWidth="1"/>
    <col min="1306" max="1307" width="23.85546875" style="474" bestFit="1" customWidth="1"/>
    <col min="1308" max="1309" width="24.85546875" style="474" bestFit="1" customWidth="1"/>
    <col min="1310" max="1314" width="11.28515625" style="474" bestFit="1" customWidth="1"/>
    <col min="1315" max="1319" width="12.28515625" style="474" bestFit="1" customWidth="1"/>
    <col min="1320" max="1320" width="12" style="474" bestFit="1" customWidth="1"/>
    <col min="1321" max="1536" width="8.85546875" style="474"/>
    <col min="1537" max="1537" width="7.28515625" style="474" customWidth="1"/>
    <col min="1538" max="1538" width="41" style="474" customWidth="1"/>
    <col min="1539" max="1539" width="16" style="474" customWidth="1"/>
    <col min="1540" max="1540" width="16.140625" style="474" bestFit="1" customWidth="1"/>
    <col min="1541" max="1541" width="11.85546875" style="474" customWidth="1"/>
    <col min="1542" max="1542" width="12.42578125" style="474" bestFit="1" customWidth="1"/>
    <col min="1543" max="1544" width="13" style="474" bestFit="1" customWidth="1"/>
    <col min="1545" max="1545" width="12.7109375" style="474" bestFit="1" customWidth="1"/>
    <col min="1546" max="1546" width="13.42578125" style="474" bestFit="1" customWidth="1"/>
    <col min="1547" max="1547" width="13.7109375" style="474" bestFit="1" customWidth="1"/>
    <col min="1548" max="1548" width="14.5703125" style="474" bestFit="1" customWidth="1"/>
    <col min="1549" max="1549" width="14.85546875" style="474" bestFit="1" customWidth="1"/>
    <col min="1550" max="1550" width="17.140625" style="474" customWidth="1"/>
    <col min="1551" max="1551" width="16.42578125" style="474" bestFit="1" customWidth="1"/>
    <col min="1552" max="1552" width="17.140625" style="474" bestFit="1" customWidth="1"/>
    <col min="1553" max="1553" width="24.28515625" style="474" customWidth="1"/>
    <col min="1554" max="1554" width="18.28515625" style="474" bestFit="1" customWidth="1"/>
    <col min="1555" max="1555" width="18.5703125" style="474" bestFit="1" customWidth="1"/>
    <col min="1556" max="1556" width="19.28515625" style="474" bestFit="1" customWidth="1"/>
    <col min="1557" max="1557" width="20.42578125" style="474" bestFit="1" customWidth="1"/>
    <col min="1558" max="1558" width="20.85546875" style="474" bestFit="1" customWidth="1"/>
    <col min="1559" max="1559" width="21.42578125" style="474" bestFit="1" customWidth="1"/>
    <col min="1560" max="1561" width="22.28515625" style="474" bestFit="1" customWidth="1"/>
    <col min="1562" max="1563" width="23.85546875" style="474" bestFit="1" customWidth="1"/>
    <col min="1564" max="1565" width="24.85546875" style="474" bestFit="1" customWidth="1"/>
    <col min="1566" max="1570" width="11.28515625" style="474" bestFit="1" customWidth="1"/>
    <col min="1571" max="1575" width="12.28515625" style="474" bestFit="1" customWidth="1"/>
    <col min="1576" max="1576" width="12" style="474" bestFit="1" customWidth="1"/>
    <col min="1577" max="1792" width="8.85546875" style="474"/>
    <col min="1793" max="1793" width="7.28515625" style="474" customWidth="1"/>
    <col min="1794" max="1794" width="41" style="474" customWidth="1"/>
    <col min="1795" max="1795" width="16" style="474" customWidth="1"/>
    <col min="1796" max="1796" width="16.140625" style="474" bestFit="1" customWidth="1"/>
    <col min="1797" max="1797" width="11.85546875" style="474" customWidth="1"/>
    <col min="1798" max="1798" width="12.42578125" style="474" bestFit="1" customWidth="1"/>
    <col min="1799" max="1800" width="13" style="474" bestFit="1" customWidth="1"/>
    <col min="1801" max="1801" width="12.7109375" style="474" bestFit="1" customWidth="1"/>
    <col min="1802" max="1802" width="13.42578125" style="474" bestFit="1" customWidth="1"/>
    <col min="1803" max="1803" width="13.7109375" style="474" bestFit="1" customWidth="1"/>
    <col min="1804" max="1804" width="14.5703125" style="474" bestFit="1" customWidth="1"/>
    <col min="1805" max="1805" width="14.85546875" style="474" bestFit="1" customWidth="1"/>
    <col min="1806" max="1806" width="17.140625" style="474" customWidth="1"/>
    <col min="1807" max="1807" width="16.42578125" style="474" bestFit="1" customWidth="1"/>
    <col min="1808" max="1808" width="17.140625" style="474" bestFit="1" customWidth="1"/>
    <col min="1809" max="1809" width="24.28515625" style="474" customWidth="1"/>
    <col min="1810" max="1810" width="18.28515625" style="474" bestFit="1" customWidth="1"/>
    <col min="1811" max="1811" width="18.5703125" style="474" bestFit="1" customWidth="1"/>
    <col min="1812" max="1812" width="19.28515625" style="474" bestFit="1" customWidth="1"/>
    <col min="1813" max="1813" width="20.42578125" style="474" bestFit="1" customWidth="1"/>
    <col min="1814" max="1814" width="20.85546875" style="474" bestFit="1" customWidth="1"/>
    <col min="1815" max="1815" width="21.42578125" style="474" bestFit="1" customWidth="1"/>
    <col min="1816" max="1817" width="22.28515625" style="474" bestFit="1" customWidth="1"/>
    <col min="1818" max="1819" width="23.85546875" style="474" bestFit="1" customWidth="1"/>
    <col min="1820" max="1821" width="24.85546875" style="474" bestFit="1" customWidth="1"/>
    <col min="1822" max="1826" width="11.28515625" style="474" bestFit="1" customWidth="1"/>
    <col min="1827" max="1831" width="12.28515625" style="474" bestFit="1" customWidth="1"/>
    <col min="1832" max="1832" width="12" style="474" bestFit="1" customWidth="1"/>
    <col min="1833" max="2048" width="8.85546875" style="474"/>
    <col min="2049" max="2049" width="7.28515625" style="474" customWidth="1"/>
    <col min="2050" max="2050" width="41" style="474" customWidth="1"/>
    <col min="2051" max="2051" width="16" style="474" customWidth="1"/>
    <col min="2052" max="2052" width="16.140625" style="474" bestFit="1" customWidth="1"/>
    <col min="2053" max="2053" width="11.85546875" style="474" customWidth="1"/>
    <col min="2054" max="2054" width="12.42578125" style="474" bestFit="1" customWidth="1"/>
    <col min="2055" max="2056" width="13" style="474" bestFit="1" customWidth="1"/>
    <col min="2057" max="2057" width="12.7109375" style="474" bestFit="1" customWidth="1"/>
    <col min="2058" max="2058" width="13.42578125" style="474" bestFit="1" customWidth="1"/>
    <col min="2059" max="2059" width="13.7109375" style="474" bestFit="1" customWidth="1"/>
    <col min="2060" max="2060" width="14.5703125" style="474" bestFit="1" customWidth="1"/>
    <col min="2061" max="2061" width="14.85546875" style="474" bestFit="1" customWidth="1"/>
    <col min="2062" max="2062" width="17.140625" style="474" customWidth="1"/>
    <col min="2063" max="2063" width="16.42578125" style="474" bestFit="1" customWidth="1"/>
    <col min="2064" max="2064" width="17.140625" style="474" bestFit="1" customWidth="1"/>
    <col min="2065" max="2065" width="24.28515625" style="474" customWidth="1"/>
    <col min="2066" max="2066" width="18.28515625" style="474" bestFit="1" customWidth="1"/>
    <col min="2067" max="2067" width="18.5703125" style="474" bestFit="1" customWidth="1"/>
    <col min="2068" max="2068" width="19.28515625" style="474" bestFit="1" customWidth="1"/>
    <col min="2069" max="2069" width="20.42578125" style="474" bestFit="1" customWidth="1"/>
    <col min="2070" max="2070" width="20.85546875" style="474" bestFit="1" customWidth="1"/>
    <col min="2071" max="2071" width="21.42578125" style="474" bestFit="1" customWidth="1"/>
    <col min="2072" max="2073" width="22.28515625" style="474" bestFit="1" customWidth="1"/>
    <col min="2074" max="2075" width="23.85546875" style="474" bestFit="1" customWidth="1"/>
    <col min="2076" max="2077" width="24.85546875" style="474" bestFit="1" customWidth="1"/>
    <col min="2078" max="2082" width="11.28515625" style="474" bestFit="1" customWidth="1"/>
    <col min="2083" max="2087" width="12.28515625" style="474" bestFit="1" customWidth="1"/>
    <col min="2088" max="2088" width="12" style="474" bestFit="1" customWidth="1"/>
    <col min="2089" max="2304" width="8.85546875" style="474"/>
    <col min="2305" max="2305" width="7.28515625" style="474" customWidth="1"/>
    <col min="2306" max="2306" width="41" style="474" customWidth="1"/>
    <col min="2307" max="2307" width="16" style="474" customWidth="1"/>
    <col min="2308" max="2308" width="16.140625" style="474" bestFit="1" customWidth="1"/>
    <col min="2309" max="2309" width="11.85546875" style="474" customWidth="1"/>
    <col min="2310" max="2310" width="12.42578125" style="474" bestFit="1" customWidth="1"/>
    <col min="2311" max="2312" width="13" style="474" bestFit="1" customWidth="1"/>
    <col min="2313" max="2313" width="12.7109375" style="474" bestFit="1" customWidth="1"/>
    <col min="2314" max="2314" width="13.42578125" style="474" bestFit="1" customWidth="1"/>
    <col min="2315" max="2315" width="13.7109375" style="474" bestFit="1" customWidth="1"/>
    <col min="2316" max="2316" width="14.5703125" style="474" bestFit="1" customWidth="1"/>
    <col min="2317" max="2317" width="14.85546875" style="474" bestFit="1" customWidth="1"/>
    <col min="2318" max="2318" width="17.140625" style="474" customWidth="1"/>
    <col min="2319" max="2319" width="16.42578125" style="474" bestFit="1" customWidth="1"/>
    <col min="2320" max="2320" width="17.140625" style="474" bestFit="1" customWidth="1"/>
    <col min="2321" max="2321" width="24.28515625" style="474" customWidth="1"/>
    <col min="2322" max="2322" width="18.28515625" style="474" bestFit="1" customWidth="1"/>
    <col min="2323" max="2323" width="18.5703125" style="474" bestFit="1" customWidth="1"/>
    <col min="2324" max="2324" width="19.28515625" style="474" bestFit="1" customWidth="1"/>
    <col min="2325" max="2325" width="20.42578125" style="474" bestFit="1" customWidth="1"/>
    <col min="2326" max="2326" width="20.85546875" style="474" bestFit="1" customWidth="1"/>
    <col min="2327" max="2327" width="21.42578125" style="474" bestFit="1" customWidth="1"/>
    <col min="2328" max="2329" width="22.28515625" style="474" bestFit="1" customWidth="1"/>
    <col min="2330" max="2331" width="23.85546875" style="474" bestFit="1" customWidth="1"/>
    <col min="2332" max="2333" width="24.85546875" style="474" bestFit="1" customWidth="1"/>
    <col min="2334" max="2338" width="11.28515625" style="474" bestFit="1" customWidth="1"/>
    <col min="2339" max="2343" width="12.28515625" style="474" bestFit="1" customWidth="1"/>
    <col min="2344" max="2344" width="12" style="474" bestFit="1" customWidth="1"/>
    <col min="2345" max="2560" width="8.85546875" style="474"/>
    <col min="2561" max="2561" width="7.28515625" style="474" customWidth="1"/>
    <col min="2562" max="2562" width="41" style="474" customWidth="1"/>
    <col min="2563" max="2563" width="16" style="474" customWidth="1"/>
    <col min="2564" max="2564" width="16.140625" style="474" bestFit="1" customWidth="1"/>
    <col min="2565" max="2565" width="11.85546875" style="474" customWidth="1"/>
    <col min="2566" max="2566" width="12.42578125" style="474" bestFit="1" customWidth="1"/>
    <col min="2567" max="2568" width="13" style="474" bestFit="1" customWidth="1"/>
    <col min="2569" max="2569" width="12.7109375" style="474" bestFit="1" customWidth="1"/>
    <col min="2570" max="2570" width="13.42578125" style="474" bestFit="1" customWidth="1"/>
    <col min="2571" max="2571" width="13.7109375" style="474" bestFit="1" customWidth="1"/>
    <col min="2572" max="2572" width="14.5703125" style="474" bestFit="1" customWidth="1"/>
    <col min="2573" max="2573" width="14.85546875" style="474" bestFit="1" customWidth="1"/>
    <col min="2574" max="2574" width="17.140625" style="474" customWidth="1"/>
    <col min="2575" max="2575" width="16.42578125" style="474" bestFit="1" customWidth="1"/>
    <col min="2576" max="2576" width="17.140625" style="474" bestFit="1" customWidth="1"/>
    <col min="2577" max="2577" width="24.28515625" style="474" customWidth="1"/>
    <col min="2578" max="2578" width="18.28515625" style="474" bestFit="1" customWidth="1"/>
    <col min="2579" max="2579" width="18.5703125" style="474" bestFit="1" customWidth="1"/>
    <col min="2580" max="2580" width="19.28515625" style="474" bestFit="1" customWidth="1"/>
    <col min="2581" max="2581" width="20.42578125" style="474" bestFit="1" customWidth="1"/>
    <col min="2582" max="2582" width="20.85546875" style="474" bestFit="1" customWidth="1"/>
    <col min="2583" max="2583" width="21.42578125" style="474" bestFit="1" customWidth="1"/>
    <col min="2584" max="2585" width="22.28515625" style="474" bestFit="1" customWidth="1"/>
    <col min="2586" max="2587" width="23.85546875" style="474" bestFit="1" customWidth="1"/>
    <col min="2588" max="2589" width="24.85546875" style="474" bestFit="1" customWidth="1"/>
    <col min="2590" max="2594" width="11.28515625" style="474" bestFit="1" customWidth="1"/>
    <col min="2595" max="2599" width="12.28515625" style="474" bestFit="1" customWidth="1"/>
    <col min="2600" max="2600" width="12" style="474" bestFit="1" customWidth="1"/>
    <col min="2601" max="2816" width="8.85546875" style="474"/>
    <col min="2817" max="2817" width="7.28515625" style="474" customWidth="1"/>
    <col min="2818" max="2818" width="41" style="474" customWidth="1"/>
    <col min="2819" max="2819" width="16" style="474" customWidth="1"/>
    <col min="2820" max="2820" width="16.140625" style="474" bestFit="1" customWidth="1"/>
    <col min="2821" max="2821" width="11.85546875" style="474" customWidth="1"/>
    <col min="2822" max="2822" width="12.42578125" style="474" bestFit="1" customWidth="1"/>
    <col min="2823" max="2824" width="13" style="474" bestFit="1" customWidth="1"/>
    <col min="2825" max="2825" width="12.7109375" style="474" bestFit="1" customWidth="1"/>
    <col min="2826" max="2826" width="13.42578125" style="474" bestFit="1" customWidth="1"/>
    <col min="2827" max="2827" width="13.7109375" style="474" bestFit="1" customWidth="1"/>
    <col min="2828" max="2828" width="14.5703125" style="474" bestFit="1" customWidth="1"/>
    <col min="2829" max="2829" width="14.85546875" style="474" bestFit="1" customWidth="1"/>
    <col min="2830" max="2830" width="17.140625" style="474" customWidth="1"/>
    <col min="2831" max="2831" width="16.42578125" style="474" bestFit="1" customWidth="1"/>
    <col min="2832" max="2832" width="17.140625" style="474" bestFit="1" customWidth="1"/>
    <col min="2833" max="2833" width="24.28515625" style="474" customWidth="1"/>
    <col min="2834" max="2834" width="18.28515625" style="474" bestFit="1" customWidth="1"/>
    <col min="2835" max="2835" width="18.5703125" style="474" bestFit="1" customWidth="1"/>
    <col min="2836" max="2836" width="19.28515625" style="474" bestFit="1" customWidth="1"/>
    <col min="2837" max="2837" width="20.42578125" style="474" bestFit="1" customWidth="1"/>
    <col min="2838" max="2838" width="20.85546875" style="474" bestFit="1" customWidth="1"/>
    <col min="2839" max="2839" width="21.42578125" style="474" bestFit="1" customWidth="1"/>
    <col min="2840" max="2841" width="22.28515625" style="474" bestFit="1" customWidth="1"/>
    <col min="2842" max="2843" width="23.85546875" style="474" bestFit="1" customWidth="1"/>
    <col min="2844" max="2845" width="24.85546875" style="474" bestFit="1" customWidth="1"/>
    <col min="2846" max="2850" width="11.28515625" style="474" bestFit="1" customWidth="1"/>
    <col min="2851" max="2855" width="12.28515625" style="474" bestFit="1" customWidth="1"/>
    <col min="2856" max="2856" width="12" style="474" bestFit="1" customWidth="1"/>
    <col min="2857" max="3072" width="8.85546875" style="474"/>
    <col min="3073" max="3073" width="7.28515625" style="474" customWidth="1"/>
    <col min="3074" max="3074" width="41" style="474" customWidth="1"/>
    <col min="3075" max="3075" width="16" style="474" customWidth="1"/>
    <col min="3076" max="3076" width="16.140625" style="474" bestFit="1" customWidth="1"/>
    <col min="3077" max="3077" width="11.85546875" style="474" customWidth="1"/>
    <col min="3078" max="3078" width="12.42578125" style="474" bestFit="1" customWidth="1"/>
    <col min="3079" max="3080" width="13" style="474" bestFit="1" customWidth="1"/>
    <col min="3081" max="3081" width="12.7109375" style="474" bestFit="1" customWidth="1"/>
    <col min="3082" max="3082" width="13.42578125" style="474" bestFit="1" customWidth="1"/>
    <col min="3083" max="3083" width="13.7109375" style="474" bestFit="1" customWidth="1"/>
    <col min="3084" max="3084" width="14.5703125" style="474" bestFit="1" customWidth="1"/>
    <col min="3085" max="3085" width="14.85546875" style="474" bestFit="1" customWidth="1"/>
    <col min="3086" max="3086" width="17.140625" style="474" customWidth="1"/>
    <col min="3087" max="3087" width="16.42578125" style="474" bestFit="1" customWidth="1"/>
    <col min="3088" max="3088" width="17.140625" style="474" bestFit="1" customWidth="1"/>
    <col min="3089" max="3089" width="24.28515625" style="474" customWidth="1"/>
    <col min="3090" max="3090" width="18.28515625" style="474" bestFit="1" customWidth="1"/>
    <col min="3091" max="3091" width="18.5703125" style="474" bestFit="1" customWidth="1"/>
    <col min="3092" max="3092" width="19.28515625" style="474" bestFit="1" customWidth="1"/>
    <col min="3093" max="3093" width="20.42578125" style="474" bestFit="1" customWidth="1"/>
    <col min="3094" max="3094" width="20.85546875" style="474" bestFit="1" customWidth="1"/>
    <col min="3095" max="3095" width="21.42578125" style="474" bestFit="1" customWidth="1"/>
    <col min="3096" max="3097" width="22.28515625" style="474" bestFit="1" customWidth="1"/>
    <col min="3098" max="3099" width="23.85546875" style="474" bestFit="1" customWidth="1"/>
    <col min="3100" max="3101" width="24.85546875" style="474" bestFit="1" customWidth="1"/>
    <col min="3102" max="3106" width="11.28515625" style="474" bestFit="1" customWidth="1"/>
    <col min="3107" max="3111" width="12.28515625" style="474" bestFit="1" customWidth="1"/>
    <col min="3112" max="3112" width="12" style="474" bestFit="1" customWidth="1"/>
    <col min="3113" max="3328" width="8.85546875" style="474"/>
    <col min="3329" max="3329" width="7.28515625" style="474" customWidth="1"/>
    <col min="3330" max="3330" width="41" style="474" customWidth="1"/>
    <col min="3331" max="3331" width="16" style="474" customWidth="1"/>
    <col min="3332" max="3332" width="16.140625" style="474" bestFit="1" customWidth="1"/>
    <col min="3333" max="3333" width="11.85546875" style="474" customWidth="1"/>
    <col min="3334" max="3334" width="12.42578125" style="474" bestFit="1" customWidth="1"/>
    <col min="3335" max="3336" width="13" style="474" bestFit="1" customWidth="1"/>
    <col min="3337" max="3337" width="12.7109375" style="474" bestFit="1" customWidth="1"/>
    <col min="3338" max="3338" width="13.42578125" style="474" bestFit="1" customWidth="1"/>
    <col min="3339" max="3339" width="13.7109375" style="474" bestFit="1" customWidth="1"/>
    <col min="3340" max="3340" width="14.5703125" style="474" bestFit="1" customWidth="1"/>
    <col min="3341" max="3341" width="14.85546875" style="474" bestFit="1" customWidth="1"/>
    <col min="3342" max="3342" width="17.140625" style="474" customWidth="1"/>
    <col min="3343" max="3343" width="16.42578125" style="474" bestFit="1" customWidth="1"/>
    <col min="3344" max="3344" width="17.140625" style="474" bestFit="1" customWidth="1"/>
    <col min="3345" max="3345" width="24.28515625" style="474" customWidth="1"/>
    <col min="3346" max="3346" width="18.28515625" style="474" bestFit="1" customWidth="1"/>
    <col min="3347" max="3347" width="18.5703125" style="474" bestFit="1" customWidth="1"/>
    <col min="3348" max="3348" width="19.28515625" style="474" bestFit="1" customWidth="1"/>
    <col min="3349" max="3349" width="20.42578125" style="474" bestFit="1" customWidth="1"/>
    <col min="3350" max="3350" width="20.85546875" style="474" bestFit="1" customWidth="1"/>
    <col min="3351" max="3351" width="21.42578125" style="474" bestFit="1" customWidth="1"/>
    <col min="3352" max="3353" width="22.28515625" style="474" bestFit="1" customWidth="1"/>
    <col min="3354" max="3355" width="23.85546875" style="474" bestFit="1" customWidth="1"/>
    <col min="3356" max="3357" width="24.85546875" style="474" bestFit="1" customWidth="1"/>
    <col min="3358" max="3362" width="11.28515625" style="474" bestFit="1" customWidth="1"/>
    <col min="3363" max="3367" width="12.28515625" style="474" bestFit="1" customWidth="1"/>
    <col min="3368" max="3368" width="12" style="474" bestFit="1" customWidth="1"/>
    <col min="3369" max="3584" width="8.85546875" style="474"/>
    <col min="3585" max="3585" width="7.28515625" style="474" customWidth="1"/>
    <col min="3586" max="3586" width="41" style="474" customWidth="1"/>
    <col min="3587" max="3587" width="16" style="474" customWidth="1"/>
    <col min="3588" max="3588" width="16.140625" style="474" bestFit="1" customWidth="1"/>
    <col min="3589" max="3589" width="11.85546875" style="474" customWidth="1"/>
    <col min="3590" max="3590" width="12.42578125" style="474" bestFit="1" customWidth="1"/>
    <col min="3591" max="3592" width="13" style="474" bestFit="1" customWidth="1"/>
    <col min="3593" max="3593" width="12.7109375" style="474" bestFit="1" customWidth="1"/>
    <col min="3594" max="3594" width="13.42578125" style="474" bestFit="1" customWidth="1"/>
    <col min="3595" max="3595" width="13.7109375" style="474" bestFit="1" customWidth="1"/>
    <col min="3596" max="3596" width="14.5703125" style="474" bestFit="1" customWidth="1"/>
    <col min="3597" max="3597" width="14.85546875" style="474" bestFit="1" customWidth="1"/>
    <col min="3598" max="3598" width="17.140625" style="474" customWidth="1"/>
    <col min="3599" max="3599" width="16.42578125" style="474" bestFit="1" customWidth="1"/>
    <col min="3600" max="3600" width="17.140625" style="474" bestFit="1" customWidth="1"/>
    <col min="3601" max="3601" width="24.28515625" style="474" customWidth="1"/>
    <col min="3602" max="3602" width="18.28515625" style="474" bestFit="1" customWidth="1"/>
    <col min="3603" max="3603" width="18.5703125" style="474" bestFit="1" customWidth="1"/>
    <col min="3604" max="3604" width="19.28515625" style="474" bestFit="1" customWidth="1"/>
    <col min="3605" max="3605" width="20.42578125" style="474" bestFit="1" customWidth="1"/>
    <col min="3606" max="3606" width="20.85546875" style="474" bestFit="1" customWidth="1"/>
    <col min="3607" max="3607" width="21.42578125" style="474" bestFit="1" customWidth="1"/>
    <col min="3608" max="3609" width="22.28515625" style="474" bestFit="1" customWidth="1"/>
    <col min="3610" max="3611" width="23.85546875" style="474" bestFit="1" customWidth="1"/>
    <col min="3612" max="3613" width="24.85546875" style="474" bestFit="1" customWidth="1"/>
    <col min="3614" max="3618" width="11.28515625" style="474" bestFit="1" customWidth="1"/>
    <col min="3619" max="3623" width="12.28515625" style="474" bestFit="1" customWidth="1"/>
    <col min="3624" max="3624" width="12" style="474" bestFit="1" customWidth="1"/>
    <col min="3625" max="3840" width="8.85546875" style="474"/>
    <col min="3841" max="3841" width="7.28515625" style="474" customWidth="1"/>
    <col min="3842" max="3842" width="41" style="474" customWidth="1"/>
    <col min="3843" max="3843" width="16" style="474" customWidth="1"/>
    <col min="3844" max="3844" width="16.140625" style="474" bestFit="1" customWidth="1"/>
    <col min="3845" max="3845" width="11.85546875" style="474" customWidth="1"/>
    <col min="3846" max="3846" width="12.42578125" style="474" bestFit="1" customWidth="1"/>
    <col min="3847" max="3848" width="13" style="474" bestFit="1" customWidth="1"/>
    <col min="3849" max="3849" width="12.7109375" style="474" bestFit="1" customWidth="1"/>
    <col min="3850" max="3850" width="13.42578125" style="474" bestFit="1" customWidth="1"/>
    <col min="3851" max="3851" width="13.7109375" style="474" bestFit="1" customWidth="1"/>
    <col min="3852" max="3852" width="14.5703125" style="474" bestFit="1" customWidth="1"/>
    <col min="3853" max="3853" width="14.85546875" style="474" bestFit="1" customWidth="1"/>
    <col min="3854" max="3854" width="17.140625" style="474" customWidth="1"/>
    <col min="3855" max="3855" width="16.42578125" style="474" bestFit="1" customWidth="1"/>
    <col min="3856" max="3856" width="17.140625" style="474" bestFit="1" customWidth="1"/>
    <col min="3857" max="3857" width="24.28515625" style="474" customWidth="1"/>
    <col min="3858" max="3858" width="18.28515625" style="474" bestFit="1" customWidth="1"/>
    <col min="3859" max="3859" width="18.5703125" style="474" bestFit="1" customWidth="1"/>
    <col min="3860" max="3860" width="19.28515625" style="474" bestFit="1" customWidth="1"/>
    <col min="3861" max="3861" width="20.42578125" style="474" bestFit="1" customWidth="1"/>
    <col min="3862" max="3862" width="20.85546875" style="474" bestFit="1" customWidth="1"/>
    <col min="3863" max="3863" width="21.42578125" style="474" bestFit="1" customWidth="1"/>
    <col min="3864" max="3865" width="22.28515625" style="474" bestFit="1" customWidth="1"/>
    <col min="3866" max="3867" width="23.85546875" style="474" bestFit="1" customWidth="1"/>
    <col min="3868" max="3869" width="24.85546875" style="474" bestFit="1" customWidth="1"/>
    <col min="3870" max="3874" width="11.28515625" style="474" bestFit="1" customWidth="1"/>
    <col min="3875" max="3879" width="12.28515625" style="474" bestFit="1" customWidth="1"/>
    <col min="3880" max="3880" width="12" style="474" bestFit="1" customWidth="1"/>
    <col min="3881" max="4096" width="8.85546875" style="474"/>
    <col min="4097" max="4097" width="7.28515625" style="474" customWidth="1"/>
    <col min="4098" max="4098" width="41" style="474" customWidth="1"/>
    <col min="4099" max="4099" width="16" style="474" customWidth="1"/>
    <col min="4100" max="4100" width="16.140625" style="474" bestFit="1" customWidth="1"/>
    <col min="4101" max="4101" width="11.85546875" style="474" customWidth="1"/>
    <col min="4102" max="4102" width="12.42578125" style="474" bestFit="1" customWidth="1"/>
    <col min="4103" max="4104" width="13" style="474" bestFit="1" customWidth="1"/>
    <col min="4105" max="4105" width="12.7109375" style="474" bestFit="1" customWidth="1"/>
    <col min="4106" max="4106" width="13.42578125" style="474" bestFit="1" customWidth="1"/>
    <col min="4107" max="4107" width="13.7109375" style="474" bestFit="1" customWidth="1"/>
    <col min="4108" max="4108" width="14.5703125" style="474" bestFit="1" customWidth="1"/>
    <col min="4109" max="4109" width="14.85546875" style="474" bestFit="1" customWidth="1"/>
    <col min="4110" max="4110" width="17.140625" style="474" customWidth="1"/>
    <col min="4111" max="4111" width="16.42578125" style="474" bestFit="1" customWidth="1"/>
    <col min="4112" max="4112" width="17.140625" style="474" bestFit="1" customWidth="1"/>
    <col min="4113" max="4113" width="24.28515625" style="474" customWidth="1"/>
    <col min="4114" max="4114" width="18.28515625" style="474" bestFit="1" customWidth="1"/>
    <col min="4115" max="4115" width="18.5703125" style="474" bestFit="1" customWidth="1"/>
    <col min="4116" max="4116" width="19.28515625" style="474" bestFit="1" customWidth="1"/>
    <col min="4117" max="4117" width="20.42578125" style="474" bestFit="1" customWidth="1"/>
    <col min="4118" max="4118" width="20.85546875" style="474" bestFit="1" customWidth="1"/>
    <col min="4119" max="4119" width="21.42578125" style="474" bestFit="1" customWidth="1"/>
    <col min="4120" max="4121" width="22.28515625" style="474" bestFit="1" customWidth="1"/>
    <col min="4122" max="4123" width="23.85546875" style="474" bestFit="1" customWidth="1"/>
    <col min="4124" max="4125" width="24.85546875" style="474" bestFit="1" customWidth="1"/>
    <col min="4126" max="4130" width="11.28515625" style="474" bestFit="1" customWidth="1"/>
    <col min="4131" max="4135" width="12.28515625" style="474" bestFit="1" customWidth="1"/>
    <col min="4136" max="4136" width="12" style="474" bestFit="1" customWidth="1"/>
    <col min="4137" max="4352" width="8.85546875" style="474"/>
    <col min="4353" max="4353" width="7.28515625" style="474" customWidth="1"/>
    <col min="4354" max="4354" width="41" style="474" customWidth="1"/>
    <col min="4355" max="4355" width="16" style="474" customWidth="1"/>
    <col min="4356" max="4356" width="16.140625" style="474" bestFit="1" customWidth="1"/>
    <col min="4357" max="4357" width="11.85546875" style="474" customWidth="1"/>
    <col min="4358" max="4358" width="12.42578125" style="474" bestFit="1" customWidth="1"/>
    <col min="4359" max="4360" width="13" style="474" bestFit="1" customWidth="1"/>
    <col min="4361" max="4361" width="12.7109375" style="474" bestFit="1" customWidth="1"/>
    <col min="4362" max="4362" width="13.42578125" style="474" bestFit="1" customWidth="1"/>
    <col min="4363" max="4363" width="13.7109375" style="474" bestFit="1" customWidth="1"/>
    <col min="4364" max="4364" width="14.5703125" style="474" bestFit="1" customWidth="1"/>
    <col min="4365" max="4365" width="14.85546875" style="474" bestFit="1" customWidth="1"/>
    <col min="4366" max="4366" width="17.140625" style="474" customWidth="1"/>
    <col min="4367" max="4367" width="16.42578125" style="474" bestFit="1" customWidth="1"/>
    <col min="4368" max="4368" width="17.140625" style="474" bestFit="1" customWidth="1"/>
    <col min="4369" max="4369" width="24.28515625" style="474" customWidth="1"/>
    <col min="4370" max="4370" width="18.28515625" style="474" bestFit="1" customWidth="1"/>
    <col min="4371" max="4371" width="18.5703125" style="474" bestFit="1" customWidth="1"/>
    <col min="4372" max="4372" width="19.28515625" style="474" bestFit="1" customWidth="1"/>
    <col min="4373" max="4373" width="20.42578125" style="474" bestFit="1" customWidth="1"/>
    <col min="4374" max="4374" width="20.85546875" style="474" bestFit="1" customWidth="1"/>
    <col min="4375" max="4375" width="21.42578125" style="474" bestFit="1" customWidth="1"/>
    <col min="4376" max="4377" width="22.28515625" style="474" bestFit="1" customWidth="1"/>
    <col min="4378" max="4379" width="23.85546875" style="474" bestFit="1" customWidth="1"/>
    <col min="4380" max="4381" width="24.85546875" style="474" bestFit="1" customWidth="1"/>
    <col min="4382" max="4386" width="11.28515625" style="474" bestFit="1" customWidth="1"/>
    <col min="4387" max="4391" width="12.28515625" style="474" bestFit="1" customWidth="1"/>
    <col min="4392" max="4392" width="12" style="474" bestFit="1" customWidth="1"/>
    <col min="4393" max="4608" width="8.85546875" style="474"/>
    <col min="4609" max="4609" width="7.28515625" style="474" customWidth="1"/>
    <col min="4610" max="4610" width="41" style="474" customWidth="1"/>
    <col min="4611" max="4611" width="16" style="474" customWidth="1"/>
    <col min="4612" max="4612" width="16.140625" style="474" bestFit="1" customWidth="1"/>
    <col min="4613" max="4613" width="11.85546875" style="474" customWidth="1"/>
    <col min="4614" max="4614" width="12.42578125" style="474" bestFit="1" customWidth="1"/>
    <col min="4615" max="4616" width="13" style="474" bestFit="1" customWidth="1"/>
    <col min="4617" max="4617" width="12.7109375" style="474" bestFit="1" customWidth="1"/>
    <col min="4618" max="4618" width="13.42578125" style="474" bestFit="1" customWidth="1"/>
    <col min="4619" max="4619" width="13.7109375" style="474" bestFit="1" customWidth="1"/>
    <col min="4620" max="4620" width="14.5703125" style="474" bestFit="1" customWidth="1"/>
    <col min="4621" max="4621" width="14.85546875" style="474" bestFit="1" customWidth="1"/>
    <col min="4622" max="4622" width="17.140625" style="474" customWidth="1"/>
    <col min="4623" max="4623" width="16.42578125" style="474" bestFit="1" customWidth="1"/>
    <col min="4624" max="4624" width="17.140625" style="474" bestFit="1" customWidth="1"/>
    <col min="4625" max="4625" width="24.28515625" style="474" customWidth="1"/>
    <col min="4626" max="4626" width="18.28515625" style="474" bestFit="1" customWidth="1"/>
    <col min="4627" max="4627" width="18.5703125" style="474" bestFit="1" customWidth="1"/>
    <col min="4628" max="4628" width="19.28515625" style="474" bestFit="1" customWidth="1"/>
    <col min="4629" max="4629" width="20.42578125" style="474" bestFit="1" customWidth="1"/>
    <col min="4630" max="4630" width="20.85546875" style="474" bestFit="1" customWidth="1"/>
    <col min="4631" max="4631" width="21.42578125" style="474" bestFit="1" customWidth="1"/>
    <col min="4632" max="4633" width="22.28515625" style="474" bestFit="1" customWidth="1"/>
    <col min="4634" max="4635" width="23.85546875" style="474" bestFit="1" customWidth="1"/>
    <col min="4636" max="4637" width="24.85546875" style="474" bestFit="1" customWidth="1"/>
    <col min="4638" max="4642" width="11.28515625" style="474" bestFit="1" customWidth="1"/>
    <col min="4643" max="4647" width="12.28515625" style="474" bestFit="1" customWidth="1"/>
    <col min="4648" max="4648" width="12" style="474" bestFit="1" customWidth="1"/>
    <col min="4649" max="4864" width="8.85546875" style="474"/>
    <col min="4865" max="4865" width="7.28515625" style="474" customWidth="1"/>
    <col min="4866" max="4866" width="41" style="474" customWidth="1"/>
    <col min="4867" max="4867" width="16" style="474" customWidth="1"/>
    <col min="4868" max="4868" width="16.140625" style="474" bestFit="1" customWidth="1"/>
    <col min="4869" max="4869" width="11.85546875" style="474" customWidth="1"/>
    <col min="4870" max="4870" width="12.42578125" style="474" bestFit="1" customWidth="1"/>
    <col min="4871" max="4872" width="13" style="474" bestFit="1" customWidth="1"/>
    <col min="4873" max="4873" width="12.7109375" style="474" bestFit="1" customWidth="1"/>
    <col min="4874" max="4874" width="13.42578125" style="474" bestFit="1" customWidth="1"/>
    <col min="4875" max="4875" width="13.7109375" style="474" bestFit="1" customWidth="1"/>
    <col min="4876" max="4876" width="14.5703125" style="474" bestFit="1" customWidth="1"/>
    <col min="4877" max="4877" width="14.85546875" style="474" bestFit="1" customWidth="1"/>
    <col min="4878" max="4878" width="17.140625" style="474" customWidth="1"/>
    <col min="4879" max="4879" width="16.42578125" style="474" bestFit="1" customWidth="1"/>
    <col min="4880" max="4880" width="17.140625" style="474" bestFit="1" customWidth="1"/>
    <col min="4881" max="4881" width="24.28515625" style="474" customWidth="1"/>
    <col min="4882" max="4882" width="18.28515625" style="474" bestFit="1" customWidth="1"/>
    <col min="4883" max="4883" width="18.5703125" style="474" bestFit="1" customWidth="1"/>
    <col min="4884" max="4884" width="19.28515625" style="474" bestFit="1" customWidth="1"/>
    <col min="4885" max="4885" width="20.42578125" style="474" bestFit="1" customWidth="1"/>
    <col min="4886" max="4886" width="20.85546875" style="474" bestFit="1" customWidth="1"/>
    <col min="4887" max="4887" width="21.42578125" style="474" bestFit="1" customWidth="1"/>
    <col min="4888" max="4889" width="22.28515625" style="474" bestFit="1" customWidth="1"/>
    <col min="4890" max="4891" width="23.85546875" style="474" bestFit="1" customWidth="1"/>
    <col min="4892" max="4893" width="24.85546875" style="474" bestFit="1" customWidth="1"/>
    <col min="4894" max="4898" width="11.28515625" style="474" bestFit="1" customWidth="1"/>
    <col min="4899" max="4903" width="12.28515625" style="474" bestFit="1" customWidth="1"/>
    <col min="4904" max="4904" width="12" style="474" bestFit="1" customWidth="1"/>
    <col min="4905" max="5120" width="8.85546875" style="474"/>
    <col min="5121" max="5121" width="7.28515625" style="474" customWidth="1"/>
    <col min="5122" max="5122" width="41" style="474" customWidth="1"/>
    <col min="5123" max="5123" width="16" style="474" customWidth="1"/>
    <col min="5124" max="5124" width="16.140625" style="474" bestFit="1" customWidth="1"/>
    <col min="5125" max="5125" width="11.85546875" style="474" customWidth="1"/>
    <col min="5126" max="5126" width="12.42578125" style="474" bestFit="1" customWidth="1"/>
    <col min="5127" max="5128" width="13" style="474" bestFit="1" customWidth="1"/>
    <col min="5129" max="5129" width="12.7109375" style="474" bestFit="1" customWidth="1"/>
    <col min="5130" max="5130" width="13.42578125" style="474" bestFit="1" customWidth="1"/>
    <col min="5131" max="5131" width="13.7109375" style="474" bestFit="1" customWidth="1"/>
    <col min="5132" max="5132" width="14.5703125" style="474" bestFit="1" customWidth="1"/>
    <col min="5133" max="5133" width="14.85546875" style="474" bestFit="1" customWidth="1"/>
    <col min="5134" max="5134" width="17.140625" style="474" customWidth="1"/>
    <col min="5135" max="5135" width="16.42578125" style="474" bestFit="1" customWidth="1"/>
    <col min="5136" max="5136" width="17.140625" style="474" bestFit="1" customWidth="1"/>
    <col min="5137" max="5137" width="24.28515625" style="474" customWidth="1"/>
    <col min="5138" max="5138" width="18.28515625" style="474" bestFit="1" customWidth="1"/>
    <col min="5139" max="5139" width="18.5703125" style="474" bestFit="1" customWidth="1"/>
    <col min="5140" max="5140" width="19.28515625" style="474" bestFit="1" customWidth="1"/>
    <col min="5141" max="5141" width="20.42578125" style="474" bestFit="1" customWidth="1"/>
    <col min="5142" max="5142" width="20.85546875" style="474" bestFit="1" customWidth="1"/>
    <col min="5143" max="5143" width="21.42578125" style="474" bestFit="1" customWidth="1"/>
    <col min="5144" max="5145" width="22.28515625" style="474" bestFit="1" customWidth="1"/>
    <col min="5146" max="5147" width="23.85546875" style="474" bestFit="1" customWidth="1"/>
    <col min="5148" max="5149" width="24.85546875" style="474" bestFit="1" customWidth="1"/>
    <col min="5150" max="5154" width="11.28515625" style="474" bestFit="1" customWidth="1"/>
    <col min="5155" max="5159" width="12.28515625" style="474" bestFit="1" customWidth="1"/>
    <col min="5160" max="5160" width="12" style="474" bestFit="1" customWidth="1"/>
    <col min="5161" max="5376" width="8.85546875" style="474"/>
    <col min="5377" max="5377" width="7.28515625" style="474" customWidth="1"/>
    <col min="5378" max="5378" width="41" style="474" customWidth="1"/>
    <col min="5379" max="5379" width="16" style="474" customWidth="1"/>
    <col min="5380" max="5380" width="16.140625" style="474" bestFit="1" customWidth="1"/>
    <col min="5381" max="5381" width="11.85546875" style="474" customWidth="1"/>
    <col min="5382" max="5382" width="12.42578125" style="474" bestFit="1" customWidth="1"/>
    <col min="5383" max="5384" width="13" style="474" bestFit="1" customWidth="1"/>
    <col min="5385" max="5385" width="12.7109375" style="474" bestFit="1" customWidth="1"/>
    <col min="5386" max="5386" width="13.42578125" style="474" bestFit="1" customWidth="1"/>
    <col min="5387" max="5387" width="13.7109375" style="474" bestFit="1" customWidth="1"/>
    <col min="5388" max="5388" width="14.5703125" style="474" bestFit="1" customWidth="1"/>
    <col min="5389" max="5389" width="14.85546875" style="474" bestFit="1" customWidth="1"/>
    <col min="5390" max="5390" width="17.140625" style="474" customWidth="1"/>
    <col min="5391" max="5391" width="16.42578125" style="474" bestFit="1" customWidth="1"/>
    <col min="5392" max="5392" width="17.140625" style="474" bestFit="1" customWidth="1"/>
    <col min="5393" max="5393" width="24.28515625" style="474" customWidth="1"/>
    <col min="5394" max="5394" width="18.28515625" style="474" bestFit="1" customWidth="1"/>
    <col min="5395" max="5395" width="18.5703125" style="474" bestFit="1" customWidth="1"/>
    <col min="5396" max="5396" width="19.28515625" style="474" bestFit="1" customWidth="1"/>
    <col min="5397" max="5397" width="20.42578125" style="474" bestFit="1" customWidth="1"/>
    <col min="5398" max="5398" width="20.85546875" style="474" bestFit="1" customWidth="1"/>
    <col min="5399" max="5399" width="21.42578125" style="474" bestFit="1" customWidth="1"/>
    <col min="5400" max="5401" width="22.28515625" style="474" bestFit="1" customWidth="1"/>
    <col min="5402" max="5403" width="23.85546875" style="474" bestFit="1" customWidth="1"/>
    <col min="5404" max="5405" width="24.85546875" style="474" bestFit="1" customWidth="1"/>
    <col min="5406" max="5410" width="11.28515625" style="474" bestFit="1" customWidth="1"/>
    <col min="5411" max="5415" width="12.28515625" style="474" bestFit="1" customWidth="1"/>
    <col min="5416" max="5416" width="12" style="474" bestFit="1" customWidth="1"/>
    <col min="5417" max="5632" width="8.85546875" style="474"/>
    <col min="5633" max="5633" width="7.28515625" style="474" customWidth="1"/>
    <col min="5634" max="5634" width="41" style="474" customWidth="1"/>
    <col min="5635" max="5635" width="16" style="474" customWidth="1"/>
    <col min="5636" max="5636" width="16.140625" style="474" bestFit="1" customWidth="1"/>
    <col min="5637" max="5637" width="11.85546875" style="474" customWidth="1"/>
    <col min="5638" max="5638" width="12.42578125" style="474" bestFit="1" customWidth="1"/>
    <col min="5639" max="5640" width="13" style="474" bestFit="1" customWidth="1"/>
    <col min="5641" max="5641" width="12.7109375" style="474" bestFit="1" customWidth="1"/>
    <col min="5642" max="5642" width="13.42578125" style="474" bestFit="1" customWidth="1"/>
    <col min="5643" max="5643" width="13.7109375" style="474" bestFit="1" customWidth="1"/>
    <col min="5644" max="5644" width="14.5703125" style="474" bestFit="1" customWidth="1"/>
    <col min="5645" max="5645" width="14.85546875" style="474" bestFit="1" customWidth="1"/>
    <col min="5646" max="5646" width="17.140625" style="474" customWidth="1"/>
    <col min="5647" max="5647" width="16.42578125" style="474" bestFit="1" customWidth="1"/>
    <col min="5648" max="5648" width="17.140625" style="474" bestFit="1" customWidth="1"/>
    <col min="5649" max="5649" width="24.28515625" style="474" customWidth="1"/>
    <col min="5650" max="5650" width="18.28515625" style="474" bestFit="1" customWidth="1"/>
    <col min="5651" max="5651" width="18.5703125" style="474" bestFit="1" customWidth="1"/>
    <col min="5652" max="5652" width="19.28515625" style="474" bestFit="1" customWidth="1"/>
    <col min="5653" max="5653" width="20.42578125" style="474" bestFit="1" customWidth="1"/>
    <col min="5654" max="5654" width="20.85546875" style="474" bestFit="1" customWidth="1"/>
    <col min="5655" max="5655" width="21.42578125" style="474" bestFit="1" customWidth="1"/>
    <col min="5656" max="5657" width="22.28515625" style="474" bestFit="1" customWidth="1"/>
    <col min="5658" max="5659" width="23.85546875" style="474" bestFit="1" customWidth="1"/>
    <col min="5660" max="5661" width="24.85546875" style="474" bestFit="1" customWidth="1"/>
    <col min="5662" max="5666" width="11.28515625" style="474" bestFit="1" customWidth="1"/>
    <col min="5667" max="5671" width="12.28515625" style="474" bestFit="1" customWidth="1"/>
    <col min="5672" max="5672" width="12" style="474" bestFit="1" customWidth="1"/>
    <col min="5673" max="5888" width="8.85546875" style="474"/>
    <col min="5889" max="5889" width="7.28515625" style="474" customWidth="1"/>
    <col min="5890" max="5890" width="41" style="474" customWidth="1"/>
    <col min="5891" max="5891" width="16" style="474" customWidth="1"/>
    <col min="5892" max="5892" width="16.140625" style="474" bestFit="1" customWidth="1"/>
    <col min="5893" max="5893" width="11.85546875" style="474" customWidth="1"/>
    <col min="5894" max="5894" width="12.42578125" style="474" bestFit="1" customWidth="1"/>
    <col min="5895" max="5896" width="13" style="474" bestFit="1" customWidth="1"/>
    <col min="5897" max="5897" width="12.7109375" style="474" bestFit="1" customWidth="1"/>
    <col min="5898" max="5898" width="13.42578125" style="474" bestFit="1" customWidth="1"/>
    <col min="5899" max="5899" width="13.7109375" style="474" bestFit="1" customWidth="1"/>
    <col min="5900" max="5900" width="14.5703125" style="474" bestFit="1" customWidth="1"/>
    <col min="5901" max="5901" width="14.85546875" style="474" bestFit="1" customWidth="1"/>
    <col min="5902" max="5902" width="17.140625" style="474" customWidth="1"/>
    <col min="5903" max="5903" width="16.42578125" style="474" bestFit="1" customWidth="1"/>
    <col min="5904" max="5904" width="17.140625" style="474" bestFit="1" customWidth="1"/>
    <col min="5905" max="5905" width="24.28515625" style="474" customWidth="1"/>
    <col min="5906" max="5906" width="18.28515625" style="474" bestFit="1" customWidth="1"/>
    <col min="5907" max="5907" width="18.5703125" style="474" bestFit="1" customWidth="1"/>
    <col min="5908" max="5908" width="19.28515625" style="474" bestFit="1" customWidth="1"/>
    <col min="5909" max="5909" width="20.42578125" style="474" bestFit="1" customWidth="1"/>
    <col min="5910" max="5910" width="20.85546875" style="474" bestFit="1" customWidth="1"/>
    <col min="5911" max="5911" width="21.42578125" style="474" bestFit="1" customWidth="1"/>
    <col min="5912" max="5913" width="22.28515625" style="474" bestFit="1" customWidth="1"/>
    <col min="5914" max="5915" width="23.85546875" style="474" bestFit="1" customWidth="1"/>
    <col min="5916" max="5917" width="24.85546875" style="474" bestFit="1" customWidth="1"/>
    <col min="5918" max="5922" width="11.28515625" style="474" bestFit="1" customWidth="1"/>
    <col min="5923" max="5927" width="12.28515625" style="474" bestFit="1" customWidth="1"/>
    <col min="5928" max="5928" width="12" style="474" bestFit="1" customWidth="1"/>
    <col min="5929" max="6144" width="8.85546875" style="474"/>
    <col min="6145" max="6145" width="7.28515625" style="474" customWidth="1"/>
    <col min="6146" max="6146" width="41" style="474" customWidth="1"/>
    <col min="6147" max="6147" width="16" style="474" customWidth="1"/>
    <col min="6148" max="6148" width="16.140625" style="474" bestFit="1" customWidth="1"/>
    <col min="6149" max="6149" width="11.85546875" style="474" customWidth="1"/>
    <col min="6150" max="6150" width="12.42578125" style="474" bestFit="1" customWidth="1"/>
    <col min="6151" max="6152" width="13" style="474" bestFit="1" customWidth="1"/>
    <col min="6153" max="6153" width="12.7109375" style="474" bestFit="1" customWidth="1"/>
    <col min="6154" max="6154" width="13.42578125" style="474" bestFit="1" customWidth="1"/>
    <col min="6155" max="6155" width="13.7109375" style="474" bestFit="1" customWidth="1"/>
    <col min="6156" max="6156" width="14.5703125" style="474" bestFit="1" customWidth="1"/>
    <col min="6157" max="6157" width="14.85546875" style="474" bestFit="1" customWidth="1"/>
    <col min="6158" max="6158" width="17.140625" style="474" customWidth="1"/>
    <col min="6159" max="6159" width="16.42578125" style="474" bestFit="1" customWidth="1"/>
    <col min="6160" max="6160" width="17.140625" style="474" bestFit="1" customWidth="1"/>
    <col min="6161" max="6161" width="24.28515625" style="474" customWidth="1"/>
    <col min="6162" max="6162" width="18.28515625" style="474" bestFit="1" customWidth="1"/>
    <col min="6163" max="6163" width="18.5703125" style="474" bestFit="1" customWidth="1"/>
    <col min="6164" max="6164" width="19.28515625" style="474" bestFit="1" customWidth="1"/>
    <col min="6165" max="6165" width="20.42578125" style="474" bestFit="1" customWidth="1"/>
    <col min="6166" max="6166" width="20.85546875" style="474" bestFit="1" customWidth="1"/>
    <col min="6167" max="6167" width="21.42578125" style="474" bestFit="1" customWidth="1"/>
    <col min="6168" max="6169" width="22.28515625" style="474" bestFit="1" customWidth="1"/>
    <col min="6170" max="6171" width="23.85546875" style="474" bestFit="1" customWidth="1"/>
    <col min="6172" max="6173" width="24.85546875" style="474" bestFit="1" customWidth="1"/>
    <col min="6174" max="6178" width="11.28515625" style="474" bestFit="1" customWidth="1"/>
    <col min="6179" max="6183" width="12.28515625" style="474" bestFit="1" customWidth="1"/>
    <col min="6184" max="6184" width="12" style="474" bestFit="1" customWidth="1"/>
    <col min="6185" max="6400" width="8.85546875" style="474"/>
    <col min="6401" max="6401" width="7.28515625" style="474" customWidth="1"/>
    <col min="6402" max="6402" width="41" style="474" customWidth="1"/>
    <col min="6403" max="6403" width="16" style="474" customWidth="1"/>
    <col min="6404" max="6404" width="16.140625" style="474" bestFit="1" customWidth="1"/>
    <col min="6405" max="6405" width="11.85546875" style="474" customWidth="1"/>
    <col min="6406" max="6406" width="12.42578125" style="474" bestFit="1" customWidth="1"/>
    <col min="6407" max="6408" width="13" style="474" bestFit="1" customWidth="1"/>
    <col min="6409" max="6409" width="12.7109375" style="474" bestFit="1" customWidth="1"/>
    <col min="6410" max="6410" width="13.42578125" style="474" bestFit="1" customWidth="1"/>
    <col min="6411" max="6411" width="13.7109375" style="474" bestFit="1" customWidth="1"/>
    <col min="6412" max="6412" width="14.5703125" style="474" bestFit="1" customWidth="1"/>
    <col min="6413" max="6413" width="14.85546875" style="474" bestFit="1" customWidth="1"/>
    <col min="6414" max="6414" width="17.140625" style="474" customWidth="1"/>
    <col min="6415" max="6415" width="16.42578125" style="474" bestFit="1" customWidth="1"/>
    <col min="6416" max="6416" width="17.140625" style="474" bestFit="1" customWidth="1"/>
    <col min="6417" max="6417" width="24.28515625" style="474" customWidth="1"/>
    <col min="6418" max="6418" width="18.28515625" style="474" bestFit="1" customWidth="1"/>
    <col min="6419" max="6419" width="18.5703125" style="474" bestFit="1" customWidth="1"/>
    <col min="6420" max="6420" width="19.28515625" style="474" bestFit="1" customWidth="1"/>
    <col min="6421" max="6421" width="20.42578125" style="474" bestFit="1" customWidth="1"/>
    <col min="6422" max="6422" width="20.85546875" style="474" bestFit="1" customWidth="1"/>
    <col min="6423" max="6423" width="21.42578125" style="474" bestFit="1" customWidth="1"/>
    <col min="6424" max="6425" width="22.28515625" style="474" bestFit="1" customWidth="1"/>
    <col min="6426" max="6427" width="23.85546875" style="474" bestFit="1" customWidth="1"/>
    <col min="6428" max="6429" width="24.85546875" style="474" bestFit="1" customWidth="1"/>
    <col min="6430" max="6434" width="11.28515625" style="474" bestFit="1" customWidth="1"/>
    <col min="6435" max="6439" width="12.28515625" style="474" bestFit="1" customWidth="1"/>
    <col min="6440" max="6440" width="12" style="474" bestFit="1" customWidth="1"/>
    <col min="6441" max="6656" width="8.85546875" style="474"/>
    <col min="6657" max="6657" width="7.28515625" style="474" customWidth="1"/>
    <col min="6658" max="6658" width="41" style="474" customWidth="1"/>
    <col min="6659" max="6659" width="16" style="474" customWidth="1"/>
    <col min="6660" max="6660" width="16.140625" style="474" bestFit="1" customWidth="1"/>
    <col min="6661" max="6661" width="11.85546875" style="474" customWidth="1"/>
    <col min="6662" max="6662" width="12.42578125" style="474" bestFit="1" customWidth="1"/>
    <col min="6663" max="6664" width="13" style="474" bestFit="1" customWidth="1"/>
    <col min="6665" max="6665" width="12.7109375" style="474" bestFit="1" customWidth="1"/>
    <col min="6666" max="6666" width="13.42578125" style="474" bestFit="1" customWidth="1"/>
    <col min="6667" max="6667" width="13.7109375" style="474" bestFit="1" customWidth="1"/>
    <col min="6668" max="6668" width="14.5703125" style="474" bestFit="1" customWidth="1"/>
    <col min="6669" max="6669" width="14.85546875" style="474" bestFit="1" customWidth="1"/>
    <col min="6670" max="6670" width="17.140625" style="474" customWidth="1"/>
    <col min="6671" max="6671" width="16.42578125" style="474" bestFit="1" customWidth="1"/>
    <col min="6672" max="6672" width="17.140625" style="474" bestFit="1" customWidth="1"/>
    <col min="6673" max="6673" width="24.28515625" style="474" customWidth="1"/>
    <col min="6674" max="6674" width="18.28515625" style="474" bestFit="1" customWidth="1"/>
    <col min="6675" max="6675" width="18.5703125" style="474" bestFit="1" customWidth="1"/>
    <col min="6676" max="6676" width="19.28515625" style="474" bestFit="1" customWidth="1"/>
    <col min="6677" max="6677" width="20.42578125" style="474" bestFit="1" customWidth="1"/>
    <col min="6678" max="6678" width="20.85546875" style="474" bestFit="1" customWidth="1"/>
    <col min="6679" max="6679" width="21.42578125" style="474" bestFit="1" customWidth="1"/>
    <col min="6680" max="6681" width="22.28515625" style="474" bestFit="1" customWidth="1"/>
    <col min="6682" max="6683" width="23.85546875" style="474" bestFit="1" customWidth="1"/>
    <col min="6684" max="6685" width="24.85546875" style="474" bestFit="1" customWidth="1"/>
    <col min="6686" max="6690" width="11.28515625" style="474" bestFit="1" customWidth="1"/>
    <col min="6691" max="6695" width="12.28515625" style="474" bestFit="1" customWidth="1"/>
    <col min="6696" max="6696" width="12" style="474" bestFit="1" customWidth="1"/>
    <col min="6697" max="6912" width="8.85546875" style="474"/>
    <col min="6913" max="6913" width="7.28515625" style="474" customWidth="1"/>
    <col min="6914" max="6914" width="41" style="474" customWidth="1"/>
    <col min="6915" max="6915" width="16" style="474" customWidth="1"/>
    <col min="6916" max="6916" width="16.140625" style="474" bestFit="1" customWidth="1"/>
    <col min="6917" max="6917" width="11.85546875" style="474" customWidth="1"/>
    <col min="6918" max="6918" width="12.42578125" style="474" bestFit="1" customWidth="1"/>
    <col min="6919" max="6920" width="13" style="474" bestFit="1" customWidth="1"/>
    <col min="6921" max="6921" width="12.7109375" style="474" bestFit="1" customWidth="1"/>
    <col min="6922" max="6922" width="13.42578125" style="474" bestFit="1" customWidth="1"/>
    <col min="6923" max="6923" width="13.7109375" style="474" bestFit="1" customWidth="1"/>
    <col min="6924" max="6924" width="14.5703125" style="474" bestFit="1" customWidth="1"/>
    <col min="6925" max="6925" width="14.85546875" style="474" bestFit="1" customWidth="1"/>
    <col min="6926" max="6926" width="17.140625" style="474" customWidth="1"/>
    <col min="6927" max="6927" width="16.42578125" style="474" bestFit="1" customWidth="1"/>
    <col min="6928" max="6928" width="17.140625" style="474" bestFit="1" customWidth="1"/>
    <col min="6929" max="6929" width="24.28515625" style="474" customWidth="1"/>
    <col min="6930" max="6930" width="18.28515625" style="474" bestFit="1" customWidth="1"/>
    <col min="6931" max="6931" width="18.5703125" style="474" bestFit="1" customWidth="1"/>
    <col min="6932" max="6932" width="19.28515625" style="474" bestFit="1" customWidth="1"/>
    <col min="6933" max="6933" width="20.42578125" style="474" bestFit="1" customWidth="1"/>
    <col min="6934" max="6934" width="20.85546875" style="474" bestFit="1" customWidth="1"/>
    <col min="6935" max="6935" width="21.42578125" style="474" bestFit="1" customWidth="1"/>
    <col min="6936" max="6937" width="22.28515625" style="474" bestFit="1" customWidth="1"/>
    <col min="6938" max="6939" width="23.85546875" style="474" bestFit="1" customWidth="1"/>
    <col min="6940" max="6941" width="24.85546875" style="474" bestFit="1" customWidth="1"/>
    <col min="6942" max="6946" width="11.28515625" style="474" bestFit="1" customWidth="1"/>
    <col min="6947" max="6951" width="12.28515625" style="474" bestFit="1" customWidth="1"/>
    <col min="6952" max="6952" width="12" style="474" bestFit="1" customWidth="1"/>
    <col min="6953" max="7168" width="8.85546875" style="474"/>
    <col min="7169" max="7169" width="7.28515625" style="474" customWidth="1"/>
    <col min="7170" max="7170" width="41" style="474" customWidth="1"/>
    <col min="7171" max="7171" width="16" style="474" customWidth="1"/>
    <col min="7172" max="7172" width="16.140625" style="474" bestFit="1" customWidth="1"/>
    <col min="7173" max="7173" width="11.85546875" style="474" customWidth="1"/>
    <col min="7174" max="7174" width="12.42578125" style="474" bestFit="1" customWidth="1"/>
    <col min="7175" max="7176" width="13" style="474" bestFit="1" customWidth="1"/>
    <col min="7177" max="7177" width="12.7109375" style="474" bestFit="1" customWidth="1"/>
    <col min="7178" max="7178" width="13.42578125" style="474" bestFit="1" customWidth="1"/>
    <col min="7179" max="7179" width="13.7109375" style="474" bestFit="1" customWidth="1"/>
    <col min="7180" max="7180" width="14.5703125" style="474" bestFit="1" customWidth="1"/>
    <col min="7181" max="7181" width="14.85546875" style="474" bestFit="1" customWidth="1"/>
    <col min="7182" max="7182" width="17.140625" style="474" customWidth="1"/>
    <col min="7183" max="7183" width="16.42578125" style="474" bestFit="1" customWidth="1"/>
    <col min="7184" max="7184" width="17.140625" style="474" bestFit="1" customWidth="1"/>
    <col min="7185" max="7185" width="24.28515625" style="474" customWidth="1"/>
    <col min="7186" max="7186" width="18.28515625" style="474" bestFit="1" customWidth="1"/>
    <col min="7187" max="7187" width="18.5703125" style="474" bestFit="1" customWidth="1"/>
    <col min="7188" max="7188" width="19.28515625" style="474" bestFit="1" customWidth="1"/>
    <col min="7189" max="7189" width="20.42578125" style="474" bestFit="1" customWidth="1"/>
    <col min="7190" max="7190" width="20.85546875" style="474" bestFit="1" customWidth="1"/>
    <col min="7191" max="7191" width="21.42578125" style="474" bestFit="1" customWidth="1"/>
    <col min="7192" max="7193" width="22.28515625" style="474" bestFit="1" customWidth="1"/>
    <col min="7194" max="7195" width="23.85546875" style="474" bestFit="1" customWidth="1"/>
    <col min="7196" max="7197" width="24.85546875" style="474" bestFit="1" customWidth="1"/>
    <col min="7198" max="7202" width="11.28515625" style="474" bestFit="1" customWidth="1"/>
    <col min="7203" max="7207" width="12.28515625" style="474" bestFit="1" customWidth="1"/>
    <col min="7208" max="7208" width="12" style="474" bestFit="1" customWidth="1"/>
    <col min="7209" max="7424" width="8.85546875" style="474"/>
    <col min="7425" max="7425" width="7.28515625" style="474" customWidth="1"/>
    <col min="7426" max="7426" width="41" style="474" customWidth="1"/>
    <col min="7427" max="7427" width="16" style="474" customWidth="1"/>
    <col min="7428" max="7428" width="16.140625" style="474" bestFit="1" customWidth="1"/>
    <col min="7429" max="7429" width="11.85546875" style="474" customWidth="1"/>
    <col min="7430" max="7430" width="12.42578125" style="474" bestFit="1" customWidth="1"/>
    <col min="7431" max="7432" width="13" style="474" bestFit="1" customWidth="1"/>
    <col min="7433" max="7433" width="12.7109375" style="474" bestFit="1" customWidth="1"/>
    <col min="7434" max="7434" width="13.42578125" style="474" bestFit="1" customWidth="1"/>
    <col min="7435" max="7435" width="13.7109375" style="474" bestFit="1" customWidth="1"/>
    <col min="7436" max="7436" width="14.5703125" style="474" bestFit="1" customWidth="1"/>
    <col min="7437" max="7437" width="14.85546875" style="474" bestFit="1" customWidth="1"/>
    <col min="7438" max="7438" width="17.140625" style="474" customWidth="1"/>
    <col min="7439" max="7439" width="16.42578125" style="474" bestFit="1" customWidth="1"/>
    <col min="7440" max="7440" width="17.140625" style="474" bestFit="1" customWidth="1"/>
    <col min="7441" max="7441" width="24.28515625" style="474" customWidth="1"/>
    <col min="7442" max="7442" width="18.28515625" style="474" bestFit="1" customWidth="1"/>
    <col min="7443" max="7443" width="18.5703125" style="474" bestFit="1" customWidth="1"/>
    <col min="7444" max="7444" width="19.28515625" style="474" bestFit="1" customWidth="1"/>
    <col min="7445" max="7445" width="20.42578125" style="474" bestFit="1" customWidth="1"/>
    <col min="7446" max="7446" width="20.85546875" style="474" bestFit="1" customWidth="1"/>
    <col min="7447" max="7447" width="21.42578125" style="474" bestFit="1" customWidth="1"/>
    <col min="7448" max="7449" width="22.28515625" style="474" bestFit="1" customWidth="1"/>
    <col min="7450" max="7451" width="23.85546875" style="474" bestFit="1" customWidth="1"/>
    <col min="7452" max="7453" width="24.85546875" style="474" bestFit="1" customWidth="1"/>
    <col min="7454" max="7458" width="11.28515625" style="474" bestFit="1" customWidth="1"/>
    <col min="7459" max="7463" width="12.28515625" style="474" bestFit="1" customWidth="1"/>
    <col min="7464" max="7464" width="12" style="474" bestFit="1" customWidth="1"/>
    <col min="7465" max="7680" width="8.85546875" style="474"/>
    <col min="7681" max="7681" width="7.28515625" style="474" customWidth="1"/>
    <col min="7682" max="7682" width="41" style="474" customWidth="1"/>
    <col min="7683" max="7683" width="16" style="474" customWidth="1"/>
    <col min="7684" max="7684" width="16.140625" style="474" bestFit="1" customWidth="1"/>
    <col min="7685" max="7685" width="11.85546875" style="474" customWidth="1"/>
    <col min="7686" max="7686" width="12.42578125" style="474" bestFit="1" customWidth="1"/>
    <col min="7687" max="7688" width="13" style="474" bestFit="1" customWidth="1"/>
    <col min="7689" max="7689" width="12.7109375" style="474" bestFit="1" customWidth="1"/>
    <col min="7690" max="7690" width="13.42578125" style="474" bestFit="1" customWidth="1"/>
    <col min="7691" max="7691" width="13.7109375" style="474" bestFit="1" customWidth="1"/>
    <col min="7692" max="7692" width="14.5703125" style="474" bestFit="1" customWidth="1"/>
    <col min="7693" max="7693" width="14.85546875" style="474" bestFit="1" customWidth="1"/>
    <col min="7694" max="7694" width="17.140625" style="474" customWidth="1"/>
    <col min="7695" max="7695" width="16.42578125" style="474" bestFit="1" customWidth="1"/>
    <col min="7696" max="7696" width="17.140625" style="474" bestFit="1" customWidth="1"/>
    <col min="7697" max="7697" width="24.28515625" style="474" customWidth="1"/>
    <col min="7698" max="7698" width="18.28515625" style="474" bestFit="1" customWidth="1"/>
    <col min="7699" max="7699" width="18.5703125" style="474" bestFit="1" customWidth="1"/>
    <col min="7700" max="7700" width="19.28515625" style="474" bestFit="1" customWidth="1"/>
    <col min="7701" max="7701" width="20.42578125" style="474" bestFit="1" customWidth="1"/>
    <col min="7702" max="7702" width="20.85546875" style="474" bestFit="1" customWidth="1"/>
    <col min="7703" max="7703" width="21.42578125" style="474" bestFit="1" customWidth="1"/>
    <col min="7704" max="7705" width="22.28515625" style="474" bestFit="1" customWidth="1"/>
    <col min="7706" max="7707" width="23.85546875" style="474" bestFit="1" customWidth="1"/>
    <col min="7708" max="7709" width="24.85546875" style="474" bestFit="1" customWidth="1"/>
    <col min="7710" max="7714" width="11.28515625" style="474" bestFit="1" customWidth="1"/>
    <col min="7715" max="7719" width="12.28515625" style="474" bestFit="1" customWidth="1"/>
    <col min="7720" max="7720" width="12" style="474" bestFit="1" customWidth="1"/>
    <col min="7721" max="7936" width="8.85546875" style="474"/>
    <col min="7937" max="7937" width="7.28515625" style="474" customWidth="1"/>
    <col min="7938" max="7938" width="41" style="474" customWidth="1"/>
    <col min="7939" max="7939" width="16" style="474" customWidth="1"/>
    <col min="7940" max="7940" width="16.140625" style="474" bestFit="1" customWidth="1"/>
    <col min="7941" max="7941" width="11.85546875" style="474" customWidth="1"/>
    <col min="7942" max="7942" width="12.42578125" style="474" bestFit="1" customWidth="1"/>
    <col min="7943" max="7944" width="13" style="474" bestFit="1" customWidth="1"/>
    <col min="7945" max="7945" width="12.7109375" style="474" bestFit="1" customWidth="1"/>
    <col min="7946" max="7946" width="13.42578125" style="474" bestFit="1" customWidth="1"/>
    <col min="7947" max="7947" width="13.7109375" style="474" bestFit="1" customWidth="1"/>
    <col min="7948" max="7948" width="14.5703125" style="474" bestFit="1" customWidth="1"/>
    <col min="7949" max="7949" width="14.85546875" style="474" bestFit="1" customWidth="1"/>
    <col min="7950" max="7950" width="17.140625" style="474" customWidth="1"/>
    <col min="7951" max="7951" width="16.42578125" style="474" bestFit="1" customWidth="1"/>
    <col min="7952" max="7952" width="17.140625" style="474" bestFit="1" customWidth="1"/>
    <col min="7953" max="7953" width="24.28515625" style="474" customWidth="1"/>
    <col min="7954" max="7954" width="18.28515625" style="474" bestFit="1" customWidth="1"/>
    <col min="7955" max="7955" width="18.5703125" style="474" bestFit="1" customWidth="1"/>
    <col min="7956" max="7956" width="19.28515625" style="474" bestFit="1" customWidth="1"/>
    <col min="7957" max="7957" width="20.42578125" style="474" bestFit="1" customWidth="1"/>
    <col min="7958" max="7958" width="20.85546875" style="474" bestFit="1" customWidth="1"/>
    <col min="7959" max="7959" width="21.42578125" style="474" bestFit="1" customWidth="1"/>
    <col min="7960" max="7961" width="22.28515625" style="474" bestFit="1" customWidth="1"/>
    <col min="7962" max="7963" width="23.85546875" style="474" bestFit="1" customWidth="1"/>
    <col min="7964" max="7965" width="24.85546875" style="474" bestFit="1" customWidth="1"/>
    <col min="7966" max="7970" width="11.28515625" style="474" bestFit="1" customWidth="1"/>
    <col min="7971" max="7975" width="12.28515625" style="474" bestFit="1" customWidth="1"/>
    <col min="7976" max="7976" width="12" style="474" bestFit="1" customWidth="1"/>
    <col min="7977" max="8192" width="8.85546875" style="474"/>
    <col min="8193" max="8193" width="7.28515625" style="474" customWidth="1"/>
    <col min="8194" max="8194" width="41" style="474" customWidth="1"/>
    <col min="8195" max="8195" width="16" style="474" customWidth="1"/>
    <col min="8196" max="8196" width="16.140625" style="474" bestFit="1" customWidth="1"/>
    <col min="8197" max="8197" width="11.85546875" style="474" customWidth="1"/>
    <col min="8198" max="8198" width="12.42578125" style="474" bestFit="1" customWidth="1"/>
    <col min="8199" max="8200" width="13" style="474" bestFit="1" customWidth="1"/>
    <col min="8201" max="8201" width="12.7109375" style="474" bestFit="1" customWidth="1"/>
    <col min="8202" max="8202" width="13.42578125" style="474" bestFit="1" customWidth="1"/>
    <col min="8203" max="8203" width="13.7109375" style="474" bestFit="1" customWidth="1"/>
    <col min="8204" max="8204" width="14.5703125" style="474" bestFit="1" customWidth="1"/>
    <col min="8205" max="8205" width="14.85546875" style="474" bestFit="1" customWidth="1"/>
    <col min="8206" max="8206" width="17.140625" style="474" customWidth="1"/>
    <col min="8207" max="8207" width="16.42578125" style="474" bestFit="1" customWidth="1"/>
    <col min="8208" max="8208" width="17.140625" style="474" bestFit="1" customWidth="1"/>
    <col min="8209" max="8209" width="24.28515625" style="474" customWidth="1"/>
    <col min="8210" max="8210" width="18.28515625" style="474" bestFit="1" customWidth="1"/>
    <col min="8211" max="8211" width="18.5703125" style="474" bestFit="1" customWidth="1"/>
    <col min="8212" max="8212" width="19.28515625" style="474" bestFit="1" customWidth="1"/>
    <col min="8213" max="8213" width="20.42578125" style="474" bestFit="1" customWidth="1"/>
    <col min="8214" max="8214" width="20.85546875" style="474" bestFit="1" customWidth="1"/>
    <col min="8215" max="8215" width="21.42578125" style="474" bestFit="1" customWidth="1"/>
    <col min="8216" max="8217" width="22.28515625" style="474" bestFit="1" customWidth="1"/>
    <col min="8218" max="8219" width="23.85546875" style="474" bestFit="1" customWidth="1"/>
    <col min="8220" max="8221" width="24.85546875" style="474" bestFit="1" customWidth="1"/>
    <col min="8222" max="8226" width="11.28515625" style="474" bestFit="1" customWidth="1"/>
    <col min="8227" max="8231" width="12.28515625" style="474" bestFit="1" customWidth="1"/>
    <col min="8232" max="8232" width="12" style="474" bestFit="1" customWidth="1"/>
    <col min="8233" max="8448" width="8.85546875" style="474"/>
    <col min="8449" max="8449" width="7.28515625" style="474" customWidth="1"/>
    <col min="8450" max="8450" width="41" style="474" customWidth="1"/>
    <col min="8451" max="8451" width="16" style="474" customWidth="1"/>
    <col min="8452" max="8452" width="16.140625" style="474" bestFit="1" customWidth="1"/>
    <col min="8453" max="8453" width="11.85546875" style="474" customWidth="1"/>
    <col min="8454" max="8454" width="12.42578125" style="474" bestFit="1" customWidth="1"/>
    <col min="8455" max="8456" width="13" style="474" bestFit="1" customWidth="1"/>
    <col min="8457" max="8457" width="12.7109375" style="474" bestFit="1" customWidth="1"/>
    <col min="8458" max="8458" width="13.42578125" style="474" bestFit="1" customWidth="1"/>
    <col min="8459" max="8459" width="13.7109375" style="474" bestFit="1" customWidth="1"/>
    <col min="8460" max="8460" width="14.5703125" style="474" bestFit="1" customWidth="1"/>
    <col min="8461" max="8461" width="14.85546875" style="474" bestFit="1" customWidth="1"/>
    <col min="8462" max="8462" width="17.140625" style="474" customWidth="1"/>
    <col min="8463" max="8463" width="16.42578125" style="474" bestFit="1" customWidth="1"/>
    <col min="8464" max="8464" width="17.140625" style="474" bestFit="1" customWidth="1"/>
    <col min="8465" max="8465" width="24.28515625" style="474" customWidth="1"/>
    <col min="8466" max="8466" width="18.28515625" style="474" bestFit="1" customWidth="1"/>
    <col min="8467" max="8467" width="18.5703125" style="474" bestFit="1" customWidth="1"/>
    <col min="8468" max="8468" width="19.28515625" style="474" bestFit="1" customWidth="1"/>
    <col min="8469" max="8469" width="20.42578125" style="474" bestFit="1" customWidth="1"/>
    <col min="8470" max="8470" width="20.85546875" style="474" bestFit="1" customWidth="1"/>
    <col min="8471" max="8471" width="21.42578125" style="474" bestFit="1" customWidth="1"/>
    <col min="8472" max="8473" width="22.28515625" style="474" bestFit="1" customWidth="1"/>
    <col min="8474" max="8475" width="23.85546875" style="474" bestFit="1" customWidth="1"/>
    <col min="8476" max="8477" width="24.85546875" style="474" bestFit="1" customWidth="1"/>
    <col min="8478" max="8482" width="11.28515625" style="474" bestFit="1" customWidth="1"/>
    <col min="8483" max="8487" width="12.28515625" style="474" bestFit="1" customWidth="1"/>
    <col min="8488" max="8488" width="12" style="474" bestFit="1" customWidth="1"/>
    <col min="8489" max="8704" width="8.85546875" style="474"/>
    <col min="8705" max="8705" width="7.28515625" style="474" customWidth="1"/>
    <col min="8706" max="8706" width="41" style="474" customWidth="1"/>
    <col min="8707" max="8707" width="16" style="474" customWidth="1"/>
    <col min="8708" max="8708" width="16.140625" style="474" bestFit="1" customWidth="1"/>
    <col min="8709" max="8709" width="11.85546875" style="474" customWidth="1"/>
    <col min="8710" max="8710" width="12.42578125" style="474" bestFit="1" customWidth="1"/>
    <col min="8711" max="8712" width="13" style="474" bestFit="1" customWidth="1"/>
    <col min="8713" max="8713" width="12.7109375" style="474" bestFit="1" customWidth="1"/>
    <col min="8714" max="8714" width="13.42578125" style="474" bestFit="1" customWidth="1"/>
    <col min="8715" max="8715" width="13.7109375" style="474" bestFit="1" customWidth="1"/>
    <col min="8716" max="8716" width="14.5703125" style="474" bestFit="1" customWidth="1"/>
    <col min="8717" max="8717" width="14.85546875" style="474" bestFit="1" customWidth="1"/>
    <col min="8718" max="8718" width="17.140625" style="474" customWidth="1"/>
    <col min="8719" max="8719" width="16.42578125" style="474" bestFit="1" customWidth="1"/>
    <col min="8720" max="8720" width="17.140625" style="474" bestFit="1" customWidth="1"/>
    <col min="8721" max="8721" width="24.28515625" style="474" customWidth="1"/>
    <col min="8722" max="8722" width="18.28515625" style="474" bestFit="1" customWidth="1"/>
    <col min="8723" max="8723" width="18.5703125" style="474" bestFit="1" customWidth="1"/>
    <col min="8724" max="8724" width="19.28515625" style="474" bestFit="1" customWidth="1"/>
    <col min="8725" max="8725" width="20.42578125" style="474" bestFit="1" customWidth="1"/>
    <col min="8726" max="8726" width="20.85546875" style="474" bestFit="1" customWidth="1"/>
    <col min="8727" max="8727" width="21.42578125" style="474" bestFit="1" customWidth="1"/>
    <col min="8728" max="8729" width="22.28515625" style="474" bestFit="1" customWidth="1"/>
    <col min="8730" max="8731" width="23.85546875" style="474" bestFit="1" customWidth="1"/>
    <col min="8732" max="8733" width="24.85546875" style="474" bestFit="1" customWidth="1"/>
    <col min="8734" max="8738" width="11.28515625" style="474" bestFit="1" customWidth="1"/>
    <col min="8739" max="8743" width="12.28515625" style="474" bestFit="1" customWidth="1"/>
    <col min="8744" max="8744" width="12" style="474" bestFit="1" customWidth="1"/>
    <col min="8745" max="8960" width="8.85546875" style="474"/>
    <col min="8961" max="8961" width="7.28515625" style="474" customWidth="1"/>
    <col min="8962" max="8962" width="41" style="474" customWidth="1"/>
    <col min="8963" max="8963" width="16" style="474" customWidth="1"/>
    <col min="8964" max="8964" width="16.140625" style="474" bestFit="1" customWidth="1"/>
    <col min="8965" max="8965" width="11.85546875" style="474" customWidth="1"/>
    <col min="8966" max="8966" width="12.42578125" style="474" bestFit="1" customWidth="1"/>
    <col min="8967" max="8968" width="13" style="474" bestFit="1" customWidth="1"/>
    <col min="8969" max="8969" width="12.7109375" style="474" bestFit="1" customWidth="1"/>
    <col min="8970" max="8970" width="13.42578125" style="474" bestFit="1" customWidth="1"/>
    <col min="8971" max="8971" width="13.7109375" style="474" bestFit="1" customWidth="1"/>
    <col min="8972" max="8972" width="14.5703125" style="474" bestFit="1" customWidth="1"/>
    <col min="8973" max="8973" width="14.85546875" style="474" bestFit="1" customWidth="1"/>
    <col min="8974" max="8974" width="17.140625" style="474" customWidth="1"/>
    <col min="8975" max="8975" width="16.42578125" style="474" bestFit="1" customWidth="1"/>
    <col min="8976" max="8976" width="17.140625" style="474" bestFit="1" customWidth="1"/>
    <col min="8977" max="8977" width="24.28515625" style="474" customWidth="1"/>
    <col min="8978" max="8978" width="18.28515625" style="474" bestFit="1" customWidth="1"/>
    <col min="8979" max="8979" width="18.5703125" style="474" bestFit="1" customWidth="1"/>
    <col min="8980" max="8980" width="19.28515625" style="474" bestFit="1" customWidth="1"/>
    <col min="8981" max="8981" width="20.42578125" style="474" bestFit="1" customWidth="1"/>
    <col min="8982" max="8982" width="20.85546875" style="474" bestFit="1" customWidth="1"/>
    <col min="8983" max="8983" width="21.42578125" style="474" bestFit="1" customWidth="1"/>
    <col min="8984" max="8985" width="22.28515625" style="474" bestFit="1" customWidth="1"/>
    <col min="8986" max="8987" width="23.85546875" style="474" bestFit="1" customWidth="1"/>
    <col min="8988" max="8989" width="24.85546875" style="474" bestFit="1" customWidth="1"/>
    <col min="8990" max="8994" width="11.28515625" style="474" bestFit="1" customWidth="1"/>
    <col min="8995" max="8999" width="12.28515625" style="474" bestFit="1" customWidth="1"/>
    <col min="9000" max="9000" width="12" style="474" bestFit="1" customWidth="1"/>
    <col min="9001" max="9216" width="8.85546875" style="474"/>
    <col min="9217" max="9217" width="7.28515625" style="474" customWidth="1"/>
    <col min="9218" max="9218" width="41" style="474" customWidth="1"/>
    <col min="9219" max="9219" width="16" style="474" customWidth="1"/>
    <col min="9220" max="9220" width="16.140625" style="474" bestFit="1" customWidth="1"/>
    <col min="9221" max="9221" width="11.85546875" style="474" customWidth="1"/>
    <col min="9222" max="9222" width="12.42578125" style="474" bestFit="1" customWidth="1"/>
    <col min="9223" max="9224" width="13" style="474" bestFit="1" customWidth="1"/>
    <col min="9225" max="9225" width="12.7109375" style="474" bestFit="1" customWidth="1"/>
    <col min="9226" max="9226" width="13.42578125" style="474" bestFit="1" customWidth="1"/>
    <col min="9227" max="9227" width="13.7109375" style="474" bestFit="1" customWidth="1"/>
    <col min="9228" max="9228" width="14.5703125" style="474" bestFit="1" customWidth="1"/>
    <col min="9229" max="9229" width="14.85546875" style="474" bestFit="1" customWidth="1"/>
    <col min="9230" max="9230" width="17.140625" style="474" customWidth="1"/>
    <col min="9231" max="9231" width="16.42578125" style="474" bestFit="1" customWidth="1"/>
    <col min="9232" max="9232" width="17.140625" style="474" bestFit="1" customWidth="1"/>
    <col min="9233" max="9233" width="24.28515625" style="474" customWidth="1"/>
    <col min="9234" max="9234" width="18.28515625" style="474" bestFit="1" customWidth="1"/>
    <col min="9235" max="9235" width="18.5703125" style="474" bestFit="1" customWidth="1"/>
    <col min="9236" max="9236" width="19.28515625" style="474" bestFit="1" customWidth="1"/>
    <col min="9237" max="9237" width="20.42578125" style="474" bestFit="1" customWidth="1"/>
    <col min="9238" max="9238" width="20.85546875" style="474" bestFit="1" customWidth="1"/>
    <col min="9239" max="9239" width="21.42578125" style="474" bestFit="1" customWidth="1"/>
    <col min="9240" max="9241" width="22.28515625" style="474" bestFit="1" customWidth="1"/>
    <col min="9242" max="9243" width="23.85546875" style="474" bestFit="1" customWidth="1"/>
    <col min="9244" max="9245" width="24.85546875" style="474" bestFit="1" customWidth="1"/>
    <col min="9246" max="9250" width="11.28515625" style="474" bestFit="1" customWidth="1"/>
    <col min="9251" max="9255" width="12.28515625" style="474" bestFit="1" customWidth="1"/>
    <col min="9256" max="9256" width="12" style="474" bestFit="1" customWidth="1"/>
    <col min="9257" max="9472" width="8.85546875" style="474"/>
    <col min="9473" max="9473" width="7.28515625" style="474" customWidth="1"/>
    <col min="9474" max="9474" width="41" style="474" customWidth="1"/>
    <col min="9475" max="9475" width="16" style="474" customWidth="1"/>
    <col min="9476" max="9476" width="16.140625" style="474" bestFit="1" customWidth="1"/>
    <col min="9477" max="9477" width="11.85546875" style="474" customWidth="1"/>
    <col min="9478" max="9478" width="12.42578125" style="474" bestFit="1" customWidth="1"/>
    <col min="9479" max="9480" width="13" style="474" bestFit="1" customWidth="1"/>
    <col min="9481" max="9481" width="12.7109375" style="474" bestFit="1" customWidth="1"/>
    <col min="9482" max="9482" width="13.42578125" style="474" bestFit="1" customWidth="1"/>
    <col min="9483" max="9483" width="13.7109375" style="474" bestFit="1" customWidth="1"/>
    <col min="9484" max="9484" width="14.5703125" style="474" bestFit="1" customWidth="1"/>
    <col min="9485" max="9485" width="14.85546875" style="474" bestFit="1" customWidth="1"/>
    <col min="9486" max="9486" width="17.140625" style="474" customWidth="1"/>
    <col min="9487" max="9487" width="16.42578125" style="474" bestFit="1" customWidth="1"/>
    <col min="9488" max="9488" width="17.140625" style="474" bestFit="1" customWidth="1"/>
    <col min="9489" max="9489" width="24.28515625" style="474" customWidth="1"/>
    <col min="9490" max="9490" width="18.28515625" style="474" bestFit="1" customWidth="1"/>
    <col min="9491" max="9491" width="18.5703125" style="474" bestFit="1" customWidth="1"/>
    <col min="9492" max="9492" width="19.28515625" style="474" bestFit="1" customWidth="1"/>
    <col min="9493" max="9493" width="20.42578125" style="474" bestFit="1" customWidth="1"/>
    <col min="9494" max="9494" width="20.85546875" style="474" bestFit="1" customWidth="1"/>
    <col min="9495" max="9495" width="21.42578125" style="474" bestFit="1" customWidth="1"/>
    <col min="9496" max="9497" width="22.28515625" style="474" bestFit="1" customWidth="1"/>
    <col min="9498" max="9499" width="23.85546875" style="474" bestFit="1" customWidth="1"/>
    <col min="9500" max="9501" width="24.85546875" style="474" bestFit="1" customWidth="1"/>
    <col min="9502" max="9506" width="11.28515625" style="474" bestFit="1" customWidth="1"/>
    <col min="9507" max="9511" width="12.28515625" style="474" bestFit="1" customWidth="1"/>
    <col min="9512" max="9512" width="12" style="474" bestFit="1" customWidth="1"/>
    <col min="9513" max="9728" width="8.85546875" style="474"/>
    <col min="9729" max="9729" width="7.28515625" style="474" customWidth="1"/>
    <col min="9730" max="9730" width="41" style="474" customWidth="1"/>
    <col min="9731" max="9731" width="16" style="474" customWidth="1"/>
    <col min="9732" max="9732" width="16.140625" style="474" bestFit="1" customWidth="1"/>
    <col min="9733" max="9733" width="11.85546875" style="474" customWidth="1"/>
    <col min="9734" max="9734" width="12.42578125" style="474" bestFit="1" customWidth="1"/>
    <col min="9735" max="9736" width="13" style="474" bestFit="1" customWidth="1"/>
    <col min="9737" max="9737" width="12.7109375" style="474" bestFit="1" customWidth="1"/>
    <col min="9738" max="9738" width="13.42578125" style="474" bestFit="1" customWidth="1"/>
    <col min="9739" max="9739" width="13.7109375" style="474" bestFit="1" customWidth="1"/>
    <col min="9740" max="9740" width="14.5703125" style="474" bestFit="1" customWidth="1"/>
    <col min="9741" max="9741" width="14.85546875" style="474" bestFit="1" customWidth="1"/>
    <col min="9742" max="9742" width="17.140625" style="474" customWidth="1"/>
    <col min="9743" max="9743" width="16.42578125" style="474" bestFit="1" customWidth="1"/>
    <col min="9744" max="9744" width="17.140625" style="474" bestFit="1" customWidth="1"/>
    <col min="9745" max="9745" width="24.28515625" style="474" customWidth="1"/>
    <col min="9746" max="9746" width="18.28515625" style="474" bestFit="1" customWidth="1"/>
    <col min="9747" max="9747" width="18.5703125" style="474" bestFit="1" customWidth="1"/>
    <col min="9748" max="9748" width="19.28515625" style="474" bestFit="1" customWidth="1"/>
    <col min="9749" max="9749" width="20.42578125" style="474" bestFit="1" customWidth="1"/>
    <col min="9750" max="9750" width="20.85546875" style="474" bestFit="1" customWidth="1"/>
    <col min="9751" max="9751" width="21.42578125" style="474" bestFit="1" customWidth="1"/>
    <col min="9752" max="9753" width="22.28515625" style="474" bestFit="1" customWidth="1"/>
    <col min="9754" max="9755" width="23.85546875" style="474" bestFit="1" customWidth="1"/>
    <col min="9756" max="9757" width="24.85546875" style="474" bestFit="1" customWidth="1"/>
    <col min="9758" max="9762" width="11.28515625" style="474" bestFit="1" customWidth="1"/>
    <col min="9763" max="9767" width="12.28515625" style="474" bestFit="1" customWidth="1"/>
    <col min="9768" max="9768" width="12" style="474" bestFit="1" customWidth="1"/>
    <col min="9769" max="9984" width="8.85546875" style="474"/>
    <col min="9985" max="9985" width="7.28515625" style="474" customWidth="1"/>
    <col min="9986" max="9986" width="41" style="474" customWidth="1"/>
    <col min="9987" max="9987" width="16" style="474" customWidth="1"/>
    <col min="9988" max="9988" width="16.140625" style="474" bestFit="1" customWidth="1"/>
    <col min="9989" max="9989" width="11.85546875" style="474" customWidth="1"/>
    <col min="9990" max="9990" width="12.42578125" style="474" bestFit="1" customWidth="1"/>
    <col min="9991" max="9992" width="13" style="474" bestFit="1" customWidth="1"/>
    <col min="9993" max="9993" width="12.7109375" style="474" bestFit="1" customWidth="1"/>
    <col min="9994" max="9994" width="13.42578125" style="474" bestFit="1" customWidth="1"/>
    <col min="9995" max="9995" width="13.7109375" style="474" bestFit="1" customWidth="1"/>
    <col min="9996" max="9996" width="14.5703125" style="474" bestFit="1" customWidth="1"/>
    <col min="9997" max="9997" width="14.85546875" style="474" bestFit="1" customWidth="1"/>
    <col min="9998" max="9998" width="17.140625" style="474" customWidth="1"/>
    <col min="9999" max="9999" width="16.42578125" style="474" bestFit="1" customWidth="1"/>
    <col min="10000" max="10000" width="17.140625" style="474" bestFit="1" customWidth="1"/>
    <col min="10001" max="10001" width="24.28515625" style="474" customWidth="1"/>
    <col min="10002" max="10002" width="18.28515625" style="474" bestFit="1" customWidth="1"/>
    <col min="10003" max="10003" width="18.5703125" style="474" bestFit="1" customWidth="1"/>
    <col min="10004" max="10004" width="19.28515625" style="474" bestFit="1" customWidth="1"/>
    <col min="10005" max="10005" width="20.42578125" style="474" bestFit="1" customWidth="1"/>
    <col min="10006" max="10006" width="20.85546875" style="474" bestFit="1" customWidth="1"/>
    <col min="10007" max="10007" width="21.42578125" style="474" bestFit="1" customWidth="1"/>
    <col min="10008" max="10009" width="22.28515625" style="474" bestFit="1" customWidth="1"/>
    <col min="10010" max="10011" width="23.85546875" style="474" bestFit="1" customWidth="1"/>
    <col min="10012" max="10013" width="24.85546875" style="474" bestFit="1" customWidth="1"/>
    <col min="10014" max="10018" width="11.28515625" style="474" bestFit="1" customWidth="1"/>
    <col min="10019" max="10023" width="12.28515625" style="474" bestFit="1" customWidth="1"/>
    <col min="10024" max="10024" width="12" style="474" bestFit="1" customWidth="1"/>
    <col min="10025" max="10240" width="8.85546875" style="474"/>
    <col min="10241" max="10241" width="7.28515625" style="474" customWidth="1"/>
    <col min="10242" max="10242" width="41" style="474" customWidth="1"/>
    <col min="10243" max="10243" width="16" style="474" customWidth="1"/>
    <col min="10244" max="10244" width="16.140625" style="474" bestFit="1" customWidth="1"/>
    <col min="10245" max="10245" width="11.85546875" style="474" customWidth="1"/>
    <col min="10246" max="10246" width="12.42578125" style="474" bestFit="1" customWidth="1"/>
    <col min="10247" max="10248" width="13" style="474" bestFit="1" customWidth="1"/>
    <col min="10249" max="10249" width="12.7109375" style="474" bestFit="1" customWidth="1"/>
    <col min="10250" max="10250" width="13.42578125" style="474" bestFit="1" customWidth="1"/>
    <col min="10251" max="10251" width="13.7109375" style="474" bestFit="1" customWidth="1"/>
    <col min="10252" max="10252" width="14.5703125" style="474" bestFit="1" customWidth="1"/>
    <col min="10253" max="10253" width="14.85546875" style="474" bestFit="1" customWidth="1"/>
    <col min="10254" max="10254" width="17.140625" style="474" customWidth="1"/>
    <col min="10255" max="10255" width="16.42578125" style="474" bestFit="1" customWidth="1"/>
    <col min="10256" max="10256" width="17.140625" style="474" bestFit="1" customWidth="1"/>
    <col min="10257" max="10257" width="24.28515625" style="474" customWidth="1"/>
    <col min="10258" max="10258" width="18.28515625" style="474" bestFit="1" customWidth="1"/>
    <col min="10259" max="10259" width="18.5703125" style="474" bestFit="1" customWidth="1"/>
    <col min="10260" max="10260" width="19.28515625" style="474" bestFit="1" customWidth="1"/>
    <col min="10261" max="10261" width="20.42578125" style="474" bestFit="1" customWidth="1"/>
    <col min="10262" max="10262" width="20.85546875" style="474" bestFit="1" customWidth="1"/>
    <col min="10263" max="10263" width="21.42578125" style="474" bestFit="1" customWidth="1"/>
    <col min="10264" max="10265" width="22.28515625" style="474" bestFit="1" customWidth="1"/>
    <col min="10266" max="10267" width="23.85546875" style="474" bestFit="1" customWidth="1"/>
    <col min="10268" max="10269" width="24.85546875" style="474" bestFit="1" customWidth="1"/>
    <col min="10270" max="10274" width="11.28515625" style="474" bestFit="1" customWidth="1"/>
    <col min="10275" max="10279" width="12.28515625" style="474" bestFit="1" customWidth="1"/>
    <col min="10280" max="10280" width="12" style="474" bestFit="1" customWidth="1"/>
    <col min="10281" max="10496" width="8.85546875" style="474"/>
    <col min="10497" max="10497" width="7.28515625" style="474" customWidth="1"/>
    <col min="10498" max="10498" width="41" style="474" customWidth="1"/>
    <col min="10499" max="10499" width="16" style="474" customWidth="1"/>
    <col min="10500" max="10500" width="16.140625" style="474" bestFit="1" customWidth="1"/>
    <col min="10501" max="10501" width="11.85546875" style="474" customWidth="1"/>
    <col min="10502" max="10502" width="12.42578125" style="474" bestFit="1" customWidth="1"/>
    <col min="10503" max="10504" width="13" style="474" bestFit="1" customWidth="1"/>
    <col min="10505" max="10505" width="12.7109375" style="474" bestFit="1" customWidth="1"/>
    <col min="10506" max="10506" width="13.42578125" style="474" bestFit="1" customWidth="1"/>
    <col min="10507" max="10507" width="13.7109375" style="474" bestFit="1" customWidth="1"/>
    <col min="10508" max="10508" width="14.5703125" style="474" bestFit="1" customWidth="1"/>
    <col min="10509" max="10509" width="14.85546875" style="474" bestFit="1" customWidth="1"/>
    <col min="10510" max="10510" width="17.140625" style="474" customWidth="1"/>
    <col min="10511" max="10511" width="16.42578125" style="474" bestFit="1" customWidth="1"/>
    <col min="10512" max="10512" width="17.140625" style="474" bestFit="1" customWidth="1"/>
    <col min="10513" max="10513" width="24.28515625" style="474" customWidth="1"/>
    <col min="10514" max="10514" width="18.28515625" style="474" bestFit="1" customWidth="1"/>
    <col min="10515" max="10515" width="18.5703125" style="474" bestFit="1" customWidth="1"/>
    <col min="10516" max="10516" width="19.28515625" style="474" bestFit="1" customWidth="1"/>
    <col min="10517" max="10517" width="20.42578125" style="474" bestFit="1" customWidth="1"/>
    <col min="10518" max="10518" width="20.85546875" style="474" bestFit="1" customWidth="1"/>
    <col min="10519" max="10519" width="21.42578125" style="474" bestFit="1" customWidth="1"/>
    <col min="10520" max="10521" width="22.28515625" style="474" bestFit="1" customWidth="1"/>
    <col min="10522" max="10523" width="23.85546875" style="474" bestFit="1" customWidth="1"/>
    <col min="10524" max="10525" width="24.85546875" style="474" bestFit="1" customWidth="1"/>
    <col min="10526" max="10530" width="11.28515625" style="474" bestFit="1" customWidth="1"/>
    <col min="10531" max="10535" width="12.28515625" style="474" bestFit="1" customWidth="1"/>
    <col min="10536" max="10536" width="12" style="474" bestFit="1" customWidth="1"/>
    <col min="10537" max="10752" width="8.85546875" style="474"/>
    <col min="10753" max="10753" width="7.28515625" style="474" customWidth="1"/>
    <col min="10754" max="10754" width="41" style="474" customWidth="1"/>
    <col min="10755" max="10755" width="16" style="474" customWidth="1"/>
    <col min="10756" max="10756" width="16.140625" style="474" bestFit="1" customWidth="1"/>
    <col min="10757" max="10757" width="11.85546875" style="474" customWidth="1"/>
    <col min="10758" max="10758" width="12.42578125" style="474" bestFit="1" customWidth="1"/>
    <col min="10759" max="10760" width="13" style="474" bestFit="1" customWidth="1"/>
    <col min="10761" max="10761" width="12.7109375" style="474" bestFit="1" customWidth="1"/>
    <col min="10762" max="10762" width="13.42578125" style="474" bestFit="1" customWidth="1"/>
    <col min="10763" max="10763" width="13.7109375" style="474" bestFit="1" customWidth="1"/>
    <col min="10764" max="10764" width="14.5703125" style="474" bestFit="1" customWidth="1"/>
    <col min="10765" max="10765" width="14.85546875" style="474" bestFit="1" customWidth="1"/>
    <col min="10766" max="10766" width="17.140625" style="474" customWidth="1"/>
    <col min="10767" max="10767" width="16.42578125" style="474" bestFit="1" customWidth="1"/>
    <col min="10768" max="10768" width="17.140625" style="474" bestFit="1" customWidth="1"/>
    <col min="10769" max="10769" width="24.28515625" style="474" customWidth="1"/>
    <col min="10770" max="10770" width="18.28515625" style="474" bestFit="1" customWidth="1"/>
    <col min="10771" max="10771" width="18.5703125" style="474" bestFit="1" customWidth="1"/>
    <col min="10772" max="10772" width="19.28515625" style="474" bestFit="1" customWidth="1"/>
    <col min="10773" max="10773" width="20.42578125" style="474" bestFit="1" customWidth="1"/>
    <col min="10774" max="10774" width="20.85546875" style="474" bestFit="1" customWidth="1"/>
    <col min="10775" max="10775" width="21.42578125" style="474" bestFit="1" customWidth="1"/>
    <col min="10776" max="10777" width="22.28515625" style="474" bestFit="1" customWidth="1"/>
    <col min="10778" max="10779" width="23.85546875" style="474" bestFit="1" customWidth="1"/>
    <col min="10780" max="10781" width="24.85546875" style="474" bestFit="1" customWidth="1"/>
    <col min="10782" max="10786" width="11.28515625" style="474" bestFit="1" customWidth="1"/>
    <col min="10787" max="10791" width="12.28515625" style="474" bestFit="1" customWidth="1"/>
    <col min="10792" max="10792" width="12" style="474" bestFit="1" customWidth="1"/>
    <col min="10793" max="11008" width="8.85546875" style="474"/>
    <col min="11009" max="11009" width="7.28515625" style="474" customWidth="1"/>
    <col min="11010" max="11010" width="41" style="474" customWidth="1"/>
    <col min="11011" max="11011" width="16" style="474" customWidth="1"/>
    <col min="11012" max="11012" width="16.140625" style="474" bestFit="1" customWidth="1"/>
    <col min="11013" max="11013" width="11.85546875" style="474" customWidth="1"/>
    <col min="11014" max="11014" width="12.42578125" style="474" bestFit="1" customWidth="1"/>
    <col min="11015" max="11016" width="13" style="474" bestFit="1" customWidth="1"/>
    <col min="11017" max="11017" width="12.7109375" style="474" bestFit="1" customWidth="1"/>
    <col min="11018" max="11018" width="13.42578125" style="474" bestFit="1" customWidth="1"/>
    <col min="11019" max="11019" width="13.7109375" style="474" bestFit="1" customWidth="1"/>
    <col min="11020" max="11020" width="14.5703125" style="474" bestFit="1" customWidth="1"/>
    <col min="11021" max="11021" width="14.85546875" style="474" bestFit="1" customWidth="1"/>
    <col min="11022" max="11022" width="17.140625" style="474" customWidth="1"/>
    <col min="11023" max="11023" width="16.42578125" style="474" bestFit="1" customWidth="1"/>
    <col min="11024" max="11024" width="17.140625" style="474" bestFit="1" customWidth="1"/>
    <col min="11025" max="11025" width="24.28515625" style="474" customWidth="1"/>
    <col min="11026" max="11026" width="18.28515625" style="474" bestFit="1" customWidth="1"/>
    <col min="11027" max="11027" width="18.5703125" style="474" bestFit="1" customWidth="1"/>
    <col min="11028" max="11028" width="19.28515625" style="474" bestFit="1" customWidth="1"/>
    <col min="11029" max="11029" width="20.42578125" style="474" bestFit="1" customWidth="1"/>
    <col min="11030" max="11030" width="20.85546875" style="474" bestFit="1" customWidth="1"/>
    <col min="11031" max="11031" width="21.42578125" style="474" bestFit="1" customWidth="1"/>
    <col min="11032" max="11033" width="22.28515625" style="474" bestFit="1" customWidth="1"/>
    <col min="11034" max="11035" width="23.85546875" style="474" bestFit="1" customWidth="1"/>
    <col min="11036" max="11037" width="24.85546875" style="474" bestFit="1" customWidth="1"/>
    <col min="11038" max="11042" width="11.28515625" style="474" bestFit="1" customWidth="1"/>
    <col min="11043" max="11047" width="12.28515625" style="474" bestFit="1" customWidth="1"/>
    <col min="11048" max="11048" width="12" style="474" bestFit="1" customWidth="1"/>
    <col min="11049" max="11264" width="8.85546875" style="474"/>
    <col min="11265" max="11265" width="7.28515625" style="474" customWidth="1"/>
    <col min="11266" max="11266" width="41" style="474" customWidth="1"/>
    <col min="11267" max="11267" width="16" style="474" customWidth="1"/>
    <col min="11268" max="11268" width="16.140625" style="474" bestFit="1" customWidth="1"/>
    <col min="11269" max="11269" width="11.85546875" style="474" customWidth="1"/>
    <col min="11270" max="11270" width="12.42578125" style="474" bestFit="1" customWidth="1"/>
    <col min="11271" max="11272" width="13" style="474" bestFit="1" customWidth="1"/>
    <col min="11273" max="11273" width="12.7109375" style="474" bestFit="1" customWidth="1"/>
    <col min="11274" max="11274" width="13.42578125" style="474" bestFit="1" customWidth="1"/>
    <col min="11275" max="11275" width="13.7109375" style="474" bestFit="1" customWidth="1"/>
    <col min="11276" max="11276" width="14.5703125" style="474" bestFit="1" customWidth="1"/>
    <col min="11277" max="11277" width="14.85546875" style="474" bestFit="1" customWidth="1"/>
    <col min="11278" max="11278" width="17.140625" style="474" customWidth="1"/>
    <col min="11279" max="11279" width="16.42578125" style="474" bestFit="1" customWidth="1"/>
    <col min="11280" max="11280" width="17.140625" style="474" bestFit="1" customWidth="1"/>
    <col min="11281" max="11281" width="24.28515625" style="474" customWidth="1"/>
    <col min="11282" max="11282" width="18.28515625" style="474" bestFit="1" customWidth="1"/>
    <col min="11283" max="11283" width="18.5703125" style="474" bestFit="1" customWidth="1"/>
    <col min="11284" max="11284" width="19.28515625" style="474" bestFit="1" customWidth="1"/>
    <col min="11285" max="11285" width="20.42578125" style="474" bestFit="1" customWidth="1"/>
    <col min="11286" max="11286" width="20.85546875" style="474" bestFit="1" customWidth="1"/>
    <col min="11287" max="11287" width="21.42578125" style="474" bestFit="1" customWidth="1"/>
    <col min="11288" max="11289" width="22.28515625" style="474" bestFit="1" customWidth="1"/>
    <col min="11290" max="11291" width="23.85546875" style="474" bestFit="1" customWidth="1"/>
    <col min="11292" max="11293" width="24.85546875" style="474" bestFit="1" customWidth="1"/>
    <col min="11294" max="11298" width="11.28515625" style="474" bestFit="1" customWidth="1"/>
    <col min="11299" max="11303" width="12.28515625" style="474" bestFit="1" customWidth="1"/>
    <col min="11304" max="11304" width="12" style="474" bestFit="1" customWidth="1"/>
    <col min="11305" max="11520" width="8.85546875" style="474"/>
    <col min="11521" max="11521" width="7.28515625" style="474" customWidth="1"/>
    <col min="11522" max="11522" width="41" style="474" customWidth="1"/>
    <col min="11523" max="11523" width="16" style="474" customWidth="1"/>
    <col min="11524" max="11524" width="16.140625" style="474" bestFit="1" customWidth="1"/>
    <col min="11525" max="11525" width="11.85546875" style="474" customWidth="1"/>
    <col min="11526" max="11526" width="12.42578125" style="474" bestFit="1" customWidth="1"/>
    <col min="11527" max="11528" width="13" style="474" bestFit="1" customWidth="1"/>
    <col min="11529" max="11529" width="12.7109375" style="474" bestFit="1" customWidth="1"/>
    <col min="11530" max="11530" width="13.42578125" style="474" bestFit="1" customWidth="1"/>
    <col min="11531" max="11531" width="13.7109375" style="474" bestFit="1" customWidth="1"/>
    <col min="11532" max="11532" width="14.5703125" style="474" bestFit="1" customWidth="1"/>
    <col min="11533" max="11533" width="14.85546875" style="474" bestFit="1" customWidth="1"/>
    <col min="11534" max="11534" width="17.140625" style="474" customWidth="1"/>
    <col min="11535" max="11535" width="16.42578125" style="474" bestFit="1" customWidth="1"/>
    <col min="11536" max="11536" width="17.140625" style="474" bestFit="1" customWidth="1"/>
    <col min="11537" max="11537" width="24.28515625" style="474" customWidth="1"/>
    <col min="11538" max="11538" width="18.28515625" style="474" bestFit="1" customWidth="1"/>
    <col min="11539" max="11539" width="18.5703125" style="474" bestFit="1" customWidth="1"/>
    <col min="11540" max="11540" width="19.28515625" style="474" bestFit="1" customWidth="1"/>
    <col min="11541" max="11541" width="20.42578125" style="474" bestFit="1" customWidth="1"/>
    <col min="11542" max="11542" width="20.85546875" style="474" bestFit="1" customWidth="1"/>
    <col min="11543" max="11543" width="21.42578125" style="474" bestFit="1" customWidth="1"/>
    <col min="11544" max="11545" width="22.28515625" style="474" bestFit="1" customWidth="1"/>
    <col min="11546" max="11547" width="23.85546875" style="474" bestFit="1" customWidth="1"/>
    <col min="11548" max="11549" width="24.85546875" style="474" bestFit="1" customWidth="1"/>
    <col min="11550" max="11554" width="11.28515625" style="474" bestFit="1" customWidth="1"/>
    <col min="11555" max="11559" width="12.28515625" style="474" bestFit="1" customWidth="1"/>
    <col min="11560" max="11560" width="12" style="474" bestFit="1" customWidth="1"/>
    <col min="11561" max="11776" width="8.85546875" style="474"/>
    <col min="11777" max="11777" width="7.28515625" style="474" customWidth="1"/>
    <col min="11778" max="11778" width="41" style="474" customWidth="1"/>
    <col min="11779" max="11779" width="16" style="474" customWidth="1"/>
    <col min="11780" max="11780" width="16.140625" style="474" bestFit="1" customWidth="1"/>
    <col min="11781" max="11781" width="11.85546875" style="474" customWidth="1"/>
    <col min="11782" max="11782" width="12.42578125" style="474" bestFit="1" customWidth="1"/>
    <col min="11783" max="11784" width="13" style="474" bestFit="1" customWidth="1"/>
    <col min="11785" max="11785" width="12.7109375" style="474" bestFit="1" customWidth="1"/>
    <col min="11786" max="11786" width="13.42578125" style="474" bestFit="1" customWidth="1"/>
    <col min="11787" max="11787" width="13.7109375" style="474" bestFit="1" customWidth="1"/>
    <col min="11788" max="11788" width="14.5703125" style="474" bestFit="1" customWidth="1"/>
    <col min="11789" max="11789" width="14.85546875" style="474" bestFit="1" customWidth="1"/>
    <col min="11790" max="11790" width="17.140625" style="474" customWidth="1"/>
    <col min="11791" max="11791" width="16.42578125" style="474" bestFit="1" customWidth="1"/>
    <col min="11792" max="11792" width="17.140625" style="474" bestFit="1" customWidth="1"/>
    <col min="11793" max="11793" width="24.28515625" style="474" customWidth="1"/>
    <col min="11794" max="11794" width="18.28515625" style="474" bestFit="1" customWidth="1"/>
    <col min="11795" max="11795" width="18.5703125" style="474" bestFit="1" customWidth="1"/>
    <col min="11796" max="11796" width="19.28515625" style="474" bestFit="1" customWidth="1"/>
    <col min="11797" max="11797" width="20.42578125" style="474" bestFit="1" customWidth="1"/>
    <col min="11798" max="11798" width="20.85546875" style="474" bestFit="1" customWidth="1"/>
    <col min="11799" max="11799" width="21.42578125" style="474" bestFit="1" customWidth="1"/>
    <col min="11800" max="11801" width="22.28515625" style="474" bestFit="1" customWidth="1"/>
    <col min="11802" max="11803" width="23.85546875" style="474" bestFit="1" customWidth="1"/>
    <col min="11804" max="11805" width="24.85546875" style="474" bestFit="1" customWidth="1"/>
    <col min="11806" max="11810" width="11.28515625" style="474" bestFit="1" customWidth="1"/>
    <col min="11811" max="11815" width="12.28515625" style="474" bestFit="1" customWidth="1"/>
    <col min="11816" max="11816" width="12" style="474" bestFit="1" customWidth="1"/>
    <col min="11817" max="12032" width="8.85546875" style="474"/>
    <col min="12033" max="12033" width="7.28515625" style="474" customWidth="1"/>
    <col min="12034" max="12034" width="41" style="474" customWidth="1"/>
    <col min="12035" max="12035" width="16" style="474" customWidth="1"/>
    <col min="12036" max="12036" width="16.140625" style="474" bestFit="1" customWidth="1"/>
    <col min="12037" max="12037" width="11.85546875" style="474" customWidth="1"/>
    <col min="12038" max="12038" width="12.42578125" style="474" bestFit="1" customWidth="1"/>
    <col min="12039" max="12040" width="13" style="474" bestFit="1" customWidth="1"/>
    <col min="12041" max="12041" width="12.7109375" style="474" bestFit="1" customWidth="1"/>
    <col min="12042" max="12042" width="13.42578125" style="474" bestFit="1" customWidth="1"/>
    <col min="12043" max="12043" width="13.7109375" style="474" bestFit="1" customWidth="1"/>
    <col min="12044" max="12044" width="14.5703125" style="474" bestFit="1" customWidth="1"/>
    <col min="12045" max="12045" width="14.85546875" style="474" bestFit="1" customWidth="1"/>
    <col min="12046" max="12046" width="17.140625" style="474" customWidth="1"/>
    <col min="12047" max="12047" width="16.42578125" style="474" bestFit="1" customWidth="1"/>
    <col min="12048" max="12048" width="17.140625" style="474" bestFit="1" customWidth="1"/>
    <col min="12049" max="12049" width="24.28515625" style="474" customWidth="1"/>
    <col min="12050" max="12050" width="18.28515625" style="474" bestFit="1" customWidth="1"/>
    <col min="12051" max="12051" width="18.5703125" style="474" bestFit="1" customWidth="1"/>
    <col min="12052" max="12052" width="19.28515625" style="474" bestFit="1" customWidth="1"/>
    <col min="12053" max="12053" width="20.42578125" style="474" bestFit="1" customWidth="1"/>
    <col min="12054" max="12054" width="20.85546875" style="474" bestFit="1" customWidth="1"/>
    <col min="12055" max="12055" width="21.42578125" style="474" bestFit="1" customWidth="1"/>
    <col min="12056" max="12057" width="22.28515625" style="474" bestFit="1" customWidth="1"/>
    <col min="12058" max="12059" width="23.85546875" style="474" bestFit="1" customWidth="1"/>
    <col min="12060" max="12061" width="24.85546875" style="474" bestFit="1" customWidth="1"/>
    <col min="12062" max="12066" width="11.28515625" style="474" bestFit="1" customWidth="1"/>
    <col min="12067" max="12071" width="12.28515625" style="474" bestFit="1" customWidth="1"/>
    <col min="12072" max="12072" width="12" style="474" bestFit="1" customWidth="1"/>
    <col min="12073" max="12288" width="8.85546875" style="474"/>
    <col min="12289" max="12289" width="7.28515625" style="474" customWidth="1"/>
    <col min="12290" max="12290" width="41" style="474" customWidth="1"/>
    <col min="12291" max="12291" width="16" style="474" customWidth="1"/>
    <col min="12292" max="12292" width="16.140625" style="474" bestFit="1" customWidth="1"/>
    <col min="12293" max="12293" width="11.85546875" style="474" customWidth="1"/>
    <col min="12294" max="12294" width="12.42578125" style="474" bestFit="1" customWidth="1"/>
    <col min="12295" max="12296" width="13" style="474" bestFit="1" customWidth="1"/>
    <col min="12297" max="12297" width="12.7109375" style="474" bestFit="1" customWidth="1"/>
    <col min="12298" max="12298" width="13.42578125" style="474" bestFit="1" customWidth="1"/>
    <col min="12299" max="12299" width="13.7109375" style="474" bestFit="1" customWidth="1"/>
    <col min="12300" max="12300" width="14.5703125" style="474" bestFit="1" customWidth="1"/>
    <col min="12301" max="12301" width="14.85546875" style="474" bestFit="1" customWidth="1"/>
    <col min="12302" max="12302" width="17.140625" style="474" customWidth="1"/>
    <col min="12303" max="12303" width="16.42578125" style="474" bestFit="1" customWidth="1"/>
    <col min="12304" max="12304" width="17.140625" style="474" bestFit="1" customWidth="1"/>
    <col min="12305" max="12305" width="24.28515625" style="474" customWidth="1"/>
    <col min="12306" max="12306" width="18.28515625" style="474" bestFit="1" customWidth="1"/>
    <col min="12307" max="12307" width="18.5703125" style="474" bestFit="1" customWidth="1"/>
    <col min="12308" max="12308" width="19.28515625" style="474" bestFit="1" customWidth="1"/>
    <col min="12309" max="12309" width="20.42578125" style="474" bestFit="1" customWidth="1"/>
    <col min="12310" max="12310" width="20.85546875" style="474" bestFit="1" customWidth="1"/>
    <col min="12311" max="12311" width="21.42578125" style="474" bestFit="1" customWidth="1"/>
    <col min="12312" max="12313" width="22.28515625" style="474" bestFit="1" customWidth="1"/>
    <col min="12314" max="12315" width="23.85546875" style="474" bestFit="1" customWidth="1"/>
    <col min="12316" max="12317" width="24.85546875" style="474" bestFit="1" customWidth="1"/>
    <col min="12318" max="12322" width="11.28515625" style="474" bestFit="1" customWidth="1"/>
    <col min="12323" max="12327" width="12.28515625" style="474" bestFit="1" customWidth="1"/>
    <col min="12328" max="12328" width="12" style="474" bestFit="1" customWidth="1"/>
    <col min="12329" max="12544" width="8.85546875" style="474"/>
    <col min="12545" max="12545" width="7.28515625" style="474" customWidth="1"/>
    <col min="12546" max="12546" width="41" style="474" customWidth="1"/>
    <col min="12547" max="12547" width="16" style="474" customWidth="1"/>
    <col min="12548" max="12548" width="16.140625" style="474" bestFit="1" customWidth="1"/>
    <col min="12549" max="12549" width="11.85546875" style="474" customWidth="1"/>
    <col min="12550" max="12550" width="12.42578125" style="474" bestFit="1" customWidth="1"/>
    <col min="12551" max="12552" width="13" style="474" bestFit="1" customWidth="1"/>
    <col min="12553" max="12553" width="12.7109375" style="474" bestFit="1" customWidth="1"/>
    <col min="12554" max="12554" width="13.42578125" style="474" bestFit="1" customWidth="1"/>
    <col min="12555" max="12555" width="13.7109375" style="474" bestFit="1" customWidth="1"/>
    <col min="12556" max="12556" width="14.5703125" style="474" bestFit="1" customWidth="1"/>
    <col min="12557" max="12557" width="14.85546875" style="474" bestFit="1" customWidth="1"/>
    <col min="12558" max="12558" width="17.140625" style="474" customWidth="1"/>
    <col min="12559" max="12559" width="16.42578125" style="474" bestFit="1" customWidth="1"/>
    <col min="12560" max="12560" width="17.140625" style="474" bestFit="1" customWidth="1"/>
    <col min="12561" max="12561" width="24.28515625" style="474" customWidth="1"/>
    <col min="12562" max="12562" width="18.28515625" style="474" bestFit="1" customWidth="1"/>
    <col min="12563" max="12563" width="18.5703125" style="474" bestFit="1" customWidth="1"/>
    <col min="12564" max="12564" width="19.28515625" style="474" bestFit="1" customWidth="1"/>
    <col min="12565" max="12565" width="20.42578125" style="474" bestFit="1" customWidth="1"/>
    <col min="12566" max="12566" width="20.85546875" style="474" bestFit="1" customWidth="1"/>
    <col min="12567" max="12567" width="21.42578125" style="474" bestFit="1" customWidth="1"/>
    <col min="12568" max="12569" width="22.28515625" style="474" bestFit="1" customWidth="1"/>
    <col min="12570" max="12571" width="23.85546875" style="474" bestFit="1" customWidth="1"/>
    <col min="12572" max="12573" width="24.85546875" style="474" bestFit="1" customWidth="1"/>
    <col min="12574" max="12578" width="11.28515625" style="474" bestFit="1" customWidth="1"/>
    <col min="12579" max="12583" width="12.28515625" style="474" bestFit="1" customWidth="1"/>
    <col min="12584" max="12584" width="12" style="474" bestFit="1" customWidth="1"/>
    <col min="12585" max="12800" width="8.85546875" style="474"/>
    <col min="12801" max="12801" width="7.28515625" style="474" customWidth="1"/>
    <col min="12802" max="12802" width="41" style="474" customWidth="1"/>
    <col min="12803" max="12803" width="16" style="474" customWidth="1"/>
    <col min="12804" max="12804" width="16.140625" style="474" bestFit="1" customWidth="1"/>
    <col min="12805" max="12805" width="11.85546875" style="474" customWidth="1"/>
    <col min="12806" max="12806" width="12.42578125" style="474" bestFit="1" customWidth="1"/>
    <col min="12807" max="12808" width="13" style="474" bestFit="1" customWidth="1"/>
    <col min="12809" max="12809" width="12.7109375" style="474" bestFit="1" customWidth="1"/>
    <col min="12810" max="12810" width="13.42578125" style="474" bestFit="1" customWidth="1"/>
    <col min="12811" max="12811" width="13.7109375" style="474" bestFit="1" customWidth="1"/>
    <col min="12812" max="12812" width="14.5703125" style="474" bestFit="1" customWidth="1"/>
    <col min="12813" max="12813" width="14.85546875" style="474" bestFit="1" customWidth="1"/>
    <col min="12814" max="12814" width="17.140625" style="474" customWidth="1"/>
    <col min="12815" max="12815" width="16.42578125" style="474" bestFit="1" customWidth="1"/>
    <col min="12816" max="12816" width="17.140625" style="474" bestFit="1" customWidth="1"/>
    <col min="12817" max="12817" width="24.28515625" style="474" customWidth="1"/>
    <col min="12818" max="12818" width="18.28515625" style="474" bestFit="1" customWidth="1"/>
    <col min="12819" max="12819" width="18.5703125" style="474" bestFit="1" customWidth="1"/>
    <col min="12820" max="12820" width="19.28515625" style="474" bestFit="1" customWidth="1"/>
    <col min="12821" max="12821" width="20.42578125" style="474" bestFit="1" customWidth="1"/>
    <col min="12822" max="12822" width="20.85546875" style="474" bestFit="1" customWidth="1"/>
    <col min="12823" max="12823" width="21.42578125" style="474" bestFit="1" customWidth="1"/>
    <col min="12824" max="12825" width="22.28515625" style="474" bestFit="1" customWidth="1"/>
    <col min="12826" max="12827" width="23.85546875" style="474" bestFit="1" customWidth="1"/>
    <col min="12828" max="12829" width="24.85546875" style="474" bestFit="1" customWidth="1"/>
    <col min="12830" max="12834" width="11.28515625" style="474" bestFit="1" customWidth="1"/>
    <col min="12835" max="12839" width="12.28515625" style="474" bestFit="1" customWidth="1"/>
    <col min="12840" max="12840" width="12" style="474" bestFit="1" customWidth="1"/>
    <col min="12841" max="13056" width="8.85546875" style="474"/>
    <col min="13057" max="13057" width="7.28515625" style="474" customWidth="1"/>
    <col min="13058" max="13058" width="41" style="474" customWidth="1"/>
    <col min="13059" max="13059" width="16" style="474" customWidth="1"/>
    <col min="13060" max="13060" width="16.140625" style="474" bestFit="1" customWidth="1"/>
    <col min="13061" max="13061" width="11.85546875" style="474" customWidth="1"/>
    <col min="13062" max="13062" width="12.42578125" style="474" bestFit="1" customWidth="1"/>
    <col min="13063" max="13064" width="13" style="474" bestFit="1" customWidth="1"/>
    <col min="13065" max="13065" width="12.7109375" style="474" bestFit="1" customWidth="1"/>
    <col min="13066" max="13066" width="13.42578125" style="474" bestFit="1" customWidth="1"/>
    <col min="13067" max="13067" width="13.7109375" style="474" bestFit="1" customWidth="1"/>
    <col min="13068" max="13068" width="14.5703125" style="474" bestFit="1" customWidth="1"/>
    <col min="13069" max="13069" width="14.85546875" style="474" bestFit="1" customWidth="1"/>
    <col min="13070" max="13070" width="17.140625" style="474" customWidth="1"/>
    <col min="13071" max="13071" width="16.42578125" style="474" bestFit="1" customWidth="1"/>
    <col min="13072" max="13072" width="17.140625" style="474" bestFit="1" customWidth="1"/>
    <col min="13073" max="13073" width="24.28515625" style="474" customWidth="1"/>
    <col min="13074" max="13074" width="18.28515625" style="474" bestFit="1" customWidth="1"/>
    <col min="13075" max="13075" width="18.5703125" style="474" bestFit="1" customWidth="1"/>
    <col min="13076" max="13076" width="19.28515625" style="474" bestFit="1" customWidth="1"/>
    <col min="13077" max="13077" width="20.42578125" style="474" bestFit="1" customWidth="1"/>
    <col min="13078" max="13078" width="20.85546875" style="474" bestFit="1" customWidth="1"/>
    <col min="13079" max="13079" width="21.42578125" style="474" bestFit="1" customWidth="1"/>
    <col min="13080" max="13081" width="22.28515625" style="474" bestFit="1" customWidth="1"/>
    <col min="13082" max="13083" width="23.85546875" style="474" bestFit="1" customWidth="1"/>
    <col min="13084" max="13085" width="24.85546875" style="474" bestFit="1" customWidth="1"/>
    <col min="13086" max="13090" width="11.28515625" style="474" bestFit="1" customWidth="1"/>
    <col min="13091" max="13095" width="12.28515625" style="474" bestFit="1" customWidth="1"/>
    <col min="13096" max="13096" width="12" style="474" bestFit="1" customWidth="1"/>
    <col min="13097" max="13312" width="8.85546875" style="474"/>
    <col min="13313" max="13313" width="7.28515625" style="474" customWidth="1"/>
    <col min="13314" max="13314" width="41" style="474" customWidth="1"/>
    <col min="13315" max="13315" width="16" style="474" customWidth="1"/>
    <col min="13316" max="13316" width="16.140625" style="474" bestFit="1" customWidth="1"/>
    <col min="13317" max="13317" width="11.85546875" style="474" customWidth="1"/>
    <col min="13318" max="13318" width="12.42578125" style="474" bestFit="1" customWidth="1"/>
    <col min="13319" max="13320" width="13" style="474" bestFit="1" customWidth="1"/>
    <col min="13321" max="13321" width="12.7109375" style="474" bestFit="1" customWidth="1"/>
    <col min="13322" max="13322" width="13.42578125" style="474" bestFit="1" customWidth="1"/>
    <col min="13323" max="13323" width="13.7109375" style="474" bestFit="1" customWidth="1"/>
    <col min="13324" max="13324" width="14.5703125" style="474" bestFit="1" customWidth="1"/>
    <col min="13325" max="13325" width="14.85546875" style="474" bestFit="1" customWidth="1"/>
    <col min="13326" max="13326" width="17.140625" style="474" customWidth="1"/>
    <col min="13327" max="13327" width="16.42578125" style="474" bestFit="1" customWidth="1"/>
    <col min="13328" max="13328" width="17.140625" style="474" bestFit="1" customWidth="1"/>
    <col min="13329" max="13329" width="24.28515625" style="474" customWidth="1"/>
    <col min="13330" max="13330" width="18.28515625" style="474" bestFit="1" customWidth="1"/>
    <col min="13331" max="13331" width="18.5703125" style="474" bestFit="1" customWidth="1"/>
    <col min="13332" max="13332" width="19.28515625" style="474" bestFit="1" customWidth="1"/>
    <col min="13333" max="13333" width="20.42578125" style="474" bestFit="1" customWidth="1"/>
    <col min="13334" max="13334" width="20.85546875" style="474" bestFit="1" customWidth="1"/>
    <col min="13335" max="13335" width="21.42578125" style="474" bestFit="1" customWidth="1"/>
    <col min="13336" max="13337" width="22.28515625" style="474" bestFit="1" customWidth="1"/>
    <col min="13338" max="13339" width="23.85546875" style="474" bestFit="1" customWidth="1"/>
    <col min="13340" max="13341" width="24.85546875" style="474" bestFit="1" customWidth="1"/>
    <col min="13342" max="13346" width="11.28515625" style="474" bestFit="1" customWidth="1"/>
    <col min="13347" max="13351" width="12.28515625" style="474" bestFit="1" customWidth="1"/>
    <col min="13352" max="13352" width="12" style="474" bestFit="1" customWidth="1"/>
    <col min="13353" max="13568" width="8.85546875" style="474"/>
    <col min="13569" max="13569" width="7.28515625" style="474" customWidth="1"/>
    <col min="13570" max="13570" width="41" style="474" customWidth="1"/>
    <col min="13571" max="13571" width="16" style="474" customWidth="1"/>
    <col min="13572" max="13572" width="16.140625" style="474" bestFit="1" customWidth="1"/>
    <col min="13573" max="13573" width="11.85546875" style="474" customWidth="1"/>
    <col min="13574" max="13574" width="12.42578125" style="474" bestFit="1" customWidth="1"/>
    <col min="13575" max="13576" width="13" style="474" bestFit="1" customWidth="1"/>
    <col min="13577" max="13577" width="12.7109375" style="474" bestFit="1" customWidth="1"/>
    <col min="13578" max="13578" width="13.42578125" style="474" bestFit="1" customWidth="1"/>
    <col min="13579" max="13579" width="13.7109375" style="474" bestFit="1" customWidth="1"/>
    <col min="13580" max="13580" width="14.5703125" style="474" bestFit="1" customWidth="1"/>
    <col min="13581" max="13581" width="14.85546875" style="474" bestFit="1" customWidth="1"/>
    <col min="13582" max="13582" width="17.140625" style="474" customWidth="1"/>
    <col min="13583" max="13583" width="16.42578125" style="474" bestFit="1" customWidth="1"/>
    <col min="13584" max="13584" width="17.140625" style="474" bestFit="1" customWidth="1"/>
    <col min="13585" max="13585" width="24.28515625" style="474" customWidth="1"/>
    <col min="13586" max="13586" width="18.28515625" style="474" bestFit="1" customWidth="1"/>
    <col min="13587" max="13587" width="18.5703125" style="474" bestFit="1" customWidth="1"/>
    <col min="13588" max="13588" width="19.28515625" style="474" bestFit="1" customWidth="1"/>
    <col min="13589" max="13589" width="20.42578125" style="474" bestFit="1" customWidth="1"/>
    <col min="13590" max="13590" width="20.85546875" style="474" bestFit="1" customWidth="1"/>
    <col min="13591" max="13591" width="21.42578125" style="474" bestFit="1" customWidth="1"/>
    <col min="13592" max="13593" width="22.28515625" style="474" bestFit="1" customWidth="1"/>
    <col min="13594" max="13595" width="23.85546875" style="474" bestFit="1" customWidth="1"/>
    <col min="13596" max="13597" width="24.85546875" style="474" bestFit="1" customWidth="1"/>
    <col min="13598" max="13602" width="11.28515625" style="474" bestFit="1" customWidth="1"/>
    <col min="13603" max="13607" width="12.28515625" style="474" bestFit="1" customWidth="1"/>
    <col min="13608" max="13608" width="12" style="474" bestFit="1" customWidth="1"/>
    <col min="13609" max="13824" width="8.85546875" style="474"/>
    <col min="13825" max="13825" width="7.28515625" style="474" customWidth="1"/>
    <col min="13826" max="13826" width="41" style="474" customWidth="1"/>
    <col min="13827" max="13827" width="16" style="474" customWidth="1"/>
    <col min="13828" max="13828" width="16.140625" style="474" bestFit="1" customWidth="1"/>
    <col min="13829" max="13829" width="11.85546875" style="474" customWidth="1"/>
    <col min="13830" max="13830" width="12.42578125" style="474" bestFit="1" customWidth="1"/>
    <col min="13831" max="13832" width="13" style="474" bestFit="1" customWidth="1"/>
    <col min="13833" max="13833" width="12.7109375" style="474" bestFit="1" customWidth="1"/>
    <col min="13834" max="13834" width="13.42578125" style="474" bestFit="1" customWidth="1"/>
    <col min="13835" max="13835" width="13.7109375" style="474" bestFit="1" customWidth="1"/>
    <col min="13836" max="13836" width="14.5703125" style="474" bestFit="1" customWidth="1"/>
    <col min="13837" max="13837" width="14.85546875" style="474" bestFit="1" customWidth="1"/>
    <col min="13838" max="13838" width="17.140625" style="474" customWidth="1"/>
    <col min="13839" max="13839" width="16.42578125" style="474" bestFit="1" customWidth="1"/>
    <col min="13840" max="13840" width="17.140625" style="474" bestFit="1" customWidth="1"/>
    <col min="13841" max="13841" width="24.28515625" style="474" customWidth="1"/>
    <col min="13842" max="13842" width="18.28515625" style="474" bestFit="1" customWidth="1"/>
    <col min="13843" max="13843" width="18.5703125" style="474" bestFit="1" customWidth="1"/>
    <col min="13844" max="13844" width="19.28515625" style="474" bestFit="1" customWidth="1"/>
    <col min="13845" max="13845" width="20.42578125" style="474" bestFit="1" customWidth="1"/>
    <col min="13846" max="13846" width="20.85546875" style="474" bestFit="1" customWidth="1"/>
    <col min="13847" max="13847" width="21.42578125" style="474" bestFit="1" customWidth="1"/>
    <col min="13848" max="13849" width="22.28515625" style="474" bestFit="1" customWidth="1"/>
    <col min="13850" max="13851" width="23.85546875" style="474" bestFit="1" customWidth="1"/>
    <col min="13852" max="13853" width="24.85546875" style="474" bestFit="1" customWidth="1"/>
    <col min="13854" max="13858" width="11.28515625" style="474" bestFit="1" customWidth="1"/>
    <col min="13859" max="13863" width="12.28515625" style="474" bestFit="1" customWidth="1"/>
    <col min="13864" max="13864" width="12" style="474" bestFit="1" customWidth="1"/>
    <col min="13865" max="14080" width="8.85546875" style="474"/>
    <col min="14081" max="14081" width="7.28515625" style="474" customWidth="1"/>
    <col min="14082" max="14082" width="41" style="474" customWidth="1"/>
    <col min="14083" max="14083" width="16" style="474" customWidth="1"/>
    <col min="14084" max="14084" width="16.140625" style="474" bestFit="1" customWidth="1"/>
    <col min="14085" max="14085" width="11.85546875" style="474" customWidth="1"/>
    <col min="14086" max="14086" width="12.42578125" style="474" bestFit="1" customWidth="1"/>
    <col min="14087" max="14088" width="13" style="474" bestFit="1" customWidth="1"/>
    <col min="14089" max="14089" width="12.7109375" style="474" bestFit="1" customWidth="1"/>
    <col min="14090" max="14090" width="13.42578125" style="474" bestFit="1" customWidth="1"/>
    <col min="14091" max="14091" width="13.7109375" style="474" bestFit="1" customWidth="1"/>
    <col min="14092" max="14092" width="14.5703125" style="474" bestFit="1" customWidth="1"/>
    <col min="14093" max="14093" width="14.85546875" style="474" bestFit="1" customWidth="1"/>
    <col min="14094" max="14094" width="17.140625" style="474" customWidth="1"/>
    <col min="14095" max="14095" width="16.42578125" style="474" bestFit="1" customWidth="1"/>
    <col min="14096" max="14096" width="17.140625" style="474" bestFit="1" customWidth="1"/>
    <col min="14097" max="14097" width="24.28515625" style="474" customWidth="1"/>
    <col min="14098" max="14098" width="18.28515625" style="474" bestFit="1" customWidth="1"/>
    <col min="14099" max="14099" width="18.5703125" style="474" bestFit="1" customWidth="1"/>
    <col min="14100" max="14100" width="19.28515625" style="474" bestFit="1" customWidth="1"/>
    <col min="14101" max="14101" width="20.42578125" style="474" bestFit="1" customWidth="1"/>
    <col min="14102" max="14102" width="20.85546875" style="474" bestFit="1" customWidth="1"/>
    <col min="14103" max="14103" width="21.42578125" style="474" bestFit="1" customWidth="1"/>
    <col min="14104" max="14105" width="22.28515625" style="474" bestFit="1" customWidth="1"/>
    <col min="14106" max="14107" width="23.85546875" style="474" bestFit="1" customWidth="1"/>
    <col min="14108" max="14109" width="24.85546875" style="474" bestFit="1" customWidth="1"/>
    <col min="14110" max="14114" width="11.28515625" style="474" bestFit="1" customWidth="1"/>
    <col min="14115" max="14119" width="12.28515625" style="474" bestFit="1" customWidth="1"/>
    <col min="14120" max="14120" width="12" style="474" bestFit="1" customWidth="1"/>
    <col min="14121" max="14336" width="8.85546875" style="474"/>
    <col min="14337" max="14337" width="7.28515625" style="474" customWidth="1"/>
    <col min="14338" max="14338" width="41" style="474" customWidth="1"/>
    <col min="14339" max="14339" width="16" style="474" customWidth="1"/>
    <col min="14340" max="14340" width="16.140625" style="474" bestFit="1" customWidth="1"/>
    <col min="14341" max="14341" width="11.85546875" style="474" customWidth="1"/>
    <col min="14342" max="14342" width="12.42578125" style="474" bestFit="1" customWidth="1"/>
    <col min="14343" max="14344" width="13" style="474" bestFit="1" customWidth="1"/>
    <col min="14345" max="14345" width="12.7109375" style="474" bestFit="1" customWidth="1"/>
    <col min="14346" max="14346" width="13.42578125" style="474" bestFit="1" customWidth="1"/>
    <col min="14347" max="14347" width="13.7109375" style="474" bestFit="1" customWidth="1"/>
    <col min="14348" max="14348" width="14.5703125" style="474" bestFit="1" customWidth="1"/>
    <col min="14349" max="14349" width="14.85546875" style="474" bestFit="1" customWidth="1"/>
    <col min="14350" max="14350" width="17.140625" style="474" customWidth="1"/>
    <col min="14351" max="14351" width="16.42578125" style="474" bestFit="1" customWidth="1"/>
    <col min="14352" max="14352" width="17.140625" style="474" bestFit="1" customWidth="1"/>
    <col min="14353" max="14353" width="24.28515625" style="474" customWidth="1"/>
    <col min="14354" max="14354" width="18.28515625" style="474" bestFit="1" customWidth="1"/>
    <col min="14355" max="14355" width="18.5703125" style="474" bestFit="1" customWidth="1"/>
    <col min="14356" max="14356" width="19.28515625" style="474" bestFit="1" customWidth="1"/>
    <col min="14357" max="14357" width="20.42578125" style="474" bestFit="1" customWidth="1"/>
    <col min="14358" max="14358" width="20.85546875" style="474" bestFit="1" customWidth="1"/>
    <col min="14359" max="14359" width="21.42578125" style="474" bestFit="1" customWidth="1"/>
    <col min="14360" max="14361" width="22.28515625" style="474" bestFit="1" customWidth="1"/>
    <col min="14362" max="14363" width="23.85546875" style="474" bestFit="1" customWidth="1"/>
    <col min="14364" max="14365" width="24.85546875" style="474" bestFit="1" customWidth="1"/>
    <col min="14366" max="14370" width="11.28515625" style="474" bestFit="1" customWidth="1"/>
    <col min="14371" max="14375" width="12.28515625" style="474" bestFit="1" customWidth="1"/>
    <col min="14376" max="14376" width="12" style="474" bestFit="1" customWidth="1"/>
    <col min="14377" max="14592" width="8.85546875" style="474"/>
    <col min="14593" max="14593" width="7.28515625" style="474" customWidth="1"/>
    <col min="14594" max="14594" width="41" style="474" customWidth="1"/>
    <col min="14595" max="14595" width="16" style="474" customWidth="1"/>
    <col min="14596" max="14596" width="16.140625" style="474" bestFit="1" customWidth="1"/>
    <col min="14597" max="14597" width="11.85546875" style="474" customWidth="1"/>
    <col min="14598" max="14598" width="12.42578125" style="474" bestFit="1" customWidth="1"/>
    <col min="14599" max="14600" width="13" style="474" bestFit="1" customWidth="1"/>
    <col min="14601" max="14601" width="12.7109375" style="474" bestFit="1" customWidth="1"/>
    <col min="14602" max="14602" width="13.42578125" style="474" bestFit="1" customWidth="1"/>
    <col min="14603" max="14603" width="13.7109375" style="474" bestFit="1" customWidth="1"/>
    <col min="14604" max="14604" width="14.5703125" style="474" bestFit="1" customWidth="1"/>
    <col min="14605" max="14605" width="14.85546875" style="474" bestFit="1" customWidth="1"/>
    <col min="14606" max="14606" width="17.140625" style="474" customWidth="1"/>
    <col min="14607" max="14607" width="16.42578125" style="474" bestFit="1" customWidth="1"/>
    <col min="14608" max="14608" width="17.140625" style="474" bestFit="1" customWidth="1"/>
    <col min="14609" max="14609" width="24.28515625" style="474" customWidth="1"/>
    <col min="14610" max="14610" width="18.28515625" style="474" bestFit="1" customWidth="1"/>
    <col min="14611" max="14611" width="18.5703125" style="474" bestFit="1" customWidth="1"/>
    <col min="14612" max="14612" width="19.28515625" style="474" bestFit="1" customWidth="1"/>
    <col min="14613" max="14613" width="20.42578125" style="474" bestFit="1" customWidth="1"/>
    <col min="14614" max="14614" width="20.85546875" style="474" bestFit="1" customWidth="1"/>
    <col min="14615" max="14615" width="21.42578125" style="474" bestFit="1" customWidth="1"/>
    <col min="14616" max="14617" width="22.28515625" style="474" bestFit="1" customWidth="1"/>
    <col min="14618" max="14619" width="23.85546875" style="474" bestFit="1" customWidth="1"/>
    <col min="14620" max="14621" width="24.85546875" style="474" bestFit="1" customWidth="1"/>
    <col min="14622" max="14626" width="11.28515625" style="474" bestFit="1" customWidth="1"/>
    <col min="14627" max="14631" width="12.28515625" style="474" bestFit="1" customWidth="1"/>
    <col min="14632" max="14632" width="12" style="474" bestFit="1" customWidth="1"/>
    <col min="14633" max="14848" width="8.85546875" style="474"/>
    <col min="14849" max="14849" width="7.28515625" style="474" customWidth="1"/>
    <col min="14850" max="14850" width="41" style="474" customWidth="1"/>
    <col min="14851" max="14851" width="16" style="474" customWidth="1"/>
    <col min="14852" max="14852" width="16.140625" style="474" bestFit="1" customWidth="1"/>
    <col min="14853" max="14853" width="11.85546875" style="474" customWidth="1"/>
    <col min="14854" max="14854" width="12.42578125" style="474" bestFit="1" customWidth="1"/>
    <col min="14855" max="14856" width="13" style="474" bestFit="1" customWidth="1"/>
    <col min="14857" max="14857" width="12.7109375" style="474" bestFit="1" customWidth="1"/>
    <col min="14858" max="14858" width="13.42578125" style="474" bestFit="1" customWidth="1"/>
    <col min="14859" max="14859" width="13.7109375" style="474" bestFit="1" customWidth="1"/>
    <col min="14860" max="14860" width="14.5703125" style="474" bestFit="1" customWidth="1"/>
    <col min="14861" max="14861" width="14.85546875" style="474" bestFit="1" customWidth="1"/>
    <col min="14862" max="14862" width="17.140625" style="474" customWidth="1"/>
    <col min="14863" max="14863" width="16.42578125" style="474" bestFit="1" customWidth="1"/>
    <col min="14864" max="14864" width="17.140625" style="474" bestFit="1" customWidth="1"/>
    <col min="14865" max="14865" width="24.28515625" style="474" customWidth="1"/>
    <col min="14866" max="14866" width="18.28515625" style="474" bestFit="1" customWidth="1"/>
    <col min="14867" max="14867" width="18.5703125" style="474" bestFit="1" customWidth="1"/>
    <col min="14868" max="14868" width="19.28515625" style="474" bestFit="1" customWidth="1"/>
    <col min="14869" max="14869" width="20.42578125" style="474" bestFit="1" customWidth="1"/>
    <col min="14870" max="14870" width="20.85546875" style="474" bestFit="1" customWidth="1"/>
    <col min="14871" max="14871" width="21.42578125" style="474" bestFit="1" customWidth="1"/>
    <col min="14872" max="14873" width="22.28515625" style="474" bestFit="1" customWidth="1"/>
    <col min="14874" max="14875" width="23.85546875" style="474" bestFit="1" customWidth="1"/>
    <col min="14876" max="14877" width="24.85546875" style="474" bestFit="1" customWidth="1"/>
    <col min="14878" max="14882" width="11.28515625" style="474" bestFit="1" customWidth="1"/>
    <col min="14883" max="14887" width="12.28515625" style="474" bestFit="1" customWidth="1"/>
    <col min="14888" max="14888" width="12" style="474" bestFit="1" customWidth="1"/>
    <col min="14889" max="15104" width="8.85546875" style="474"/>
    <col min="15105" max="15105" width="7.28515625" style="474" customWidth="1"/>
    <col min="15106" max="15106" width="41" style="474" customWidth="1"/>
    <col min="15107" max="15107" width="16" style="474" customWidth="1"/>
    <col min="15108" max="15108" width="16.140625" style="474" bestFit="1" customWidth="1"/>
    <col min="15109" max="15109" width="11.85546875" style="474" customWidth="1"/>
    <col min="15110" max="15110" width="12.42578125" style="474" bestFit="1" customWidth="1"/>
    <col min="15111" max="15112" width="13" style="474" bestFit="1" customWidth="1"/>
    <col min="15113" max="15113" width="12.7109375" style="474" bestFit="1" customWidth="1"/>
    <col min="15114" max="15114" width="13.42578125" style="474" bestFit="1" customWidth="1"/>
    <col min="15115" max="15115" width="13.7109375" style="474" bestFit="1" customWidth="1"/>
    <col min="15116" max="15116" width="14.5703125" style="474" bestFit="1" customWidth="1"/>
    <col min="15117" max="15117" width="14.85546875" style="474" bestFit="1" customWidth="1"/>
    <col min="15118" max="15118" width="17.140625" style="474" customWidth="1"/>
    <col min="15119" max="15119" width="16.42578125" style="474" bestFit="1" customWidth="1"/>
    <col min="15120" max="15120" width="17.140625" style="474" bestFit="1" customWidth="1"/>
    <col min="15121" max="15121" width="24.28515625" style="474" customWidth="1"/>
    <col min="15122" max="15122" width="18.28515625" style="474" bestFit="1" customWidth="1"/>
    <col min="15123" max="15123" width="18.5703125" style="474" bestFit="1" customWidth="1"/>
    <col min="15124" max="15124" width="19.28515625" style="474" bestFit="1" customWidth="1"/>
    <col min="15125" max="15125" width="20.42578125" style="474" bestFit="1" customWidth="1"/>
    <col min="15126" max="15126" width="20.85546875" style="474" bestFit="1" customWidth="1"/>
    <col min="15127" max="15127" width="21.42578125" style="474" bestFit="1" customWidth="1"/>
    <col min="15128" max="15129" width="22.28515625" style="474" bestFit="1" customWidth="1"/>
    <col min="15130" max="15131" width="23.85546875" style="474" bestFit="1" customWidth="1"/>
    <col min="15132" max="15133" width="24.85546875" style="474" bestFit="1" customWidth="1"/>
    <col min="15134" max="15138" width="11.28515625" style="474" bestFit="1" customWidth="1"/>
    <col min="15139" max="15143" width="12.28515625" style="474" bestFit="1" customWidth="1"/>
    <col min="15144" max="15144" width="12" style="474" bestFit="1" customWidth="1"/>
    <col min="15145" max="15360" width="8.85546875" style="474"/>
    <col min="15361" max="15361" width="7.28515625" style="474" customWidth="1"/>
    <col min="15362" max="15362" width="41" style="474" customWidth="1"/>
    <col min="15363" max="15363" width="16" style="474" customWidth="1"/>
    <col min="15364" max="15364" width="16.140625" style="474" bestFit="1" customWidth="1"/>
    <col min="15365" max="15365" width="11.85546875" style="474" customWidth="1"/>
    <col min="15366" max="15366" width="12.42578125" style="474" bestFit="1" customWidth="1"/>
    <col min="15367" max="15368" width="13" style="474" bestFit="1" customWidth="1"/>
    <col min="15369" max="15369" width="12.7109375" style="474" bestFit="1" customWidth="1"/>
    <col min="15370" max="15370" width="13.42578125" style="474" bestFit="1" customWidth="1"/>
    <col min="15371" max="15371" width="13.7109375" style="474" bestFit="1" customWidth="1"/>
    <col min="15372" max="15372" width="14.5703125" style="474" bestFit="1" customWidth="1"/>
    <col min="15373" max="15373" width="14.85546875" style="474" bestFit="1" customWidth="1"/>
    <col min="15374" max="15374" width="17.140625" style="474" customWidth="1"/>
    <col min="15375" max="15375" width="16.42578125" style="474" bestFit="1" customWidth="1"/>
    <col min="15376" max="15376" width="17.140625" style="474" bestFit="1" customWidth="1"/>
    <col min="15377" max="15377" width="24.28515625" style="474" customWidth="1"/>
    <col min="15378" max="15378" width="18.28515625" style="474" bestFit="1" customWidth="1"/>
    <col min="15379" max="15379" width="18.5703125" style="474" bestFit="1" customWidth="1"/>
    <col min="15380" max="15380" width="19.28515625" style="474" bestFit="1" customWidth="1"/>
    <col min="15381" max="15381" width="20.42578125" style="474" bestFit="1" customWidth="1"/>
    <col min="15382" max="15382" width="20.85546875" style="474" bestFit="1" customWidth="1"/>
    <col min="15383" max="15383" width="21.42578125" style="474" bestFit="1" customWidth="1"/>
    <col min="15384" max="15385" width="22.28515625" style="474" bestFit="1" customWidth="1"/>
    <col min="15386" max="15387" width="23.85546875" style="474" bestFit="1" customWidth="1"/>
    <col min="15388" max="15389" width="24.85546875" style="474" bestFit="1" customWidth="1"/>
    <col min="15390" max="15394" width="11.28515625" style="474" bestFit="1" customWidth="1"/>
    <col min="15395" max="15399" width="12.28515625" style="474" bestFit="1" customWidth="1"/>
    <col min="15400" max="15400" width="12" style="474" bestFit="1" customWidth="1"/>
    <col min="15401" max="15616" width="8.85546875" style="474"/>
    <col min="15617" max="15617" width="7.28515625" style="474" customWidth="1"/>
    <col min="15618" max="15618" width="41" style="474" customWidth="1"/>
    <col min="15619" max="15619" width="16" style="474" customWidth="1"/>
    <col min="15620" max="15620" width="16.140625" style="474" bestFit="1" customWidth="1"/>
    <col min="15621" max="15621" width="11.85546875" style="474" customWidth="1"/>
    <col min="15622" max="15622" width="12.42578125" style="474" bestFit="1" customWidth="1"/>
    <col min="15623" max="15624" width="13" style="474" bestFit="1" customWidth="1"/>
    <col min="15625" max="15625" width="12.7109375" style="474" bestFit="1" customWidth="1"/>
    <col min="15626" max="15626" width="13.42578125" style="474" bestFit="1" customWidth="1"/>
    <col min="15627" max="15627" width="13.7109375" style="474" bestFit="1" customWidth="1"/>
    <col min="15628" max="15628" width="14.5703125" style="474" bestFit="1" customWidth="1"/>
    <col min="15629" max="15629" width="14.85546875" style="474" bestFit="1" customWidth="1"/>
    <col min="15630" max="15630" width="17.140625" style="474" customWidth="1"/>
    <col min="15631" max="15631" width="16.42578125" style="474" bestFit="1" customWidth="1"/>
    <col min="15632" max="15632" width="17.140625" style="474" bestFit="1" customWidth="1"/>
    <col min="15633" max="15633" width="24.28515625" style="474" customWidth="1"/>
    <col min="15634" max="15634" width="18.28515625" style="474" bestFit="1" customWidth="1"/>
    <col min="15635" max="15635" width="18.5703125" style="474" bestFit="1" customWidth="1"/>
    <col min="15636" max="15636" width="19.28515625" style="474" bestFit="1" customWidth="1"/>
    <col min="15637" max="15637" width="20.42578125" style="474" bestFit="1" customWidth="1"/>
    <col min="15638" max="15638" width="20.85546875" style="474" bestFit="1" customWidth="1"/>
    <col min="15639" max="15639" width="21.42578125" style="474" bestFit="1" customWidth="1"/>
    <col min="15640" max="15641" width="22.28515625" style="474" bestFit="1" customWidth="1"/>
    <col min="15642" max="15643" width="23.85546875" style="474" bestFit="1" customWidth="1"/>
    <col min="15644" max="15645" width="24.85546875" style="474" bestFit="1" customWidth="1"/>
    <col min="15646" max="15650" width="11.28515625" style="474" bestFit="1" customWidth="1"/>
    <col min="15651" max="15655" width="12.28515625" style="474" bestFit="1" customWidth="1"/>
    <col min="15656" max="15656" width="12" style="474" bestFit="1" customWidth="1"/>
    <col min="15657" max="15872" width="8.85546875" style="474"/>
    <col min="15873" max="15873" width="7.28515625" style="474" customWidth="1"/>
    <col min="15874" max="15874" width="41" style="474" customWidth="1"/>
    <col min="15875" max="15875" width="16" style="474" customWidth="1"/>
    <col min="15876" max="15876" width="16.140625" style="474" bestFit="1" customWidth="1"/>
    <col min="15877" max="15877" width="11.85546875" style="474" customWidth="1"/>
    <col min="15878" max="15878" width="12.42578125" style="474" bestFit="1" customWidth="1"/>
    <col min="15879" max="15880" width="13" style="474" bestFit="1" customWidth="1"/>
    <col min="15881" max="15881" width="12.7109375" style="474" bestFit="1" customWidth="1"/>
    <col min="15882" max="15882" width="13.42578125" style="474" bestFit="1" customWidth="1"/>
    <col min="15883" max="15883" width="13.7109375" style="474" bestFit="1" customWidth="1"/>
    <col min="15884" max="15884" width="14.5703125" style="474" bestFit="1" customWidth="1"/>
    <col min="15885" max="15885" width="14.85546875" style="474" bestFit="1" customWidth="1"/>
    <col min="15886" max="15886" width="17.140625" style="474" customWidth="1"/>
    <col min="15887" max="15887" width="16.42578125" style="474" bestFit="1" customWidth="1"/>
    <col min="15888" max="15888" width="17.140625" style="474" bestFit="1" customWidth="1"/>
    <col min="15889" max="15889" width="24.28515625" style="474" customWidth="1"/>
    <col min="15890" max="15890" width="18.28515625" style="474" bestFit="1" customWidth="1"/>
    <col min="15891" max="15891" width="18.5703125" style="474" bestFit="1" customWidth="1"/>
    <col min="15892" max="15892" width="19.28515625" style="474" bestFit="1" customWidth="1"/>
    <col min="15893" max="15893" width="20.42578125" style="474" bestFit="1" customWidth="1"/>
    <col min="15894" max="15894" width="20.85546875" style="474" bestFit="1" customWidth="1"/>
    <col min="15895" max="15895" width="21.42578125" style="474" bestFit="1" customWidth="1"/>
    <col min="15896" max="15897" width="22.28515625" style="474" bestFit="1" customWidth="1"/>
    <col min="15898" max="15899" width="23.85546875" style="474" bestFit="1" customWidth="1"/>
    <col min="15900" max="15901" width="24.85546875" style="474" bestFit="1" customWidth="1"/>
    <col min="15902" max="15906" width="11.28515625" style="474" bestFit="1" customWidth="1"/>
    <col min="15907" max="15911" width="12.28515625" style="474" bestFit="1" customWidth="1"/>
    <col min="15912" max="15912" width="12" style="474" bestFit="1" customWidth="1"/>
    <col min="15913" max="16128" width="8.85546875" style="474"/>
    <col min="16129" max="16129" width="7.28515625" style="474" customWidth="1"/>
    <col min="16130" max="16130" width="41" style="474" customWidth="1"/>
    <col min="16131" max="16131" width="16" style="474" customWidth="1"/>
    <col min="16132" max="16132" width="16.140625" style="474" bestFit="1" customWidth="1"/>
    <col min="16133" max="16133" width="11.85546875" style="474" customWidth="1"/>
    <col min="16134" max="16134" width="12.42578125" style="474" bestFit="1" customWidth="1"/>
    <col min="16135" max="16136" width="13" style="474" bestFit="1" customWidth="1"/>
    <col min="16137" max="16137" width="12.7109375" style="474" bestFit="1" customWidth="1"/>
    <col min="16138" max="16138" width="13.42578125" style="474" bestFit="1" customWidth="1"/>
    <col min="16139" max="16139" width="13.7109375" style="474" bestFit="1" customWidth="1"/>
    <col min="16140" max="16140" width="14.5703125" style="474" bestFit="1" customWidth="1"/>
    <col min="16141" max="16141" width="14.85546875" style="474" bestFit="1" customWidth="1"/>
    <col min="16142" max="16142" width="17.140625" style="474" customWidth="1"/>
    <col min="16143" max="16143" width="16.42578125" style="474" bestFit="1" customWidth="1"/>
    <col min="16144" max="16144" width="17.140625" style="474" bestFit="1" customWidth="1"/>
    <col min="16145" max="16145" width="24.28515625" style="474" customWidth="1"/>
    <col min="16146" max="16146" width="18.28515625" style="474" bestFit="1" customWidth="1"/>
    <col min="16147" max="16147" width="18.5703125" style="474" bestFit="1" customWidth="1"/>
    <col min="16148" max="16148" width="19.28515625" style="474" bestFit="1" customWidth="1"/>
    <col min="16149" max="16149" width="20.42578125" style="474" bestFit="1" customWidth="1"/>
    <col min="16150" max="16150" width="20.85546875" style="474" bestFit="1" customWidth="1"/>
    <col min="16151" max="16151" width="21.42578125" style="474" bestFit="1" customWidth="1"/>
    <col min="16152" max="16153" width="22.28515625" style="474" bestFit="1" customWidth="1"/>
    <col min="16154" max="16155" width="23.85546875" style="474" bestFit="1" customWidth="1"/>
    <col min="16156" max="16157" width="24.85546875" style="474" bestFit="1" customWidth="1"/>
    <col min="16158" max="16162" width="11.28515625" style="474" bestFit="1" customWidth="1"/>
    <col min="16163" max="16167" width="12.28515625" style="474" bestFit="1" customWidth="1"/>
    <col min="16168" max="16168" width="12" style="474" bestFit="1" customWidth="1"/>
    <col min="16169" max="16384" width="8.85546875" style="474"/>
  </cols>
  <sheetData>
    <row r="1" spans="2:14" ht="12.95">
      <c r="B1" s="505" t="s">
        <v>293</v>
      </c>
      <c r="C1" s="506"/>
      <c r="D1" s="507"/>
      <c r="E1" s="474" t="s">
        <v>294</v>
      </c>
    </row>
    <row r="2" spans="2:14">
      <c r="B2" s="508"/>
      <c r="C2" s="509"/>
      <c r="D2" s="510"/>
    </row>
    <row r="3" spans="2:14">
      <c r="B3" s="508" t="s">
        <v>96</v>
      </c>
      <c r="C3" s="509"/>
      <c r="D3" s="511">
        <f>TogoDigesterAnaly!B69</f>
        <v>3937.5655515621584</v>
      </c>
    </row>
    <row r="4" spans="2:14">
      <c r="B4" s="508" t="s">
        <v>295</v>
      </c>
      <c r="C4" s="509"/>
      <c r="D4" s="708">
        <v>2570</v>
      </c>
      <c r="E4" s="474" t="s">
        <v>296</v>
      </c>
    </row>
    <row r="5" spans="2:14">
      <c r="B5" s="508" t="s">
        <v>297</v>
      </c>
      <c r="C5" s="509"/>
      <c r="D5" s="512">
        <f>D3*CapitalCostperKW</f>
        <v>10119543.467514748</v>
      </c>
      <c r="F5" s="709" t="s">
        <v>298</v>
      </c>
      <c r="G5" s="710" t="s">
        <v>299</v>
      </c>
    </row>
    <row r="6" spans="2:14">
      <c r="B6" s="508"/>
      <c r="C6" s="509"/>
      <c r="D6" s="510"/>
      <c r="F6" s="709"/>
      <c r="G6" s="711"/>
    </row>
    <row r="7" spans="2:14">
      <c r="B7" s="508" t="s">
        <v>300</v>
      </c>
      <c r="C7" s="509" t="s">
        <v>301</v>
      </c>
      <c r="D7" s="513">
        <v>0</v>
      </c>
      <c r="F7" s="709" t="s">
        <v>10</v>
      </c>
      <c r="G7" s="711">
        <v>677</v>
      </c>
    </row>
    <row r="8" spans="2:14">
      <c r="B8" s="508" t="s">
        <v>302</v>
      </c>
      <c r="C8" s="509" t="s">
        <v>301</v>
      </c>
      <c r="D8" s="514">
        <v>0</v>
      </c>
      <c r="F8" s="709" t="s">
        <v>8</v>
      </c>
      <c r="G8" s="711">
        <v>674</v>
      </c>
    </row>
    <row r="9" spans="2:14">
      <c r="B9" s="508" t="s">
        <v>303</v>
      </c>
      <c r="C9" s="509" t="s">
        <v>304</v>
      </c>
      <c r="D9" s="514">
        <v>0</v>
      </c>
      <c r="F9" s="709" t="s">
        <v>6</v>
      </c>
      <c r="G9" s="711">
        <v>527</v>
      </c>
    </row>
    <row r="10" spans="2:14">
      <c r="B10" s="508" t="s">
        <v>305</v>
      </c>
      <c r="C10" s="509" t="s">
        <v>304</v>
      </c>
      <c r="D10" s="515">
        <f>0.9/100</f>
        <v>9.0000000000000011E-3</v>
      </c>
      <c r="F10" s="709"/>
      <c r="G10" s="711">
        <f>SUM(G6:G9)</f>
        <v>1878</v>
      </c>
    </row>
    <row r="11" spans="2:14">
      <c r="B11" s="508"/>
      <c r="C11" s="509"/>
      <c r="D11" s="510"/>
      <c r="F11" s="709"/>
      <c r="G11" s="709"/>
    </row>
    <row r="12" spans="2:14">
      <c r="B12" s="508" t="s">
        <v>306</v>
      </c>
      <c r="C12" s="516" t="s">
        <v>307</v>
      </c>
      <c r="D12" s="517">
        <v>0.3</v>
      </c>
      <c r="E12" s="474" t="s">
        <v>308</v>
      </c>
      <c r="F12" s="709"/>
      <c r="G12" s="709">
        <f>G10/4</f>
        <v>469.5</v>
      </c>
      <c r="H12" s="474">
        <f>(G7+G8+G9)/3</f>
        <v>626</v>
      </c>
      <c r="I12" s="474" t="s">
        <v>309</v>
      </c>
    </row>
    <row r="13" spans="2:14">
      <c r="B13" s="508" t="s">
        <v>310</v>
      </c>
      <c r="C13" s="516" t="s">
        <v>307</v>
      </c>
      <c r="D13" s="518">
        <v>0.44</v>
      </c>
      <c r="E13" s="474" t="s">
        <v>308</v>
      </c>
      <c r="F13" t="s">
        <v>311</v>
      </c>
    </row>
    <row r="14" spans="2:14" ht="17.25" customHeight="1">
      <c r="B14" s="508" t="s">
        <v>312</v>
      </c>
      <c r="C14" s="516" t="s">
        <v>313</v>
      </c>
      <c r="D14" s="519">
        <f>12*365</f>
        <v>4380</v>
      </c>
      <c r="F14" s="474" t="s">
        <v>314</v>
      </c>
      <c r="N14" s="477"/>
    </row>
    <row r="15" spans="2:14">
      <c r="B15" s="508"/>
      <c r="C15" s="509"/>
      <c r="D15" s="510"/>
      <c r="F15" s="474" t="s">
        <v>315</v>
      </c>
      <c r="N15" s="477"/>
    </row>
    <row r="16" spans="2:14">
      <c r="B16" s="508" t="s">
        <v>316</v>
      </c>
      <c r="C16" s="509" t="s">
        <v>304</v>
      </c>
      <c r="D16" s="520">
        <v>0.08</v>
      </c>
      <c r="E16" s="474" t="s">
        <v>317</v>
      </c>
    </row>
    <row r="17" spans="2:27" s="478" customFormat="1" ht="12.95">
      <c r="B17" s="508" t="s">
        <v>318</v>
      </c>
      <c r="C17" s="509" t="s">
        <v>304</v>
      </c>
      <c r="D17" s="521">
        <v>0.23</v>
      </c>
      <c r="E17" s="478" t="s">
        <v>319</v>
      </c>
      <c r="O17" s="479"/>
      <c r="R17" s="480"/>
    </row>
    <row r="18" spans="2:27">
      <c r="B18" s="508"/>
      <c r="C18" s="509"/>
      <c r="D18" s="510"/>
      <c r="U18" s="481"/>
      <c r="V18" s="481"/>
      <c r="Z18" s="482"/>
    </row>
    <row r="19" spans="2:27">
      <c r="B19" s="508"/>
      <c r="C19" s="509"/>
      <c r="D19" s="510"/>
      <c r="Q19" s="483"/>
      <c r="U19" s="481"/>
      <c r="V19" s="481"/>
      <c r="Z19" s="482"/>
    </row>
    <row r="20" spans="2:27">
      <c r="B20" s="508"/>
      <c r="C20" s="509"/>
      <c r="D20" s="510"/>
      <c r="U20" s="481"/>
      <c r="V20" s="481"/>
      <c r="Z20" s="482"/>
    </row>
    <row r="21" spans="2:27">
      <c r="B21" s="508" t="s">
        <v>320</v>
      </c>
      <c r="C21" s="516" t="s">
        <v>321</v>
      </c>
      <c r="D21" s="522">
        <f>G9/1000</f>
        <v>0.52700000000000002</v>
      </c>
      <c r="E21" s="707" t="s">
        <v>322</v>
      </c>
      <c r="U21" s="481"/>
      <c r="V21" s="481"/>
      <c r="Z21" s="482"/>
    </row>
    <row r="22" spans="2:27">
      <c r="B22" s="508" t="s">
        <v>323</v>
      </c>
      <c r="C22" s="516" t="s">
        <v>321</v>
      </c>
      <c r="D22" s="523">
        <f>H12/1000</f>
        <v>0.626</v>
      </c>
      <c r="E22" s="707"/>
      <c r="U22" s="481"/>
      <c r="V22" s="481"/>
      <c r="Z22" s="482"/>
    </row>
    <row r="23" spans="2:27">
      <c r="B23" s="508" t="s">
        <v>327</v>
      </c>
      <c r="C23" s="516" t="s">
        <v>321</v>
      </c>
      <c r="D23" s="523">
        <v>0.64</v>
      </c>
      <c r="E23" s="474" t="s">
        <v>328</v>
      </c>
      <c r="P23" s="481"/>
      <c r="V23" s="481"/>
      <c r="Z23" s="482"/>
    </row>
    <row r="24" spans="2:27">
      <c r="B24" s="508" t="s">
        <v>329</v>
      </c>
      <c r="C24" s="516" t="s">
        <v>307</v>
      </c>
      <c r="D24" s="524">
        <v>0</v>
      </c>
      <c r="U24" s="481"/>
      <c r="V24" s="481"/>
      <c r="Z24" s="482"/>
    </row>
    <row r="25" spans="2:27">
      <c r="B25" s="508"/>
      <c r="C25" s="509"/>
      <c r="D25" s="510"/>
      <c r="U25" s="481"/>
      <c r="V25" s="481"/>
      <c r="Z25" s="482"/>
    </row>
    <row r="26" spans="2:27">
      <c r="B26" s="508"/>
      <c r="C26" s="509"/>
      <c r="D26" s="510"/>
      <c r="U26" s="481"/>
      <c r="V26" s="481"/>
      <c r="Z26" s="482"/>
    </row>
    <row r="27" spans="2:27">
      <c r="B27" s="525" t="s">
        <v>330</v>
      </c>
      <c r="C27" s="526" t="s">
        <v>331</v>
      </c>
      <c r="D27" s="527">
        <f>D5</f>
        <v>10119543.467514748</v>
      </c>
      <c r="U27" s="481"/>
      <c r="V27" s="481"/>
      <c r="Z27" s="482"/>
    </row>
    <row r="28" spans="2:27">
      <c r="U28" s="481"/>
      <c r="V28" s="481"/>
      <c r="Z28" s="482"/>
    </row>
    <row r="29" spans="2:27">
      <c r="B29" s="528" t="s">
        <v>332</v>
      </c>
      <c r="C29" s="529">
        <v>1</v>
      </c>
      <c r="D29" s="530" t="s">
        <v>333</v>
      </c>
      <c r="M29" s="481"/>
      <c r="U29" s="481"/>
      <c r="V29" s="481"/>
      <c r="Z29" s="482"/>
    </row>
    <row r="30" spans="2:27">
      <c r="B30" s="531" t="s">
        <v>334</v>
      </c>
      <c r="C30" s="532">
        <v>1000</v>
      </c>
      <c r="D30" s="533" t="s">
        <v>335</v>
      </c>
      <c r="O30" s="481"/>
      <c r="P30" s="481"/>
      <c r="V30" s="481"/>
      <c r="W30" s="481"/>
      <c r="AA30" s="482"/>
    </row>
    <row r="31" spans="2:27">
      <c r="B31" s="531" t="s">
        <v>336</v>
      </c>
      <c r="C31" s="534">
        <v>3.5999999999999999E-3</v>
      </c>
      <c r="D31" s="533" t="s">
        <v>337</v>
      </c>
      <c r="O31" s="481"/>
      <c r="P31" s="481"/>
      <c r="V31" s="481"/>
      <c r="W31" s="481"/>
      <c r="AA31" s="482"/>
    </row>
    <row r="33" spans="2:5" ht="12.95">
      <c r="B33" s="880" t="s">
        <v>338</v>
      </c>
      <c r="C33" s="881"/>
      <c r="D33" s="882"/>
    </row>
    <row r="34" spans="2:5">
      <c r="B34" s="535" t="s">
        <v>339</v>
      </c>
      <c r="C34" s="536" t="s">
        <v>307</v>
      </c>
      <c r="D34" s="517">
        <v>1</v>
      </c>
    </row>
    <row r="35" spans="2:5">
      <c r="B35" s="531" t="s">
        <v>340</v>
      </c>
      <c r="C35" s="533" t="s">
        <v>307</v>
      </c>
      <c r="D35" s="524">
        <v>0</v>
      </c>
    </row>
    <row r="36" spans="2:5">
      <c r="B36" s="537" t="s">
        <v>341</v>
      </c>
      <c r="C36" s="538" t="s">
        <v>342</v>
      </c>
      <c r="D36" s="539">
        <v>25</v>
      </c>
    </row>
    <row r="37" spans="2:5">
      <c r="B37" s="531" t="s">
        <v>343</v>
      </c>
      <c r="C37" s="533" t="s">
        <v>342</v>
      </c>
      <c r="D37" s="540">
        <v>25</v>
      </c>
    </row>
    <row r="38" spans="2:5">
      <c r="B38" s="537" t="s">
        <v>344</v>
      </c>
      <c r="C38" s="538" t="s">
        <v>307</v>
      </c>
      <c r="D38" s="518">
        <v>0.14699999999999999</v>
      </c>
      <c r="E38" s="474" t="s">
        <v>308</v>
      </c>
    </row>
    <row r="39" spans="2:5">
      <c r="B39" s="537" t="s">
        <v>345</v>
      </c>
      <c r="C39" s="538" t="s">
        <v>307</v>
      </c>
      <c r="D39" s="518">
        <f>0.0075</f>
        <v>7.4999999999999997E-3</v>
      </c>
    </row>
    <row r="40" spans="2:5">
      <c r="B40" s="537" t="s">
        <v>346</v>
      </c>
      <c r="C40" s="538" t="s">
        <v>307</v>
      </c>
      <c r="D40" s="518">
        <v>0.12</v>
      </c>
      <c r="E40" s="474" t="s">
        <v>347</v>
      </c>
    </row>
    <row r="41" spans="2:5">
      <c r="B41" s="531" t="s">
        <v>348</v>
      </c>
      <c r="C41" s="533" t="s">
        <v>307</v>
      </c>
      <c r="D41" s="524">
        <v>0.2</v>
      </c>
      <c r="E41" s="474" t="s">
        <v>349</v>
      </c>
    </row>
    <row r="43" spans="2:5" ht="13.5" thickBot="1">
      <c r="B43" s="883" t="s">
        <v>350</v>
      </c>
      <c r="C43" s="883"/>
      <c r="D43" s="883"/>
    </row>
    <row r="44" spans="2:5" ht="12.95" thickTop="1">
      <c r="B44" s="509" t="s">
        <v>351</v>
      </c>
      <c r="C44" s="541">
        <f>D101</f>
        <v>10119543.467514748</v>
      </c>
      <c r="D44" s="516" t="s">
        <v>331</v>
      </c>
    </row>
    <row r="45" spans="2:5">
      <c r="B45" s="509" t="s">
        <v>352</v>
      </c>
      <c r="C45" s="541">
        <f>SUM(D83:AB84)</f>
        <v>3880470.8510645078</v>
      </c>
      <c r="D45" s="516" t="s">
        <v>331</v>
      </c>
    </row>
    <row r="46" spans="2:5" ht="13.5" thickBot="1">
      <c r="B46" s="542" t="s">
        <v>97</v>
      </c>
      <c r="C46" s="543">
        <f>C45+C44</f>
        <v>14000014.318579257</v>
      </c>
      <c r="D46" s="544" t="s">
        <v>331</v>
      </c>
    </row>
    <row r="47" spans="2:5">
      <c r="B47" s="509" t="s">
        <v>353</v>
      </c>
      <c r="C47" s="541">
        <f>D125</f>
        <v>-21223666.865104146</v>
      </c>
      <c r="D47" s="516" t="s">
        <v>331</v>
      </c>
    </row>
    <row r="48" spans="2:5">
      <c r="B48" s="509" t="s">
        <v>354</v>
      </c>
      <c r="C48" s="541">
        <f>D131</f>
        <v>-8836039.0863192789</v>
      </c>
      <c r="D48" s="516" t="s">
        <v>331</v>
      </c>
    </row>
    <row r="49" spans="2:4" ht="13.5" thickBot="1">
      <c r="B49" s="542" t="s">
        <v>355</v>
      </c>
      <c r="C49" s="543">
        <f>C46-C47-C48</f>
        <v>44059720.270002678</v>
      </c>
      <c r="D49" s="544" t="s">
        <v>331</v>
      </c>
    </row>
    <row r="51" spans="2:4" ht="13.5" thickBot="1">
      <c r="B51" s="883" t="s">
        <v>356</v>
      </c>
      <c r="C51" s="883"/>
      <c r="D51" s="883"/>
    </row>
    <row r="52" spans="2:4" ht="12.95" thickTop="1">
      <c r="B52" s="509" t="s">
        <v>351</v>
      </c>
      <c r="C52" s="541">
        <f>C44/D79</f>
        <v>2.3470319634703214E-2</v>
      </c>
      <c r="D52" s="516" t="s">
        <v>331</v>
      </c>
    </row>
    <row r="53" spans="2:4">
      <c r="B53" s="509" t="s">
        <v>352</v>
      </c>
      <c r="C53" s="541">
        <f>C45/D79</f>
        <v>9.000000000000008E-3</v>
      </c>
      <c r="D53" s="516" t="s">
        <v>331</v>
      </c>
    </row>
    <row r="54" spans="2:4" ht="13.5" thickBot="1">
      <c r="B54" s="542" t="s">
        <v>97</v>
      </c>
      <c r="C54" s="543">
        <f>C53+C52</f>
        <v>3.2470319634703218E-2</v>
      </c>
      <c r="D54" s="544" t="s">
        <v>331</v>
      </c>
    </row>
    <row r="55" spans="2:4">
      <c r="B55" s="509" t="s">
        <v>353</v>
      </c>
      <c r="C55" s="541">
        <f>C47/D79</f>
        <v>-4.9224181579289004E-2</v>
      </c>
      <c r="D55" s="516" t="s">
        <v>331</v>
      </c>
    </row>
    <row r="56" spans="2:4">
      <c r="B56" s="509" t="s">
        <v>354</v>
      </c>
      <c r="C56" s="541">
        <f>C48/D79</f>
        <v>-2.0493480000000029E-2</v>
      </c>
      <c r="D56" s="516" t="s">
        <v>331</v>
      </c>
    </row>
    <row r="57" spans="2:4" ht="13.5" thickBot="1">
      <c r="B57" s="542" t="s">
        <v>355</v>
      </c>
      <c r="C57" s="543">
        <f>C54-C55-C56</f>
        <v>0.10218798121399225</v>
      </c>
      <c r="D57" s="544" t="s">
        <v>331</v>
      </c>
    </row>
    <row r="59" spans="2:4" ht="12.95">
      <c r="B59" s="880" t="s">
        <v>357</v>
      </c>
      <c r="C59" s="881"/>
      <c r="D59" s="882"/>
    </row>
    <row r="60" spans="2:4" ht="12.95">
      <c r="B60" s="528" t="s">
        <v>358</v>
      </c>
      <c r="C60" s="545" t="s">
        <v>359</v>
      </c>
      <c r="D60" s="521">
        <f>SUM(D111:AM111)/SUM(D110:AM110)</f>
        <v>0.12733094382623938</v>
      </c>
    </row>
    <row r="61" spans="2:4" ht="12.95">
      <c r="B61" s="528" t="s">
        <v>360</v>
      </c>
      <c r="C61" s="545" t="s">
        <v>359</v>
      </c>
      <c r="D61" s="521">
        <f>SUM(D112:AM112)/SUM(D110:AM110)</f>
        <v>0.14716476980411894</v>
      </c>
    </row>
    <row r="62" spans="2:4" ht="12.95">
      <c r="B62" s="528" t="s">
        <v>358</v>
      </c>
      <c r="C62" s="545" t="s">
        <v>361</v>
      </c>
      <c r="D62" s="546">
        <f>D60/$C$31</f>
        <v>35.369706618399832</v>
      </c>
    </row>
    <row r="63" spans="2:4" ht="12.95">
      <c r="B63" s="528" t="s">
        <v>362</v>
      </c>
      <c r="C63" s="545" t="s">
        <v>361</v>
      </c>
      <c r="D63" s="546">
        <f>D61/C31</f>
        <v>40.879102723366373</v>
      </c>
    </row>
    <row r="65" spans="1:39" ht="13.5" thickBot="1">
      <c r="B65" s="547" t="s">
        <v>363</v>
      </c>
      <c r="C65" s="548" t="s">
        <v>364</v>
      </c>
      <c r="D65" s="547"/>
    </row>
    <row r="66" spans="1:39" ht="12.95" thickTop="1">
      <c r="B66" s="549" t="s">
        <v>365</v>
      </c>
      <c r="C66" s="516" t="s">
        <v>331</v>
      </c>
      <c r="D66" s="550">
        <f>(D16-D60)*SUM(D78:AB78)</f>
        <v>-20407371.985677045</v>
      </c>
    </row>
    <row r="67" spans="1:39">
      <c r="B67" s="549" t="s">
        <v>366</v>
      </c>
      <c r="C67" s="516" t="s">
        <v>331</v>
      </c>
      <c r="D67" s="550">
        <f>(D17-D60)*SUM(D78:AB78)</f>
        <v>44267142.19873137</v>
      </c>
    </row>
    <row r="68" spans="1:39">
      <c r="B68" s="549" t="s">
        <v>367</v>
      </c>
      <c r="C68" s="516" t="s">
        <v>368</v>
      </c>
      <c r="D68" s="551">
        <f>D21*SUM(D78:AB78)</f>
        <v>227223126.50122154</v>
      </c>
      <c r="E68" s="484"/>
    </row>
    <row r="69" spans="1:39">
      <c r="B69" s="549" t="s">
        <v>369</v>
      </c>
      <c r="C69" s="516" t="s">
        <v>368</v>
      </c>
      <c r="D69" s="551">
        <f>D23*SUM(D78:AB78)</f>
        <v>275944593.85347587</v>
      </c>
      <c r="E69" s="484"/>
    </row>
    <row r="71" spans="1:39">
      <c r="B71" s="509" t="s">
        <v>370</v>
      </c>
      <c r="C71" s="516" t="s">
        <v>371</v>
      </c>
      <c r="D71" s="551">
        <f>SUM(D78:AB78)</f>
        <v>431163427.89605606</v>
      </c>
    </row>
    <row r="72" spans="1:39">
      <c r="B72" s="509" t="s">
        <v>372</v>
      </c>
      <c r="C72" s="552" t="s">
        <v>373</v>
      </c>
      <c r="D72" s="553">
        <f>D120</f>
        <v>-275944.59385347599</v>
      </c>
    </row>
    <row r="75" spans="1:39" ht="12.95">
      <c r="B75" s="554" t="s">
        <v>67</v>
      </c>
      <c r="C75" s="555"/>
      <c r="D75" s="556" t="s">
        <v>374</v>
      </c>
      <c r="E75" s="556" t="s">
        <v>375</v>
      </c>
      <c r="F75" s="556" t="s">
        <v>376</v>
      </c>
      <c r="G75" s="556" t="s">
        <v>377</v>
      </c>
      <c r="H75" s="556" t="s">
        <v>378</v>
      </c>
      <c r="I75" s="556" t="s">
        <v>379</v>
      </c>
      <c r="J75" s="556" t="s">
        <v>380</v>
      </c>
      <c r="K75" s="556" t="s">
        <v>381</v>
      </c>
      <c r="L75" s="556" t="s">
        <v>382</v>
      </c>
      <c r="M75" s="556" t="s">
        <v>383</v>
      </c>
      <c r="N75" s="556" t="s">
        <v>384</v>
      </c>
      <c r="O75" s="556" t="s">
        <v>385</v>
      </c>
      <c r="P75" s="556" t="s">
        <v>386</v>
      </c>
      <c r="Q75" s="556" t="s">
        <v>387</v>
      </c>
      <c r="R75" s="556" t="s">
        <v>388</v>
      </c>
      <c r="S75" s="556" t="s">
        <v>389</v>
      </c>
      <c r="T75" s="556" t="s">
        <v>390</v>
      </c>
      <c r="U75" s="556" t="s">
        <v>391</v>
      </c>
      <c r="V75" s="556" t="s">
        <v>392</v>
      </c>
      <c r="W75" s="556" t="s">
        <v>393</v>
      </c>
      <c r="X75" s="556" t="s">
        <v>394</v>
      </c>
      <c r="Y75" s="556" t="s">
        <v>395</v>
      </c>
      <c r="Z75" s="556" t="s">
        <v>396</v>
      </c>
      <c r="AA75" s="556" t="s">
        <v>397</v>
      </c>
      <c r="AB75" s="556" t="s">
        <v>398</v>
      </c>
      <c r="AC75" s="556" t="s">
        <v>399</v>
      </c>
      <c r="AD75" s="556" t="s">
        <v>400</v>
      </c>
      <c r="AE75" s="556" t="s">
        <v>401</v>
      </c>
      <c r="AF75" s="556" t="s">
        <v>402</v>
      </c>
      <c r="AG75" s="556" t="s">
        <v>403</v>
      </c>
      <c r="AH75" s="556" t="s">
        <v>404</v>
      </c>
      <c r="AI75" s="556" t="s">
        <v>405</v>
      </c>
      <c r="AJ75" s="556" t="s">
        <v>406</v>
      </c>
      <c r="AK75" s="556" t="s">
        <v>407</v>
      </c>
      <c r="AL75" s="556" t="s">
        <v>408</v>
      </c>
      <c r="AM75" s="556" t="s">
        <v>409</v>
      </c>
    </row>
    <row r="76" spans="1:39">
      <c r="B76" s="557" t="s">
        <v>410</v>
      </c>
      <c r="C76" s="558"/>
      <c r="D76" s="559">
        <v>0</v>
      </c>
      <c r="E76" s="559">
        <v>1</v>
      </c>
      <c r="F76" s="559">
        <v>2</v>
      </c>
      <c r="G76" s="559">
        <v>3</v>
      </c>
      <c r="H76" s="559">
        <v>4</v>
      </c>
      <c r="I76" s="559">
        <v>5</v>
      </c>
      <c r="J76" s="559">
        <v>6</v>
      </c>
      <c r="K76" s="559">
        <v>7</v>
      </c>
      <c r="L76" s="559">
        <v>8</v>
      </c>
      <c r="M76" s="559">
        <v>9</v>
      </c>
      <c r="N76" s="559">
        <v>10</v>
      </c>
      <c r="O76" s="559">
        <v>11</v>
      </c>
      <c r="P76" s="559">
        <v>12</v>
      </c>
      <c r="Q76" s="559">
        <v>13</v>
      </c>
      <c r="R76" s="559">
        <v>14</v>
      </c>
      <c r="S76" s="559">
        <v>15</v>
      </c>
      <c r="T76" s="559">
        <v>16</v>
      </c>
      <c r="U76" s="559">
        <v>17</v>
      </c>
      <c r="V76" s="559">
        <v>18</v>
      </c>
      <c r="W76" s="559">
        <v>19</v>
      </c>
      <c r="X76" s="559">
        <v>20</v>
      </c>
      <c r="Y76" s="559">
        <v>21</v>
      </c>
      <c r="Z76" s="559">
        <v>22</v>
      </c>
      <c r="AA76" s="559">
        <v>23</v>
      </c>
      <c r="AB76" s="559">
        <v>24</v>
      </c>
      <c r="AC76" s="559">
        <v>25</v>
      </c>
      <c r="AD76" s="559">
        <v>26</v>
      </c>
      <c r="AE76" s="559">
        <v>27</v>
      </c>
      <c r="AF76" s="559">
        <v>28</v>
      </c>
      <c r="AG76" s="559">
        <v>29</v>
      </c>
      <c r="AH76" s="559">
        <v>30</v>
      </c>
      <c r="AI76" s="559">
        <v>31</v>
      </c>
      <c r="AJ76" s="559">
        <v>32</v>
      </c>
      <c r="AK76" s="559">
        <v>33</v>
      </c>
      <c r="AL76" s="559">
        <v>34</v>
      </c>
      <c r="AM76" s="560">
        <v>35</v>
      </c>
    </row>
    <row r="77" spans="1:39" ht="18" customHeight="1">
      <c r="B77" s="478"/>
      <c r="C77" s="485"/>
      <c r="D77" s="485"/>
    </row>
    <row r="78" spans="1:39">
      <c r="B78" s="561" t="s">
        <v>411</v>
      </c>
      <c r="C78" s="545" t="s">
        <v>412</v>
      </c>
      <c r="D78" s="562">
        <f>TogoDigesterAnaly!B68</f>
        <v>17246537.115842253</v>
      </c>
      <c r="E78" s="532">
        <f>'TogoBiogas Electricity Fin'!$D$78</f>
        <v>17246537.115842253</v>
      </c>
      <c r="F78" s="532">
        <f>'TogoBiogas Electricity Fin'!$D$78</f>
        <v>17246537.115842253</v>
      </c>
      <c r="G78" s="532">
        <f>'TogoBiogas Electricity Fin'!$D$78</f>
        <v>17246537.115842253</v>
      </c>
      <c r="H78" s="532">
        <f>'TogoBiogas Electricity Fin'!$D$78</f>
        <v>17246537.115842253</v>
      </c>
      <c r="I78" s="532">
        <f>'TogoBiogas Electricity Fin'!$D$78</f>
        <v>17246537.115842253</v>
      </c>
      <c r="J78" s="532">
        <f>'TogoBiogas Electricity Fin'!$D$78</f>
        <v>17246537.115842253</v>
      </c>
      <c r="K78" s="532">
        <f>'TogoBiogas Electricity Fin'!$D$78</f>
        <v>17246537.115842253</v>
      </c>
      <c r="L78" s="532">
        <f>'TogoBiogas Electricity Fin'!$D$78</f>
        <v>17246537.115842253</v>
      </c>
      <c r="M78" s="532">
        <f>'TogoBiogas Electricity Fin'!$D$78</f>
        <v>17246537.115842253</v>
      </c>
      <c r="N78" s="532">
        <f>'TogoBiogas Electricity Fin'!$D$78</f>
        <v>17246537.115842253</v>
      </c>
      <c r="O78" s="532">
        <f>'TogoBiogas Electricity Fin'!$D$78</f>
        <v>17246537.115842253</v>
      </c>
      <c r="P78" s="532">
        <f>'TogoBiogas Electricity Fin'!$D$78</f>
        <v>17246537.115842253</v>
      </c>
      <c r="Q78" s="532">
        <f>'TogoBiogas Electricity Fin'!$D$78</f>
        <v>17246537.115842253</v>
      </c>
      <c r="R78" s="719">
        <f>'TogoBiogas Electricity Fin'!$D$78</f>
        <v>17246537.115842253</v>
      </c>
      <c r="S78" s="532">
        <f>'TogoBiogas Electricity Fin'!$D$78</f>
        <v>17246537.115842253</v>
      </c>
      <c r="T78" s="532">
        <f>'TogoBiogas Electricity Fin'!$D$78</f>
        <v>17246537.115842253</v>
      </c>
      <c r="U78" s="532">
        <f>'TogoBiogas Electricity Fin'!$D$78</f>
        <v>17246537.115842253</v>
      </c>
      <c r="V78" s="532">
        <f>'TogoBiogas Electricity Fin'!$D$78</f>
        <v>17246537.115842253</v>
      </c>
      <c r="W78" s="532">
        <f>'TogoBiogas Electricity Fin'!$D$78</f>
        <v>17246537.115842253</v>
      </c>
      <c r="X78" s="532">
        <f>'TogoBiogas Electricity Fin'!$D$78</f>
        <v>17246537.115842253</v>
      </c>
      <c r="Y78" s="532">
        <f>'TogoBiogas Electricity Fin'!$D$78</f>
        <v>17246537.115842253</v>
      </c>
      <c r="Z78" s="532">
        <f>'TogoBiogas Electricity Fin'!$D$78</f>
        <v>17246537.115842253</v>
      </c>
      <c r="AA78" s="532">
        <f>'TogoBiogas Electricity Fin'!$D$78</f>
        <v>17246537.115842253</v>
      </c>
      <c r="AB78" s="532">
        <f>'TogoBiogas Electricity Fin'!$D$78</f>
        <v>17246537.115842253</v>
      </c>
      <c r="AC78" s="532">
        <f>AB78</f>
        <v>17246537.115842253</v>
      </c>
      <c r="AD78" s="532">
        <f>IF(AD76&lt;=$D$37,AC78*(1-'TogoBiogas Electricity Fin'!$D$24),0)</f>
        <v>0</v>
      </c>
      <c r="AE78" s="532">
        <f>IF(AE76&lt;=$D$37,AD78*(1-'TogoBiogas Electricity Fin'!$D$24),0)</f>
        <v>0</v>
      </c>
      <c r="AF78" s="532">
        <f>IF(AF76&lt;=$D$37,AE78*(1-'TogoBiogas Electricity Fin'!$D$24),0)</f>
        <v>0</v>
      </c>
      <c r="AG78" s="532">
        <f>IF(AG76&lt;=$D$37,AF78*(1-'TogoBiogas Electricity Fin'!$D$24),0)</f>
        <v>0</v>
      </c>
      <c r="AH78" s="532">
        <f>IF(AH76&lt;=$D$37,AG78*(1-'TogoBiogas Electricity Fin'!$D$24),0)</f>
        <v>0</v>
      </c>
      <c r="AI78" s="532">
        <f>IF(AI76&lt;=$D$37,AH78*(1-'TogoBiogas Electricity Fin'!$D$24),0)</f>
        <v>0</v>
      </c>
      <c r="AJ78" s="532">
        <f>IF(AJ76&lt;=$D$37,AI78*(1-'TogoBiogas Electricity Fin'!$D$24),0)</f>
        <v>0</v>
      </c>
      <c r="AK78" s="532">
        <f>IF(AK76&lt;=$D$37,AJ78*(1-'TogoBiogas Electricity Fin'!$D$24),0)</f>
        <v>0</v>
      </c>
      <c r="AL78" s="532">
        <f>IF(AL76&lt;=$D$37,AK78*(1-'TogoBiogas Electricity Fin'!$D$24),0)</f>
        <v>0</v>
      </c>
      <c r="AM78" s="563">
        <f>IF(AM76&lt;=$D$37,AL78*(1-'TogoBiogas Electricity Fin'!$D$24),0)</f>
        <v>0</v>
      </c>
    </row>
    <row r="79" spans="1:39" s="487" customFormat="1">
      <c r="A79" s="474"/>
      <c r="B79" s="564" t="s">
        <v>413</v>
      </c>
      <c r="C79" s="545" t="s">
        <v>371</v>
      </c>
      <c r="D79" s="563">
        <f>SUM(D78:AB78)</f>
        <v>431163427.89605606</v>
      </c>
      <c r="E79" s="486"/>
      <c r="F79" s="486"/>
      <c r="G79" s="486"/>
      <c r="H79" s="486"/>
      <c r="I79" s="486"/>
      <c r="J79" s="486"/>
      <c r="K79" s="486"/>
      <c r="L79" s="486"/>
      <c r="M79" s="486"/>
      <c r="N79" s="486"/>
      <c r="O79" s="486"/>
      <c r="P79" s="486"/>
      <c r="Q79" s="486"/>
      <c r="R79" s="720"/>
      <c r="S79" s="486"/>
      <c r="T79" s="486"/>
      <c r="U79" s="486"/>
      <c r="V79" s="486"/>
      <c r="W79" s="486"/>
      <c r="X79" s="486"/>
      <c r="Y79" s="486"/>
      <c r="Z79" s="486"/>
      <c r="AA79" s="486"/>
      <c r="AB79" s="486"/>
      <c r="AC79" s="486"/>
      <c r="AD79" s="486"/>
      <c r="AE79" s="486"/>
      <c r="AF79" s="486"/>
      <c r="AG79" s="486"/>
      <c r="AH79" s="486"/>
      <c r="AI79" s="486"/>
      <c r="AJ79" s="486"/>
      <c r="AK79" s="486"/>
      <c r="AL79" s="486"/>
      <c r="AM79" s="486"/>
    </row>
    <row r="80" spans="1:39">
      <c r="B80" s="478"/>
      <c r="C80" s="485"/>
      <c r="D80" s="488"/>
      <c r="E80" s="488"/>
      <c r="F80" s="488"/>
      <c r="G80" s="488"/>
      <c r="H80" s="488"/>
      <c r="I80" s="488"/>
      <c r="J80" s="488"/>
      <c r="K80" s="488"/>
      <c r="L80" s="488"/>
      <c r="M80" s="488"/>
      <c r="N80" s="488"/>
      <c r="O80" s="488"/>
      <c r="P80" s="488"/>
      <c r="Q80" s="488"/>
      <c r="R80" s="488"/>
      <c r="S80" s="488"/>
      <c r="T80" s="488"/>
      <c r="U80" s="488"/>
      <c r="V80" s="488"/>
      <c r="W80" s="488"/>
      <c r="X80" s="488"/>
      <c r="Y80" s="488"/>
      <c r="Z80" s="488"/>
      <c r="AA80" s="488"/>
      <c r="AB80" s="488"/>
      <c r="AC80" s="488"/>
      <c r="AD80" s="488"/>
      <c r="AE80" s="488"/>
      <c r="AF80" s="488"/>
      <c r="AG80" s="488"/>
      <c r="AH80" s="488"/>
      <c r="AI80" s="488"/>
      <c r="AJ80" s="488"/>
      <c r="AK80" s="488"/>
      <c r="AL80" s="488"/>
      <c r="AM80" s="488"/>
    </row>
    <row r="81" spans="2:39" ht="12.95">
      <c r="B81" s="565" t="s">
        <v>414</v>
      </c>
      <c r="C81" s="566" t="s">
        <v>364</v>
      </c>
      <c r="D81" s="485"/>
      <c r="E81" s="489"/>
      <c r="F81" s="489"/>
      <c r="G81" s="489"/>
      <c r="H81" s="489"/>
      <c r="I81" s="489"/>
      <c r="J81" s="489"/>
      <c r="K81" s="489"/>
      <c r="L81" s="489"/>
      <c r="M81" s="489"/>
      <c r="N81" s="489"/>
      <c r="O81" s="489"/>
      <c r="P81" s="489"/>
      <c r="Q81" s="489"/>
      <c r="R81" s="489"/>
      <c r="S81" s="489"/>
      <c r="T81" s="489"/>
      <c r="U81" s="489"/>
      <c r="V81" s="489"/>
      <c r="W81" s="489"/>
      <c r="X81" s="489"/>
      <c r="Y81" s="489"/>
      <c r="Z81" s="489"/>
      <c r="AA81" s="489"/>
      <c r="AB81" s="489"/>
      <c r="AC81" s="489"/>
      <c r="AD81" s="489"/>
      <c r="AE81" s="489"/>
      <c r="AF81" s="489"/>
      <c r="AG81" s="489"/>
      <c r="AH81" s="489"/>
      <c r="AI81" s="489"/>
      <c r="AJ81" s="489"/>
      <c r="AK81" s="489"/>
      <c r="AL81" s="489"/>
      <c r="AM81" s="489"/>
    </row>
    <row r="82" spans="2:39" ht="12.95">
      <c r="B82" s="505" t="s">
        <v>415</v>
      </c>
      <c r="C82" s="567">
        <f>0.9/100</f>
        <v>9.0000000000000011E-3</v>
      </c>
      <c r="D82" s="485"/>
      <c r="E82" s="489"/>
      <c r="F82" s="489"/>
      <c r="G82" s="489"/>
      <c r="H82" s="489"/>
      <c r="I82" s="489"/>
      <c r="J82" s="489"/>
      <c r="K82" s="489"/>
      <c r="L82" s="489"/>
      <c r="M82" s="489"/>
      <c r="N82" s="489"/>
      <c r="O82" s="489"/>
      <c r="P82" s="489"/>
      <c r="Q82" s="489"/>
      <c r="R82" s="489"/>
      <c r="S82" s="489"/>
      <c r="T82" s="489"/>
      <c r="U82" s="489"/>
      <c r="V82" s="489"/>
      <c r="W82" s="489"/>
      <c r="X82" s="489"/>
      <c r="Y82" s="489"/>
      <c r="Z82" s="489"/>
      <c r="AA82" s="489"/>
      <c r="AB82" s="489"/>
      <c r="AC82" s="489"/>
      <c r="AD82" s="489"/>
      <c r="AE82" s="489"/>
      <c r="AF82" s="489"/>
      <c r="AG82" s="489"/>
      <c r="AH82" s="489"/>
      <c r="AI82" s="489"/>
      <c r="AJ82" s="489"/>
      <c r="AK82" s="489"/>
      <c r="AL82" s="489"/>
      <c r="AM82" s="489"/>
    </row>
    <row r="83" spans="2:39">
      <c r="B83" s="568" t="s">
        <v>416</v>
      </c>
      <c r="C83" s="569" t="s">
        <v>417</v>
      </c>
      <c r="D83" s="570">
        <f>D78*C82</f>
        <v>155218.8340425803</v>
      </c>
      <c r="E83" s="571">
        <f>'TogoBiogas Electricity Fin'!$D$83</f>
        <v>155218.8340425803</v>
      </c>
      <c r="F83" s="571">
        <f>'TogoBiogas Electricity Fin'!$D$83</f>
        <v>155218.8340425803</v>
      </c>
      <c r="G83" s="571">
        <f>'TogoBiogas Electricity Fin'!$D$83</f>
        <v>155218.8340425803</v>
      </c>
      <c r="H83" s="571">
        <f>'TogoBiogas Electricity Fin'!$D$83</f>
        <v>155218.8340425803</v>
      </c>
      <c r="I83" s="571">
        <f>'TogoBiogas Electricity Fin'!$D$83</f>
        <v>155218.8340425803</v>
      </c>
      <c r="J83" s="571">
        <f>'TogoBiogas Electricity Fin'!$D$83</f>
        <v>155218.8340425803</v>
      </c>
      <c r="K83" s="571">
        <f>'TogoBiogas Electricity Fin'!$D$83</f>
        <v>155218.8340425803</v>
      </c>
      <c r="L83" s="571">
        <f>'TogoBiogas Electricity Fin'!$D$83</f>
        <v>155218.8340425803</v>
      </c>
      <c r="M83" s="571">
        <f>'TogoBiogas Electricity Fin'!$D$83</f>
        <v>155218.8340425803</v>
      </c>
      <c r="N83" s="571">
        <f>'TogoBiogas Electricity Fin'!$D$83</f>
        <v>155218.8340425803</v>
      </c>
      <c r="O83" s="571">
        <f>'TogoBiogas Electricity Fin'!$D$83</f>
        <v>155218.8340425803</v>
      </c>
      <c r="P83" s="571">
        <f>'TogoBiogas Electricity Fin'!$D$83</f>
        <v>155218.8340425803</v>
      </c>
      <c r="Q83" s="571">
        <f>'TogoBiogas Electricity Fin'!$D$83</f>
        <v>155218.8340425803</v>
      </c>
      <c r="R83" s="715">
        <f>'TogoBiogas Electricity Fin'!$D$83</f>
        <v>155218.8340425803</v>
      </c>
      <c r="S83" s="571">
        <f>'TogoBiogas Electricity Fin'!$D$83</f>
        <v>155218.8340425803</v>
      </c>
      <c r="T83" s="571">
        <f>'TogoBiogas Electricity Fin'!$D$83</f>
        <v>155218.8340425803</v>
      </c>
      <c r="U83" s="571">
        <f>'TogoBiogas Electricity Fin'!$D$83</f>
        <v>155218.8340425803</v>
      </c>
      <c r="V83" s="571">
        <f>'TogoBiogas Electricity Fin'!$D$83</f>
        <v>155218.8340425803</v>
      </c>
      <c r="W83" s="571">
        <f>'TogoBiogas Electricity Fin'!$D$83</f>
        <v>155218.8340425803</v>
      </c>
      <c r="X83" s="571">
        <f>'TogoBiogas Electricity Fin'!$D$83</f>
        <v>155218.8340425803</v>
      </c>
      <c r="Y83" s="571">
        <f>'TogoBiogas Electricity Fin'!$D$83</f>
        <v>155218.8340425803</v>
      </c>
      <c r="Z83" s="571">
        <f>'TogoBiogas Electricity Fin'!$D$83</f>
        <v>155218.8340425803</v>
      </c>
      <c r="AA83" s="571">
        <f>'TogoBiogas Electricity Fin'!$D$83</f>
        <v>155218.8340425803</v>
      </c>
      <c r="AB83" s="571">
        <f>'TogoBiogas Electricity Fin'!$D$83</f>
        <v>155218.8340425803</v>
      </c>
      <c r="AC83" s="571">
        <v>1642768.8673553236</v>
      </c>
      <c r="AD83" s="571">
        <f t="shared" ref="AD83:AM83" si="0">IF(AD76&lt;=$D$37,$D$7*$D$3*(1+$D$8)^(AD76-1),0)</f>
        <v>0</v>
      </c>
      <c r="AE83" s="571">
        <f t="shared" si="0"/>
        <v>0</v>
      </c>
      <c r="AF83" s="571">
        <f t="shared" si="0"/>
        <v>0</v>
      </c>
      <c r="AG83" s="571">
        <f t="shared" si="0"/>
        <v>0</v>
      </c>
      <c r="AH83" s="571">
        <f t="shared" si="0"/>
        <v>0</v>
      </c>
      <c r="AI83" s="571">
        <f t="shared" si="0"/>
        <v>0</v>
      </c>
      <c r="AJ83" s="571">
        <f t="shared" si="0"/>
        <v>0</v>
      </c>
      <c r="AK83" s="571">
        <f t="shared" si="0"/>
        <v>0</v>
      </c>
      <c r="AL83" s="571">
        <f t="shared" si="0"/>
        <v>0</v>
      </c>
      <c r="AM83" s="572">
        <f t="shared" si="0"/>
        <v>0</v>
      </c>
    </row>
    <row r="84" spans="2:39">
      <c r="B84" s="573" t="s">
        <v>418</v>
      </c>
      <c r="C84" s="574" t="s">
        <v>417</v>
      </c>
      <c r="D84" s="575">
        <f>'TogoBiogas Electricity Fin'!$D$9*D78*(1+'TogoBiogas Electricity Fin'!$D$10)^(D76-1)</f>
        <v>0</v>
      </c>
      <c r="E84" s="541">
        <f>'TogoBiogas Electricity Fin'!$D$9*E78*(1+'TogoBiogas Electricity Fin'!$D$10)^(E76-1)</f>
        <v>0</v>
      </c>
      <c r="F84" s="541">
        <f>'TogoBiogas Electricity Fin'!$D$9*F78*(1+'TogoBiogas Electricity Fin'!$D$10)^(F76-1)</f>
        <v>0</v>
      </c>
      <c r="G84" s="541">
        <f>'TogoBiogas Electricity Fin'!$D$9*G78*(1+'TogoBiogas Electricity Fin'!$D$10)^(G76-1)</f>
        <v>0</v>
      </c>
      <c r="H84" s="541">
        <f>'TogoBiogas Electricity Fin'!$D$9*H78*(1+'TogoBiogas Electricity Fin'!$D$10)^(H76-1)</f>
        <v>0</v>
      </c>
      <c r="I84" s="541">
        <f>'TogoBiogas Electricity Fin'!$D$9*I78*(1+'TogoBiogas Electricity Fin'!$D$10)^(I76-1)</f>
        <v>0</v>
      </c>
      <c r="J84" s="541">
        <f>'TogoBiogas Electricity Fin'!$D$9*J78*(1+'TogoBiogas Electricity Fin'!$D$10)^(J76-1)</f>
        <v>0</v>
      </c>
      <c r="K84" s="541">
        <f>'TogoBiogas Electricity Fin'!$D$9*K78*(1+'TogoBiogas Electricity Fin'!$D$10)^(K76-1)</f>
        <v>0</v>
      </c>
      <c r="L84" s="541">
        <f>'TogoBiogas Electricity Fin'!$D$9*L78*(1+'TogoBiogas Electricity Fin'!$D$10)^(L76-1)</f>
        <v>0</v>
      </c>
      <c r="M84" s="541">
        <f>'TogoBiogas Electricity Fin'!$D$9*M78*(1+'TogoBiogas Electricity Fin'!$D$10)^(M76-1)</f>
        <v>0</v>
      </c>
      <c r="N84" s="541">
        <f>'TogoBiogas Electricity Fin'!$D$9*N78*(1+'TogoBiogas Electricity Fin'!$D$10)^(N76-1)</f>
        <v>0</v>
      </c>
      <c r="O84" s="541">
        <f>'TogoBiogas Electricity Fin'!$D$9*O78*(1+'TogoBiogas Electricity Fin'!$D$10)^(O76-1)</f>
        <v>0</v>
      </c>
      <c r="P84" s="541">
        <f>'TogoBiogas Electricity Fin'!$D$9*P78*(1+'TogoBiogas Electricity Fin'!$D$10)^(P76-1)</f>
        <v>0</v>
      </c>
      <c r="Q84" s="541">
        <f>'TogoBiogas Electricity Fin'!$D$9*Q78*(1+'TogoBiogas Electricity Fin'!$D$10)^(Q76-1)</f>
        <v>0</v>
      </c>
      <c r="R84" s="721">
        <f>'TogoBiogas Electricity Fin'!$D$9*R78*(1+'TogoBiogas Electricity Fin'!$D$10)^(R76-1)</f>
        <v>0</v>
      </c>
      <c r="S84" s="541">
        <f>'TogoBiogas Electricity Fin'!$D$9*S78*(1+'TogoBiogas Electricity Fin'!$D$10)^(S76-1)</f>
        <v>0</v>
      </c>
      <c r="T84" s="541">
        <f>'TogoBiogas Electricity Fin'!$D$9*T78*(1+'TogoBiogas Electricity Fin'!$D$10)^(T76-1)</f>
        <v>0</v>
      </c>
      <c r="U84" s="541">
        <f>'TogoBiogas Electricity Fin'!$D$9*U78*(1+'TogoBiogas Electricity Fin'!$D$10)^(U76-1)</f>
        <v>0</v>
      </c>
      <c r="V84" s="541">
        <f>'TogoBiogas Electricity Fin'!$D$9*V78*(1+'TogoBiogas Electricity Fin'!$D$10)^(V76-1)</f>
        <v>0</v>
      </c>
      <c r="W84" s="541">
        <f>'TogoBiogas Electricity Fin'!$D$9*W78*(1+'TogoBiogas Electricity Fin'!$D$10)^(W76-1)</f>
        <v>0</v>
      </c>
      <c r="X84" s="541">
        <f>'TogoBiogas Electricity Fin'!$D$9*X78*(1+'TogoBiogas Electricity Fin'!$D$10)^(X76-1)</f>
        <v>0</v>
      </c>
      <c r="Y84" s="541">
        <f>'TogoBiogas Electricity Fin'!$D$9*Y78*(1+'TogoBiogas Electricity Fin'!$D$10)^(Y76-1)</f>
        <v>0</v>
      </c>
      <c r="Z84" s="541">
        <f>'TogoBiogas Electricity Fin'!$D$9*Z78*(1+'TogoBiogas Electricity Fin'!$D$10)^(Z76-1)</f>
        <v>0</v>
      </c>
      <c r="AA84" s="541">
        <f>'TogoBiogas Electricity Fin'!$D$9*AA78*(1+'TogoBiogas Electricity Fin'!$D$10)^(AA76-1)</f>
        <v>0</v>
      </c>
      <c r="AB84" s="541">
        <f>'TogoBiogas Electricity Fin'!$D$9*AB78*(1+'TogoBiogas Electricity Fin'!$D$10)^(AB76-1)</f>
        <v>0</v>
      </c>
      <c r="AC84" s="541">
        <f>'TogoBiogas Electricity Fin'!$D$9*AC78*(1+'TogoBiogas Electricity Fin'!$D$10)^(AC76-1)</f>
        <v>0</v>
      </c>
      <c r="AD84" s="541">
        <f>'TogoBiogas Electricity Fin'!$D$9*AD78*(1+'TogoBiogas Electricity Fin'!$D$10)^(AD76-1)</f>
        <v>0</v>
      </c>
      <c r="AE84" s="541">
        <f>'TogoBiogas Electricity Fin'!$D$9*AE78*(1+'TogoBiogas Electricity Fin'!$D$10)^(AE76-1)</f>
        <v>0</v>
      </c>
      <c r="AF84" s="541">
        <f>'TogoBiogas Electricity Fin'!$D$9*AF78*(1+'TogoBiogas Electricity Fin'!$D$10)^(AF76-1)</f>
        <v>0</v>
      </c>
      <c r="AG84" s="541">
        <f>'TogoBiogas Electricity Fin'!$D$9*AG78*(1+'TogoBiogas Electricity Fin'!$D$10)^(AG76-1)</f>
        <v>0</v>
      </c>
      <c r="AH84" s="541">
        <f>'TogoBiogas Electricity Fin'!$D$9*AH78*(1+'TogoBiogas Electricity Fin'!$D$10)^(AH76-1)</f>
        <v>0</v>
      </c>
      <c r="AI84" s="541">
        <f>'TogoBiogas Electricity Fin'!$D$9*AI78*(1+'TogoBiogas Electricity Fin'!$D$10)^(AI76-1)</f>
        <v>0</v>
      </c>
      <c r="AJ84" s="541">
        <f>'TogoBiogas Electricity Fin'!$D$9*AJ78*(1+'TogoBiogas Electricity Fin'!$D$10)^(AJ76-1)</f>
        <v>0</v>
      </c>
      <c r="AK84" s="541">
        <f>'TogoBiogas Electricity Fin'!$D$9*AK78*(1+'TogoBiogas Electricity Fin'!$D$10)^(AK76-1)</f>
        <v>0</v>
      </c>
      <c r="AL84" s="541">
        <f>'TogoBiogas Electricity Fin'!$D$9*AL78*(1+'TogoBiogas Electricity Fin'!$D$10)^(AL76-1)</f>
        <v>0</v>
      </c>
      <c r="AM84" s="576">
        <f>'TogoBiogas Electricity Fin'!$D$9*AM78*(1+'TogoBiogas Electricity Fin'!$D$10)^(AM76-1)</f>
        <v>0</v>
      </c>
    </row>
    <row r="85" spans="2:39">
      <c r="B85" s="577" t="s">
        <v>419</v>
      </c>
      <c r="C85" s="578" t="s">
        <v>417</v>
      </c>
      <c r="D85" s="579">
        <f>0</f>
        <v>0</v>
      </c>
      <c r="E85" s="580">
        <f>0</f>
        <v>0</v>
      </c>
      <c r="F85" s="580">
        <f>0</f>
        <v>0</v>
      </c>
      <c r="G85" s="580">
        <f>0</f>
        <v>0</v>
      </c>
      <c r="H85" s="580">
        <f>0</f>
        <v>0</v>
      </c>
      <c r="I85" s="580">
        <f>0</f>
        <v>0</v>
      </c>
      <c r="J85" s="580">
        <f>0</f>
        <v>0</v>
      </c>
      <c r="K85" s="580">
        <f>0</f>
        <v>0</v>
      </c>
      <c r="L85" s="580">
        <f>0</f>
        <v>0</v>
      </c>
      <c r="M85" s="580">
        <f>0</f>
        <v>0</v>
      </c>
      <c r="N85" s="580">
        <f>0</f>
        <v>0</v>
      </c>
      <c r="O85" s="580">
        <f>0</f>
        <v>0</v>
      </c>
      <c r="P85" s="580">
        <f>0</f>
        <v>0</v>
      </c>
      <c r="Q85" s="580">
        <f>0</f>
        <v>0</v>
      </c>
      <c r="R85" s="716">
        <f>0</f>
        <v>0</v>
      </c>
      <c r="S85" s="580">
        <f>0</f>
        <v>0</v>
      </c>
      <c r="T85" s="580">
        <f>0</f>
        <v>0</v>
      </c>
      <c r="U85" s="580">
        <f>0</f>
        <v>0</v>
      </c>
      <c r="V85" s="580">
        <f>0</f>
        <v>0</v>
      </c>
      <c r="W85" s="580">
        <f>0</f>
        <v>0</v>
      </c>
      <c r="X85" s="580">
        <f>0</f>
        <v>0</v>
      </c>
      <c r="Y85" s="580">
        <f>0</f>
        <v>0</v>
      </c>
      <c r="Z85" s="580">
        <f>0</f>
        <v>0</v>
      </c>
      <c r="AA85" s="580">
        <f>0</f>
        <v>0</v>
      </c>
      <c r="AB85" s="580">
        <f>0</f>
        <v>0</v>
      </c>
      <c r="AC85" s="580">
        <f>0</f>
        <v>0</v>
      </c>
      <c r="AD85" s="580">
        <f>0</f>
        <v>0</v>
      </c>
      <c r="AE85" s="580">
        <f>0</f>
        <v>0</v>
      </c>
      <c r="AF85" s="580">
        <f>0</f>
        <v>0</v>
      </c>
      <c r="AG85" s="580">
        <f>0</f>
        <v>0</v>
      </c>
      <c r="AH85" s="580">
        <f>0</f>
        <v>0</v>
      </c>
      <c r="AI85" s="580">
        <f>0</f>
        <v>0</v>
      </c>
      <c r="AJ85" s="580">
        <f>0</f>
        <v>0</v>
      </c>
      <c r="AK85" s="580">
        <f>0</f>
        <v>0</v>
      </c>
      <c r="AL85" s="580">
        <f>0</f>
        <v>0</v>
      </c>
      <c r="AM85" s="581">
        <f>0</f>
        <v>0</v>
      </c>
    </row>
    <row r="86" spans="2:39" ht="12.95">
      <c r="B86" s="582" t="s">
        <v>420</v>
      </c>
      <c r="C86" s="583" t="s">
        <v>417</v>
      </c>
      <c r="D86" s="584">
        <f>IF(D76&lt;=$D$37,SUM(D83:D84),0)</f>
        <v>155218.8340425803</v>
      </c>
      <c r="E86" s="585">
        <f t="shared" ref="E86:AM86" si="1">IF(E76&lt;=$D$37,SUM(E83:E84),0)</f>
        <v>155218.8340425803</v>
      </c>
      <c r="F86" s="585">
        <f t="shared" si="1"/>
        <v>155218.8340425803</v>
      </c>
      <c r="G86" s="585">
        <f t="shared" si="1"/>
        <v>155218.8340425803</v>
      </c>
      <c r="H86" s="585">
        <f t="shared" si="1"/>
        <v>155218.8340425803</v>
      </c>
      <c r="I86" s="585">
        <f t="shared" si="1"/>
        <v>155218.8340425803</v>
      </c>
      <c r="J86" s="585">
        <f t="shared" si="1"/>
        <v>155218.8340425803</v>
      </c>
      <c r="K86" s="585">
        <f t="shared" si="1"/>
        <v>155218.8340425803</v>
      </c>
      <c r="L86" s="585">
        <f t="shared" si="1"/>
        <v>155218.8340425803</v>
      </c>
      <c r="M86" s="585">
        <f t="shared" si="1"/>
        <v>155218.8340425803</v>
      </c>
      <c r="N86" s="585">
        <f t="shared" si="1"/>
        <v>155218.8340425803</v>
      </c>
      <c r="O86" s="585">
        <f t="shared" si="1"/>
        <v>155218.8340425803</v>
      </c>
      <c r="P86" s="585">
        <f t="shared" si="1"/>
        <v>155218.8340425803</v>
      </c>
      <c r="Q86" s="585">
        <f t="shared" si="1"/>
        <v>155218.8340425803</v>
      </c>
      <c r="R86" s="585">
        <f t="shared" si="1"/>
        <v>155218.8340425803</v>
      </c>
      <c r="S86" s="585">
        <f t="shared" si="1"/>
        <v>155218.8340425803</v>
      </c>
      <c r="T86" s="585">
        <f t="shared" si="1"/>
        <v>155218.8340425803</v>
      </c>
      <c r="U86" s="585">
        <f t="shared" si="1"/>
        <v>155218.8340425803</v>
      </c>
      <c r="V86" s="585">
        <f t="shared" si="1"/>
        <v>155218.8340425803</v>
      </c>
      <c r="W86" s="585">
        <f t="shared" si="1"/>
        <v>155218.8340425803</v>
      </c>
      <c r="X86" s="585">
        <f t="shared" si="1"/>
        <v>155218.8340425803</v>
      </c>
      <c r="Y86" s="585">
        <f t="shared" si="1"/>
        <v>155218.8340425803</v>
      </c>
      <c r="Z86" s="585">
        <f t="shared" si="1"/>
        <v>155218.8340425803</v>
      </c>
      <c r="AA86" s="585">
        <f t="shared" si="1"/>
        <v>155218.8340425803</v>
      </c>
      <c r="AB86" s="585">
        <f t="shared" si="1"/>
        <v>155218.8340425803</v>
      </c>
      <c r="AC86" s="585">
        <f t="shared" si="1"/>
        <v>1642768.8673553236</v>
      </c>
      <c r="AD86" s="585">
        <f t="shared" si="1"/>
        <v>0</v>
      </c>
      <c r="AE86" s="585">
        <f t="shared" si="1"/>
        <v>0</v>
      </c>
      <c r="AF86" s="585">
        <f t="shared" si="1"/>
        <v>0</v>
      </c>
      <c r="AG86" s="585">
        <f t="shared" si="1"/>
        <v>0</v>
      </c>
      <c r="AH86" s="585">
        <f t="shared" si="1"/>
        <v>0</v>
      </c>
      <c r="AI86" s="585">
        <f t="shared" si="1"/>
        <v>0</v>
      </c>
      <c r="AJ86" s="585">
        <f t="shared" si="1"/>
        <v>0</v>
      </c>
      <c r="AK86" s="585">
        <f t="shared" si="1"/>
        <v>0</v>
      </c>
      <c r="AL86" s="585">
        <f t="shared" si="1"/>
        <v>0</v>
      </c>
      <c r="AM86" s="586">
        <f t="shared" si="1"/>
        <v>0</v>
      </c>
    </row>
    <row r="87" spans="2:39" ht="12.95">
      <c r="B87" s="479"/>
      <c r="C87" s="491"/>
      <c r="D87" s="491"/>
      <c r="E87" s="492"/>
      <c r="F87" s="492"/>
      <c r="G87" s="492"/>
      <c r="H87" s="492"/>
      <c r="I87" s="492"/>
      <c r="J87" s="492"/>
      <c r="K87" s="492"/>
      <c r="L87" s="492"/>
      <c r="M87" s="492"/>
      <c r="N87" s="492"/>
      <c r="O87" s="492"/>
      <c r="P87" s="492"/>
      <c r="Q87" s="492"/>
      <c r="R87" s="493"/>
      <c r="S87" s="492"/>
      <c r="T87" s="492"/>
      <c r="U87" s="492"/>
      <c r="V87" s="492"/>
      <c r="W87" s="492"/>
      <c r="X87" s="492"/>
      <c r="Y87" s="492"/>
      <c r="Z87" s="492"/>
      <c r="AA87" s="492"/>
      <c r="AB87" s="492"/>
      <c r="AC87" s="492"/>
      <c r="AD87" s="492"/>
      <c r="AE87" s="492"/>
      <c r="AF87" s="492"/>
      <c r="AG87" s="492"/>
      <c r="AH87" s="492"/>
      <c r="AI87" s="492"/>
      <c r="AJ87" s="492"/>
      <c r="AK87" s="492"/>
      <c r="AL87" s="492"/>
      <c r="AM87" s="492"/>
    </row>
    <row r="88" spans="2:39" ht="12.95">
      <c r="B88" s="479"/>
      <c r="C88" s="491"/>
      <c r="D88" s="491"/>
      <c r="E88" s="492"/>
      <c r="F88" s="492"/>
      <c r="G88" s="492"/>
      <c r="H88" s="492"/>
      <c r="I88" s="492"/>
      <c r="J88" s="492"/>
      <c r="K88" s="492"/>
      <c r="L88" s="492"/>
      <c r="M88" s="492"/>
      <c r="N88" s="492"/>
      <c r="O88" s="492"/>
      <c r="P88" s="492"/>
      <c r="Q88" s="492"/>
      <c r="R88" s="493"/>
      <c r="S88" s="492"/>
      <c r="T88" s="492"/>
      <c r="U88" s="492"/>
      <c r="V88" s="492"/>
      <c r="W88" s="492"/>
      <c r="X88" s="492"/>
      <c r="Y88" s="492"/>
      <c r="Z88" s="492"/>
      <c r="AA88" s="492"/>
      <c r="AB88" s="492"/>
      <c r="AC88" s="492"/>
      <c r="AD88" s="492"/>
      <c r="AE88" s="492"/>
      <c r="AF88" s="492"/>
      <c r="AG88" s="492"/>
      <c r="AH88" s="492"/>
      <c r="AI88" s="492"/>
      <c r="AJ88" s="492"/>
      <c r="AK88" s="492"/>
      <c r="AL88" s="492"/>
      <c r="AM88" s="492"/>
    </row>
    <row r="89" spans="2:39" ht="12.95">
      <c r="B89" s="565" t="s">
        <v>421</v>
      </c>
      <c r="C89" s="566" t="s">
        <v>364</v>
      </c>
      <c r="D89" s="491"/>
      <c r="E89" s="492"/>
      <c r="F89" s="492"/>
      <c r="G89" s="492"/>
      <c r="H89" s="492"/>
      <c r="I89" s="492"/>
      <c r="J89" s="492"/>
      <c r="K89" s="492"/>
      <c r="L89" s="492"/>
      <c r="M89" s="492"/>
      <c r="N89" s="492"/>
      <c r="O89" s="492"/>
      <c r="P89" s="492"/>
      <c r="Q89" s="492"/>
      <c r="R89" s="493"/>
      <c r="S89" s="492"/>
      <c r="T89" s="492"/>
      <c r="U89" s="492"/>
      <c r="V89" s="492"/>
      <c r="W89" s="492"/>
      <c r="X89" s="492"/>
      <c r="Y89" s="492"/>
      <c r="Z89" s="492"/>
      <c r="AA89" s="492"/>
      <c r="AB89" s="492"/>
      <c r="AC89" s="492"/>
      <c r="AD89" s="492"/>
      <c r="AE89" s="492"/>
      <c r="AF89" s="492"/>
      <c r="AG89" s="492"/>
      <c r="AH89" s="492"/>
      <c r="AI89" s="492"/>
      <c r="AJ89" s="492"/>
      <c r="AK89" s="492"/>
      <c r="AL89" s="492"/>
      <c r="AM89" s="492"/>
    </row>
    <row r="90" spans="2:39" ht="12.95">
      <c r="B90" s="568" t="s">
        <v>422</v>
      </c>
      <c r="C90" s="569" t="s">
        <v>331</v>
      </c>
      <c r="D90" s="587">
        <f>SUM(D83:AB83)</f>
        <v>3880470.8510645078</v>
      </c>
      <c r="E90" s="492"/>
      <c r="F90" s="492"/>
      <c r="G90" s="492"/>
      <c r="H90" s="492"/>
      <c r="I90" s="492"/>
      <c r="J90" s="492"/>
      <c r="K90" s="492"/>
      <c r="L90" s="492"/>
      <c r="M90" s="492"/>
      <c r="N90" s="492"/>
      <c r="O90" s="492"/>
      <c r="P90" s="492"/>
      <c r="Q90" s="492"/>
      <c r="R90" s="493"/>
      <c r="S90" s="492"/>
      <c r="T90" s="492"/>
      <c r="U90" s="492"/>
      <c r="V90" s="492"/>
      <c r="W90" s="492"/>
      <c r="X90" s="492"/>
      <c r="Y90" s="492"/>
      <c r="Z90" s="492"/>
      <c r="AA90" s="492"/>
      <c r="AB90" s="492"/>
      <c r="AC90" s="492"/>
      <c r="AD90" s="492"/>
      <c r="AE90" s="492"/>
      <c r="AF90" s="492"/>
      <c r="AG90" s="492"/>
      <c r="AH90" s="492"/>
      <c r="AI90" s="492"/>
      <c r="AJ90" s="492"/>
      <c r="AK90" s="492"/>
      <c r="AL90" s="492"/>
      <c r="AM90" s="492"/>
    </row>
    <row r="91" spans="2:39" ht="12.95">
      <c r="B91" s="577" t="s">
        <v>418</v>
      </c>
      <c r="C91" s="578" t="s">
        <v>331</v>
      </c>
      <c r="D91" s="588">
        <f>SUM(D84:AM84)</f>
        <v>0</v>
      </c>
      <c r="E91" s="492"/>
      <c r="F91" s="492"/>
      <c r="G91" s="492"/>
      <c r="H91" s="492"/>
      <c r="I91" s="492"/>
      <c r="J91" s="492"/>
      <c r="K91" s="492"/>
      <c r="L91" s="492"/>
      <c r="M91" s="492"/>
      <c r="N91" s="492"/>
      <c r="O91" s="492"/>
      <c r="P91" s="492"/>
      <c r="Q91" s="492"/>
      <c r="R91" s="493"/>
      <c r="S91" s="492"/>
      <c r="T91" s="492"/>
      <c r="U91" s="492"/>
      <c r="V91" s="492"/>
      <c r="W91" s="492"/>
      <c r="X91" s="492"/>
      <c r="Y91" s="492"/>
      <c r="Z91" s="492"/>
      <c r="AA91" s="492"/>
      <c r="AB91" s="492"/>
      <c r="AC91" s="492"/>
      <c r="AD91" s="492"/>
      <c r="AE91" s="492"/>
      <c r="AF91" s="492"/>
      <c r="AG91" s="492"/>
      <c r="AH91" s="492"/>
      <c r="AI91" s="492"/>
      <c r="AJ91" s="492"/>
      <c r="AK91" s="492"/>
      <c r="AL91" s="492"/>
      <c r="AM91" s="492"/>
    </row>
    <row r="92" spans="2:39" ht="12.95">
      <c r="B92" s="589" t="s">
        <v>423</v>
      </c>
      <c r="C92" s="583" t="s">
        <v>331</v>
      </c>
      <c r="D92" s="590">
        <f>SUM(D90:D91)</f>
        <v>3880470.8510645078</v>
      </c>
      <c r="E92" s="492"/>
      <c r="F92" s="492"/>
      <c r="G92" s="492"/>
      <c r="H92" s="492"/>
      <c r="I92" s="492"/>
      <c r="J92" s="492"/>
      <c r="K92" s="492"/>
      <c r="L92" s="492"/>
      <c r="M92" s="492"/>
      <c r="N92" s="492"/>
      <c r="O92" s="492"/>
      <c r="P92" s="492"/>
      <c r="Q92" s="492"/>
      <c r="R92" s="493"/>
      <c r="S92" s="492"/>
      <c r="T92" s="492"/>
      <c r="U92" s="492"/>
      <c r="V92" s="492"/>
      <c r="W92" s="492"/>
      <c r="X92" s="492"/>
      <c r="Y92" s="492"/>
      <c r="Z92" s="492"/>
      <c r="AA92" s="492"/>
      <c r="AB92" s="492"/>
      <c r="AC92" s="492"/>
      <c r="AD92" s="492"/>
      <c r="AE92" s="492"/>
      <c r="AF92" s="492"/>
      <c r="AG92" s="492"/>
      <c r="AH92" s="492"/>
      <c r="AI92" s="492"/>
      <c r="AJ92" s="492"/>
      <c r="AK92" s="492"/>
      <c r="AL92" s="492"/>
      <c r="AM92" s="492"/>
    </row>
    <row r="93" spans="2:39">
      <c r="B93" s="478"/>
      <c r="C93" s="485"/>
      <c r="D93" s="485"/>
      <c r="E93" s="489"/>
      <c r="F93" s="489"/>
      <c r="G93" s="489"/>
      <c r="H93" s="489"/>
      <c r="I93" s="489"/>
      <c r="J93" s="489"/>
      <c r="K93" s="489"/>
      <c r="L93" s="489"/>
      <c r="M93" s="489"/>
      <c r="N93" s="489"/>
      <c r="O93" s="489"/>
      <c r="P93" s="489"/>
      <c r="Q93" s="489"/>
      <c r="R93" s="490"/>
      <c r="S93" s="489"/>
      <c r="T93" s="489"/>
      <c r="U93" s="489"/>
      <c r="V93" s="489"/>
      <c r="W93" s="489"/>
      <c r="X93" s="489"/>
      <c r="Y93" s="489"/>
      <c r="Z93" s="489"/>
      <c r="AA93" s="489"/>
      <c r="AB93" s="489"/>
      <c r="AC93" s="489"/>
      <c r="AD93" s="489"/>
      <c r="AE93" s="489"/>
      <c r="AF93" s="489"/>
      <c r="AG93" s="489"/>
      <c r="AH93" s="489"/>
      <c r="AI93" s="489"/>
      <c r="AJ93" s="489"/>
      <c r="AK93" s="489"/>
      <c r="AL93" s="489"/>
      <c r="AM93" s="489"/>
    </row>
    <row r="94" spans="2:39" ht="12.95">
      <c r="B94" s="565" t="s">
        <v>424</v>
      </c>
      <c r="C94" s="566" t="s">
        <v>364</v>
      </c>
      <c r="D94" s="591">
        <v>1</v>
      </c>
      <c r="E94" s="559">
        <v>2</v>
      </c>
      <c r="F94" s="559">
        <v>3</v>
      </c>
      <c r="G94" s="559">
        <v>4</v>
      </c>
      <c r="H94" s="559">
        <v>5</v>
      </c>
      <c r="I94" s="559">
        <v>6</v>
      </c>
      <c r="J94" s="559">
        <v>7</v>
      </c>
      <c r="K94" s="559">
        <v>8</v>
      </c>
      <c r="L94" s="559">
        <v>9</v>
      </c>
      <c r="M94" s="560">
        <v>10</v>
      </c>
      <c r="N94" s="489"/>
      <c r="O94" s="489"/>
      <c r="P94" s="489"/>
      <c r="Q94" s="489"/>
      <c r="R94" s="490"/>
      <c r="S94" s="489"/>
      <c r="T94" s="489"/>
      <c r="U94" s="489"/>
      <c r="V94" s="489"/>
      <c r="W94" s="489"/>
      <c r="X94" s="489"/>
      <c r="Y94" s="489"/>
      <c r="Z94" s="489"/>
      <c r="AA94" s="489"/>
      <c r="AB94" s="489"/>
      <c r="AC94" s="489"/>
      <c r="AD94" s="489"/>
      <c r="AE94" s="489"/>
      <c r="AF94" s="489"/>
      <c r="AG94" s="489"/>
      <c r="AH94" s="489"/>
      <c r="AI94" s="489"/>
      <c r="AJ94" s="489"/>
      <c r="AK94" s="489"/>
      <c r="AL94" s="489"/>
      <c r="AM94" s="489"/>
    </row>
    <row r="95" spans="2:39" ht="12.95">
      <c r="B95" s="565" t="s">
        <v>425</v>
      </c>
      <c r="C95" s="592" t="s">
        <v>67</v>
      </c>
      <c r="D95" s="593">
        <v>1</v>
      </c>
      <c r="E95" s="489"/>
      <c r="F95" s="489"/>
      <c r="G95" s="489"/>
      <c r="H95" s="489"/>
      <c r="I95" s="489"/>
      <c r="J95" s="489"/>
      <c r="K95" s="489"/>
      <c r="L95" s="489"/>
      <c r="M95" s="489"/>
      <c r="N95" s="489"/>
      <c r="O95" s="489"/>
      <c r="P95" s="489"/>
      <c r="Q95" s="489"/>
      <c r="R95" s="490"/>
      <c r="S95" s="489"/>
      <c r="T95" s="489"/>
      <c r="U95" s="489"/>
      <c r="V95" s="489"/>
      <c r="W95" s="489"/>
      <c r="X95" s="489"/>
      <c r="Y95" s="489"/>
      <c r="Z95" s="489"/>
      <c r="AA95" s="489"/>
      <c r="AB95" s="489"/>
      <c r="AC95" s="489"/>
      <c r="AD95" s="489"/>
      <c r="AE95" s="489"/>
      <c r="AF95" s="489"/>
      <c r="AG95" s="489"/>
      <c r="AH95" s="489"/>
      <c r="AI95" s="489"/>
      <c r="AJ95" s="489"/>
      <c r="AK95" s="489"/>
      <c r="AL95" s="489"/>
      <c r="AM95" s="489"/>
    </row>
    <row r="96" spans="2:39">
      <c r="B96" s="561" t="s">
        <v>426</v>
      </c>
      <c r="C96" s="594" t="s">
        <v>417</v>
      </c>
      <c r="D96" s="595">
        <f t="shared" ref="D96:M96" si="2">IF($D$95&gt;=D94,$D$27/$D$95,0)</f>
        <v>10119543.467514748</v>
      </c>
      <c r="E96" s="596">
        <f t="shared" si="2"/>
        <v>0</v>
      </c>
      <c r="F96" s="596">
        <f t="shared" si="2"/>
        <v>0</v>
      </c>
      <c r="G96" s="596">
        <f t="shared" si="2"/>
        <v>0</v>
      </c>
      <c r="H96" s="596">
        <f t="shared" si="2"/>
        <v>0</v>
      </c>
      <c r="I96" s="596">
        <f t="shared" si="2"/>
        <v>0</v>
      </c>
      <c r="J96" s="596">
        <f t="shared" si="2"/>
        <v>0</v>
      </c>
      <c r="K96" s="596">
        <f t="shared" si="2"/>
        <v>0</v>
      </c>
      <c r="L96" s="596">
        <f t="shared" si="2"/>
        <v>0</v>
      </c>
      <c r="M96" s="597">
        <f t="shared" si="2"/>
        <v>0</v>
      </c>
      <c r="N96" s="489"/>
      <c r="O96" s="489"/>
      <c r="P96" s="489"/>
      <c r="Q96" s="489"/>
      <c r="R96" s="490"/>
      <c r="S96" s="489"/>
      <c r="T96" s="489"/>
      <c r="U96" s="489"/>
      <c r="V96" s="489"/>
      <c r="W96" s="489"/>
      <c r="X96" s="489"/>
      <c r="Y96" s="489"/>
      <c r="Z96" s="489"/>
      <c r="AA96" s="489"/>
      <c r="AB96" s="489"/>
      <c r="AC96" s="489"/>
      <c r="AD96" s="489"/>
      <c r="AE96" s="489"/>
      <c r="AF96" s="489"/>
      <c r="AG96" s="489"/>
      <c r="AH96" s="489"/>
      <c r="AI96" s="489"/>
      <c r="AJ96" s="489"/>
      <c r="AK96" s="489"/>
      <c r="AL96" s="489"/>
      <c r="AM96" s="489"/>
    </row>
    <row r="97" spans="2:39">
      <c r="B97" s="478"/>
      <c r="C97" s="485"/>
      <c r="D97" s="485"/>
      <c r="E97" s="489"/>
      <c r="F97" s="489"/>
      <c r="G97" s="489"/>
      <c r="H97" s="489"/>
      <c r="I97" s="489"/>
      <c r="J97" s="489"/>
      <c r="K97" s="489"/>
      <c r="L97" s="489"/>
      <c r="M97" s="489"/>
      <c r="N97" s="489"/>
      <c r="O97" s="489"/>
      <c r="P97" s="489"/>
      <c r="Q97" s="489"/>
      <c r="R97" s="490"/>
      <c r="S97" s="489"/>
      <c r="T97" s="489"/>
      <c r="U97" s="489"/>
      <c r="V97" s="489"/>
      <c r="W97" s="489"/>
      <c r="X97" s="489"/>
      <c r="Y97" s="489"/>
      <c r="Z97" s="489"/>
      <c r="AA97" s="489"/>
      <c r="AB97" s="489"/>
      <c r="AC97" s="489"/>
      <c r="AD97" s="489"/>
      <c r="AE97" s="489"/>
      <c r="AF97" s="489"/>
      <c r="AG97" s="489"/>
      <c r="AH97" s="489"/>
      <c r="AI97" s="489"/>
      <c r="AJ97" s="489"/>
      <c r="AK97" s="489"/>
      <c r="AL97" s="489"/>
      <c r="AM97" s="489"/>
    </row>
    <row r="98" spans="2:39" ht="12.95">
      <c r="B98" s="565" t="s">
        <v>427</v>
      </c>
      <c r="C98" s="592" t="s">
        <v>364</v>
      </c>
      <c r="D98" s="485"/>
      <c r="E98" s="489"/>
      <c r="F98" s="489"/>
      <c r="G98" s="489"/>
      <c r="H98" s="489"/>
      <c r="I98" s="489"/>
      <c r="J98" s="489"/>
      <c r="K98" s="489"/>
      <c r="L98" s="489"/>
      <c r="M98" s="489"/>
      <c r="N98" s="489"/>
      <c r="O98" s="489"/>
      <c r="P98" s="489"/>
      <c r="Q98" s="489"/>
      <c r="R98" s="490"/>
      <c r="S98" s="489"/>
      <c r="T98" s="489"/>
      <c r="U98" s="489"/>
      <c r="V98" s="489"/>
      <c r="W98" s="489"/>
      <c r="X98" s="489"/>
      <c r="Y98" s="489"/>
      <c r="Z98" s="489"/>
      <c r="AA98" s="489"/>
      <c r="AB98" s="489"/>
      <c r="AC98" s="489"/>
      <c r="AD98" s="489"/>
      <c r="AE98" s="489"/>
      <c r="AF98" s="489"/>
      <c r="AG98" s="489"/>
      <c r="AH98" s="489"/>
      <c r="AI98" s="489"/>
      <c r="AJ98" s="489"/>
      <c r="AK98" s="489"/>
      <c r="AL98" s="489"/>
      <c r="AM98" s="489"/>
    </row>
    <row r="99" spans="2:39">
      <c r="B99" s="568" t="s">
        <v>428</v>
      </c>
      <c r="C99" s="574" t="s">
        <v>417</v>
      </c>
      <c r="D99" s="570"/>
      <c r="E99" s="571">
        <f>IF(E76&lt;=$D$36,-IPMT($D$35,E76,$D$36,'TogoBiogas Electricity Fin'!$D$27*$D$34),0)</f>
        <v>0</v>
      </c>
      <c r="F99" s="571">
        <f>IF(F76&lt;=$D$36,-IPMT($D$35,F76,$D$36,'TogoBiogas Electricity Fin'!$D$27*$D$34),0)</f>
        <v>0</v>
      </c>
      <c r="G99" s="571">
        <f>IF(G76&lt;=$D$36,-IPMT($D$35,G76,$D$36,'TogoBiogas Electricity Fin'!$D$27*$D$34),0)</f>
        <v>0</v>
      </c>
      <c r="H99" s="571">
        <f>IF(H76&lt;=$D$36,-IPMT($D$35,H76,$D$36,'TogoBiogas Electricity Fin'!$D$27*$D$34),0)</f>
        <v>0</v>
      </c>
      <c r="I99" s="571">
        <f>IF(I76&lt;=$D$36,-IPMT($D$35,I76,$D$36,'TogoBiogas Electricity Fin'!$D$27*$D$34),0)</f>
        <v>0</v>
      </c>
      <c r="J99" s="571">
        <f>IF(J76&lt;=$D$36,-IPMT($D$35,J76,$D$36,'TogoBiogas Electricity Fin'!$D$27*$D$34),0)</f>
        <v>0</v>
      </c>
      <c r="K99" s="571">
        <f>IF(K76&lt;=$D$36,-IPMT($D$35,K76,$D$36,'TogoBiogas Electricity Fin'!$D$27*$D$34),0)</f>
        <v>0</v>
      </c>
      <c r="L99" s="571">
        <f>IF(L76&lt;=$D$36,-IPMT($D$35,L76,$D$36,'TogoBiogas Electricity Fin'!$D$27*$D$34),0)</f>
        <v>0</v>
      </c>
      <c r="M99" s="571">
        <f>IF(M76&lt;=$D$36,-IPMT($D$35,M76,$D$36,'TogoBiogas Electricity Fin'!$D$27*$D$34),0)</f>
        <v>0</v>
      </c>
      <c r="N99" s="571">
        <f>IF(N76&lt;=$D$36,-IPMT($D$35,N76,$D$36,'TogoBiogas Electricity Fin'!$D$27*$D$34),0)</f>
        <v>0</v>
      </c>
      <c r="O99" s="571">
        <f>IF(O76&lt;=$D$36,-IPMT($D$35,O76,$D$36,'TogoBiogas Electricity Fin'!$D$27*$D$34),0)</f>
        <v>0</v>
      </c>
      <c r="P99" s="571">
        <f>IF(P76&lt;=$D$36,-IPMT($D$35,P76,$D$36,'TogoBiogas Electricity Fin'!$D$27*$D$34),0)</f>
        <v>0</v>
      </c>
      <c r="Q99" s="571">
        <f>IF(Q76&lt;=$D$36,-IPMT($D$35,Q76,$D$36,'TogoBiogas Electricity Fin'!$D$27*$D$34),0)</f>
        <v>0</v>
      </c>
      <c r="R99" s="715">
        <f>IF(R76&lt;=$D$36,-IPMT($D$35,R76,$D$36,'TogoBiogas Electricity Fin'!$D$27*$D$34),0)</f>
        <v>0</v>
      </c>
      <c r="S99" s="571">
        <f>IF(S76&lt;=$D$36,-IPMT($D$35,S76,$D$36,'TogoBiogas Electricity Fin'!$D$27*$D$34),0)</f>
        <v>0</v>
      </c>
      <c r="T99" s="571">
        <f>IF(T76&lt;=$D$36,-IPMT($D$35,T76,$D$36,'TogoBiogas Electricity Fin'!$D$27*$D$34),0)</f>
        <v>0</v>
      </c>
      <c r="U99" s="571">
        <f>IF(U76&lt;=$D$36,-IPMT($D$35,U76,$D$36,'TogoBiogas Electricity Fin'!$D$27*$D$34),0)</f>
        <v>0</v>
      </c>
      <c r="V99" s="571">
        <f>IF(V76&lt;=$D$36,-IPMT($D$35,V76,$D$36,'TogoBiogas Electricity Fin'!$D$27*$D$34),0)</f>
        <v>0</v>
      </c>
      <c r="W99" s="571">
        <f>IF(W76&lt;=$D$36,-IPMT($D$35,W76,$D$36,'TogoBiogas Electricity Fin'!$D$27*$D$34),0)</f>
        <v>0</v>
      </c>
      <c r="X99" s="571">
        <f>IF(X76&lt;=$D$36,-IPMT($D$35,X76,$D$36,'TogoBiogas Electricity Fin'!$D$27*$D$34),0)</f>
        <v>0</v>
      </c>
      <c r="Y99" s="571">
        <f>IF(Y76&lt;=$D$36,-IPMT($D$35,Y76,$D$36,'TogoBiogas Electricity Fin'!$D$27*$D$34),0)</f>
        <v>0</v>
      </c>
      <c r="Z99" s="571">
        <f>IF(Z76&lt;=$D$36,-IPMT($D$35,Z76,$D$36,'TogoBiogas Electricity Fin'!$D$27*$D$34),0)</f>
        <v>0</v>
      </c>
      <c r="AA99" s="571">
        <f>IF(AA76&lt;=$D$36,-IPMT($D$35,AA76,$D$36,'TogoBiogas Electricity Fin'!$D$27*$D$34),0)</f>
        <v>0</v>
      </c>
      <c r="AB99" s="571">
        <f>IF(AB76&lt;=$D$36,-IPMT($D$35,AB76,$D$36,'TogoBiogas Electricity Fin'!$D$27*$D$34),0)</f>
        <v>0</v>
      </c>
      <c r="AC99" s="571">
        <f>IF(AC76&lt;=$D$36,-IPMT($D$35,AC76,$D$36,'TogoBiogas Electricity Fin'!$D$27*$D$34),0)</f>
        <v>0</v>
      </c>
      <c r="AD99" s="571">
        <f>IF(AD76&lt;=$D$36,-IPMT($D$35,AD76,$D$36,'TogoBiogas Electricity Fin'!$D$27*$D$34),0)</f>
        <v>0</v>
      </c>
      <c r="AE99" s="571">
        <f>IF(AE76&lt;=$D$36,-IPMT($D$35,AE76,$D$36,'TogoBiogas Electricity Fin'!$D$27*$D$34),0)</f>
        <v>0</v>
      </c>
      <c r="AF99" s="571">
        <f>IF(AF76&lt;=$D$36,-IPMT($D$35,AF76,$D$36,'TogoBiogas Electricity Fin'!$D$27*$D$34),0)</f>
        <v>0</v>
      </c>
      <c r="AG99" s="571">
        <f>IF(AG76&lt;=$D$36,-IPMT($D$35,AG76,$D$36,'TogoBiogas Electricity Fin'!$D$27*$D$34),0)</f>
        <v>0</v>
      </c>
      <c r="AH99" s="571">
        <f>IF(AH76&lt;=$D$36,-IPMT($D$35,AH76,$D$36,'TogoBiogas Electricity Fin'!$D$27*$D$34),0)</f>
        <v>0</v>
      </c>
      <c r="AI99" s="571">
        <f>IF(AI76&lt;=$D$36,-IPMT($D$35,AI76,$D$36,'TogoBiogas Electricity Fin'!$D$27*$D$34),0)</f>
        <v>0</v>
      </c>
      <c r="AJ99" s="571">
        <f>IF(AJ76&lt;=$D$36,-IPMT($D$35,AJ76,$D$36,'TogoBiogas Electricity Fin'!$D$27*$D$34),0)</f>
        <v>0</v>
      </c>
      <c r="AK99" s="571">
        <f>IF(AK76&lt;=$D$36,-IPMT($D$35,AK76,$D$36,'TogoBiogas Electricity Fin'!$D$27*$D$34),0)</f>
        <v>0</v>
      </c>
      <c r="AL99" s="571">
        <f>IF(AL76&lt;=$D$36,-IPMT($D$35,AL76,$D$36,'TogoBiogas Electricity Fin'!$D$27*$D$34),0)</f>
        <v>0</v>
      </c>
      <c r="AM99" s="572">
        <f>IF(AM76&lt;=$D$36,-IPMT($D$35,AM76,$D$36,'TogoBiogas Electricity Fin'!$D$27*$D$34),0)</f>
        <v>0</v>
      </c>
    </row>
    <row r="100" spans="2:39">
      <c r="B100" s="573" t="s">
        <v>429</v>
      </c>
      <c r="C100" s="578" t="s">
        <v>417</v>
      </c>
      <c r="D100" s="579"/>
      <c r="E100" s="580">
        <f>IF(E76&lt;=$D$36,-PPMT($D$35,E76,$D$36,'TogoBiogas Electricity Fin'!$D$27*$D$34),0)</f>
        <v>404781.73870058992</v>
      </c>
      <c r="F100" s="580">
        <f>IF(F76&lt;=$D$36,-PPMT($D$35,F76,$D$36,'TogoBiogas Electricity Fin'!$D$27*$D$34),0)</f>
        <v>404781.73870058992</v>
      </c>
      <c r="G100" s="580">
        <f>IF(G76&lt;=$D$36,-PPMT($D$35,G76,$D$36,'TogoBiogas Electricity Fin'!$D$27*$D$34),0)</f>
        <v>404781.73870058992</v>
      </c>
      <c r="H100" s="580">
        <f>IF(H76&lt;=$D$36,-PPMT($D$35,H76,$D$36,'TogoBiogas Electricity Fin'!$D$27*$D$34),0)</f>
        <v>404781.73870058992</v>
      </c>
      <c r="I100" s="580">
        <f>IF(I76&lt;=$D$36,-PPMT($D$35,I76,$D$36,'TogoBiogas Electricity Fin'!$D$27*$D$34),0)</f>
        <v>404781.73870058992</v>
      </c>
      <c r="J100" s="580">
        <f>IF(J76&lt;=$D$36,-PPMT($D$35,J76,$D$36,'TogoBiogas Electricity Fin'!$D$27*$D$34),0)</f>
        <v>404781.73870058992</v>
      </c>
      <c r="K100" s="580">
        <f>IF(K76&lt;=$D$36,-PPMT($D$35,K76,$D$36,'TogoBiogas Electricity Fin'!$D$27*$D$34),0)</f>
        <v>404781.73870058992</v>
      </c>
      <c r="L100" s="580">
        <f>IF(L76&lt;=$D$36,-PPMT($D$35,L76,$D$36,'TogoBiogas Electricity Fin'!$D$27*$D$34),0)</f>
        <v>404781.73870058992</v>
      </c>
      <c r="M100" s="580">
        <f>IF(M76&lt;=$D$36,-PPMT($D$35,M76,$D$36,'TogoBiogas Electricity Fin'!$D$27*$D$34),0)</f>
        <v>404781.73870058992</v>
      </c>
      <c r="N100" s="580">
        <f>IF(N76&lt;=$D$36,-PPMT($D$35,N76,$D$36,'TogoBiogas Electricity Fin'!$D$27*$D$34),0)</f>
        <v>404781.73870058992</v>
      </c>
      <c r="O100" s="580">
        <f>IF(O76&lt;=$D$36,-PPMT($D$35,O76,$D$36,'TogoBiogas Electricity Fin'!$D$27*$D$34),0)</f>
        <v>404781.73870058992</v>
      </c>
      <c r="P100" s="580">
        <f>IF(P76&lt;=$D$36,-PPMT($D$35,P76,$D$36,'TogoBiogas Electricity Fin'!$D$27*$D$34),0)</f>
        <v>404781.73870058992</v>
      </c>
      <c r="Q100" s="580">
        <f>IF(Q76&lt;=$D$36,-PPMT($D$35,Q76,$D$36,'TogoBiogas Electricity Fin'!$D$27*$D$34),0)</f>
        <v>404781.73870058992</v>
      </c>
      <c r="R100" s="716">
        <f>IF(R76&lt;=$D$36,-PPMT($D$35,R76,$D$36,'TogoBiogas Electricity Fin'!$D$27*$D$34),0)</f>
        <v>404781.73870058992</v>
      </c>
      <c r="S100" s="580">
        <f>IF(S76&lt;=$D$36,-PPMT($D$35,S76,$D$36,'TogoBiogas Electricity Fin'!$D$27*$D$34),0)</f>
        <v>404781.73870058992</v>
      </c>
      <c r="T100" s="580">
        <f>IF(T76&lt;=$D$36,-PPMT($D$35,T76,$D$36,'TogoBiogas Electricity Fin'!$D$27*$D$34),0)</f>
        <v>404781.73870058992</v>
      </c>
      <c r="U100" s="580">
        <f>IF(U76&lt;=$D$36,-PPMT($D$35,U76,$D$36,'TogoBiogas Electricity Fin'!$D$27*$D$34),0)</f>
        <v>404781.73870058992</v>
      </c>
      <c r="V100" s="580">
        <f>IF(V76&lt;=$D$36,-PPMT($D$35,V76,$D$36,'TogoBiogas Electricity Fin'!$D$27*$D$34),0)</f>
        <v>404781.73870058992</v>
      </c>
      <c r="W100" s="580">
        <f>IF(W76&lt;=$D$36,-PPMT($D$35,W76,$D$36,'TogoBiogas Electricity Fin'!$D$27*$D$34),0)</f>
        <v>404781.73870058992</v>
      </c>
      <c r="X100" s="580">
        <f>IF(X76&lt;=$D$36,-PPMT($D$35,X76,$D$36,'TogoBiogas Electricity Fin'!$D$27*$D$34),0)</f>
        <v>404781.73870058992</v>
      </c>
      <c r="Y100" s="580">
        <f>IF(Y76&lt;=$D$36,-PPMT($D$35,Y76,$D$36,'TogoBiogas Electricity Fin'!$D$27*$D$34),0)</f>
        <v>404781.73870058992</v>
      </c>
      <c r="Z100" s="580">
        <f>IF(Z76&lt;=$D$36,-PPMT($D$35,Z76,$D$36,'TogoBiogas Electricity Fin'!$D$27*$D$34),0)</f>
        <v>404781.73870058992</v>
      </c>
      <c r="AA100" s="580">
        <f>IF(AA76&lt;=$D$36,-PPMT($D$35,AA76,$D$36,'TogoBiogas Electricity Fin'!$D$27*$D$34),0)</f>
        <v>404781.73870058992</v>
      </c>
      <c r="AB100" s="580">
        <f>IF(AB76&lt;=$D$36,-PPMT($D$35,AB76,$D$36,'TogoBiogas Electricity Fin'!$D$27*$D$34),0)</f>
        <v>404781.73870058992</v>
      </c>
      <c r="AC100" s="580">
        <f>IF(AC76&lt;=$D$36,-PPMT($D$35,AC76,$D$36,'TogoBiogas Electricity Fin'!$D$27*$D$34),0)</f>
        <v>404781.73870058992</v>
      </c>
      <c r="AD100" s="580">
        <f>IF(AD76&lt;=$D$36,-PPMT($D$35,AD76,$D$36,'TogoBiogas Electricity Fin'!$D$27*$D$34),0)</f>
        <v>0</v>
      </c>
      <c r="AE100" s="580">
        <f>IF(AE76&lt;=$D$36,-PPMT($D$35,AE76,$D$36,'TogoBiogas Electricity Fin'!$D$27*$D$34),0)</f>
        <v>0</v>
      </c>
      <c r="AF100" s="580">
        <f>IF(AF76&lt;=$D$36,-PPMT($D$35,AF76,$D$36,'TogoBiogas Electricity Fin'!$D$27*$D$34),0)</f>
        <v>0</v>
      </c>
      <c r="AG100" s="580">
        <f>IF(AG76&lt;=$D$36,-PPMT($D$35,AG76,$D$36,'TogoBiogas Electricity Fin'!$D$27*$D$34),0)</f>
        <v>0</v>
      </c>
      <c r="AH100" s="580">
        <f>IF(AH76&lt;=$D$36,-PPMT($D$35,AH76,$D$36,'TogoBiogas Electricity Fin'!$D$27*$D$34),0)</f>
        <v>0</v>
      </c>
      <c r="AI100" s="580">
        <f>IF(AI76&lt;=$D$36,-PPMT($D$35,AI76,$D$36,'TogoBiogas Electricity Fin'!$D$27*$D$34),0)</f>
        <v>0</v>
      </c>
      <c r="AJ100" s="580">
        <f>IF(AJ76&lt;=$D$36,-PPMT($D$35,AJ76,$D$36,'TogoBiogas Electricity Fin'!$D$27*$D$34),0)</f>
        <v>0</v>
      </c>
      <c r="AK100" s="580">
        <f>IF(AK76&lt;=$D$36,-PPMT($D$35,AK76,$D$36,'TogoBiogas Electricity Fin'!$D$27*$D$34),0)</f>
        <v>0</v>
      </c>
      <c r="AL100" s="580">
        <f>IF(AL76&lt;=$D$36,-PPMT($D$35,AL76,$D$36,'TogoBiogas Electricity Fin'!$D$27*$D$34),0)</f>
        <v>0</v>
      </c>
      <c r="AM100" s="581">
        <f>IF(AM76&lt;=$D$36,-PPMT($D$35,AM76,$D$36,'TogoBiogas Electricity Fin'!$D$27*$D$34),0)</f>
        <v>0</v>
      </c>
    </row>
    <row r="101" spans="2:39" ht="12.95">
      <c r="B101" s="598" t="s">
        <v>430</v>
      </c>
      <c r="C101" s="583" t="s">
        <v>417</v>
      </c>
      <c r="D101" s="599">
        <f>D96</f>
        <v>10119543.467514748</v>
      </c>
      <c r="E101" s="600">
        <f>SUM(E99:E100)+E96</f>
        <v>404781.73870058992</v>
      </c>
      <c r="F101" s="600">
        <f t="shared" ref="F101:M101" si="3">SUM(F99:F100)+F96</f>
        <v>404781.73870058992</v>
      </c>
      <c r="G101" s="600">
        <f t="shared" si="3"/>
        <v>404781.73870058992</v>
      </c>
      <c r="H101" s="600">
        <f t="shared" si="3"/>
        <v>404781.73870058992</v>
      </c>
      <c r="I101" s="600">
        <f t="shared" si="3"/>
        <v>404781.73870058992</v>
      </c>
      <c r="J101" s="600">
        <f t="shared" si="3"/>
        <v>404781.73870058992</v>
      </c>
      <c r="K101" s="600">
        <f t="shared" si="3"/>
        <v>404781.73870058992</v>
      </c>
      <c r="L101" s="600">
        <f t="shared" si="3"/>
        <v>404781.73870058992</v>
      </c>
      <c r="M101" s="600">
        <f t="shared" si="3"/>
        <v>404781.73870058992</v>
      </c>
      <c r="N101" s="600">
        <f>SUM(N99:N100)</f>
        <v>404781.73870058992</v>
      </c>
      <c r="O101" s="600">
        <f t="shared" ref="O101:AM101" si="4">SUM(O99:O100)</f>
        <v>404781.73870058992</v>
      </c>
      <c r="P101" s="600">
        <f t="shared" si="4"/>
        <v>404781.73870058992</v>
      </c>
      <c r="Q101" s="600">
        <f t="shared" si="4"/>
        <v>404781.73870058992</v>
      </c>
      <c r="R101" s="600">
        <f t="shared" si="4"/>
        <v>404781.73870058992</v>
      </c>
      <c r="S101" s="600">
        <f t="shared" si="4"/>
        <v>404781.73870058992</v>
      </c>
      <c r="T101" s="600">
        <f t="shared" si="4"/>
        <v>404781.73870058992</v>
      </c>
      <c r="U101" s="600">
        <f t="shared" si="4"/>
        <v>404781.73870058992</v>
      </c>
      <c r="V101" s="600">
        <f t="shared" si="4"/>
        <v>404781.73870058992</v>
      </c>
      <c r="W101" s="600">
        <f t="shared" si="4"/>
        <v>404781.73870058992</v>
      </c>
      <c r="X101" s="600">
        <f t="shared" si="4"/>
        <v>404781.73870058992</v>
      </c>
      <c r="Y101" s="600">
        <f t="shared" si="4"/>
        <v>404781.73870058992</v>
      </c>
      <c r="Z101" s="600">
        <f t="shared" si="4"/>
        <v>404781.73870058992</v>
      </c>
      <c r="AA101" s="600">
        <f t="shared" si="4"/>
        <v>404781.73870058992</v>
      </c>
      <c r="AB101" s="600">
        <f t="shared" si="4"/>
        <v>404781.73870058992</v>
      </c>
      <c r="AC101" s="600">
        <f t="shared" si="4"/>
        <v>404781.73870058992</v>
      </c>
      <c r="AD101" s="600">
        <f t="shared" si="4"/>
        <v>0</v>
      </c>
      <c r="AE101" s="600">
        <f t="shared" si="4"/>
        <v>0</v>
      </c>
      <c r="AF101" s="600">
        <f t="shared" si="4"/>
        <v>0</v>
      </c>
      <c r="AG101" s="600">
        <f t="shared" si="4"/>
        <v>0</v>
      </c>
      <c r="AH101" s="600">
        <f t="shared" si="4"/>
        <v>0</v>
      </c>
      <c r="AI101" s="600">
        <f t="shared" si="4"/>
        <v>0</v>
      </c>
      <c r="AJ101" s="600">
        <f t="shared" si="4"/>
        <v>0</v>
      </c>
      <c r="AK101" s="600">
        <f t="shared" si="4"/>
        <v>0</v>
      </c>
      <c r="AL101" s="600">
        <f t="shared" si="4"/>
        <v>0</v>
      </c>
      <c r="AM101" s="601">
        <f t="shared" si="4"/>
        <v>0</v>
      </c>
    </row>
    <row r="102" spans="2:39" ht="12.95">
      <c r="B102" s="479"/>
      <c r="C102" s="479"/>
      <c r="D102" s="494"/>
      <c r="E102" s="494"/>
      <c r="F102" s="494"/>
      <c r="G102" s="494"/>
      <c r="H102" s="494"/>
      <c r="I102" s="494"/>
      <c r="J102" s="494"/>
      <c r="K102" s="494"/>
      <c r="L102" s="494"/>
      <c r="M102" s="494"/>
      <c r="N102" s="494"/>
      <c r="O102" s="494"/>
      <c r="P102" s="494"/>
      <c r="Q102" s="494"/>
      <c r="R102" s="494"/>
      <c r="S102" s="494"/>
      <c r="T102" s="494"/>
      <c r="U102" s="494"/>
      <c r="V102" s="494"/>
      <c r="W102" s="494"/>
      <c r="X102" s="494"/>
      <c r="Y102" s="494"/>
      <c r="Z102" s="494"/>
      <c r="AA102" s="494"/>
      <c r="AB102" s="494"/>
      <c r="AC102" s="494"/>
      <c r="AD102" s="494"/>
      <c r="AE102" s="494"/>
      <c r="AF102" s="494"/>
      <c r="AG102" s="494"/>
      <c r="AH102" s="494"/>
      <c r="AI102" s="494"/>
      <c r="AJ102" s="494"/>
      <c r="AK102" s="494"/>
      <c r="AL102" s="494"/>
      <c r="AM102" s="494"/>
    </row>
    <row r="103" spans="2:39" ht="12.95">
      <c r="B103" s="598" t="s">
        <v>431</v>
      </c>
      <c r="C103" s="602" t="s">
        <v>417</v>
      </c>
      <c r="D103" s="599">
        <f>D101+D86+D108</f>
        <v>10274762.301557329</v>
      </c>
      <c r="E103" s="600">
        <f>E101+E86+E107</f>
        <v>560000.5727431702</v>
      </c>
      <c r="F103" s="600">
        <f t="shared" ref="F103:AM103" si="5">F101+F86+F107</f>
        <v>560000.5727431702</v>
      </c>
      <c r="G103" s="600">
        <f t="shared" si="5"/>
        <v>560000.5727431702</v>
      </c>
      <c r="H103" s="600">
        <f t="shared" si="5"/>
        <v>560000.5727431702</v>
      </c>
      <c r="I103" s="600">
        <f t="shared" si="5"/>
        <v>560000.5727431702</v>
      </c>
      <c r="J103" s="600">
        <f t="shared" si="5"/>
        <v>560000.5727431702</v>
      </c>
      <c r="K103" s="600">
        <f t="shared" si="5"/>
        <v>560000.5727431702</v>
      </c>
      <c r="L103" s="600">
        <f t="shared" si="5"/>
        <v>560000.5727431702</v>
      </c>
      <c r="M103" s="600">
        <f t="shared" si="5"/>
        <v>560000.5727431702</v>
      </c>
      <c r="N103" s="600">
        <f t="shared" si="5"/>
        <v>560000.5727431702</v>
      </c>
      <c r="O103" s="600">
        <f t="shared" si="5"/>
        <v>560000.5727431702</v>
      </c>
      <c r="P103" s="600">
        <f t="shared" si="5"/>
        <v>560000.5727431702</v>
      </c>
      <c r="Q103" s="600">
        <f t="shared" si="5"/>
        <v>560000.5727431702</v>
      </c>
      <c r="R103" s="600">
        <f t="shared" si="5"/>
        <v>560000.5727431702</v>
      </c>
      <c r="S103" s="600">
        <f t="shared" si="5"/>
        <v>560000.5727431702</v>
      </c>
      <c r="T103" s="600">
        <f t="shared" si="5"/>
        <v>560000.5727431702</v>
      </c>
      <c r="U103" s="600">
        <f t="shared" si="5"/>
        <v>560000.5727431702</v>
      </c>
      <c r="V103" s="600">
        <f t="shared" si="5"/>
        <v>560000.5727431702</v>
      </c>
      <c r="W103" s="600">
        <f t="shared" si="5"/>
        <v>560000.5727431702</v>
      </c>
      <c r="X103" s="600">
        <f t="shared" si="5"/>
        <v>560000.5727431702</v>
      </c>
      <c r="Y103" s="600">
        <f t="shared" si="5"/>
        <v>560000.5727431702</v>
      </c>
      <c r="Z103" s="600">
        <f t="shared" si="5"/>
        <v>560000.5727431702</v>
      </c>
      <c r="AA103" s="600">
        <f t="shared" si="5"/>
        <v>560000.5727431702</v>
      </c>
      <c r="AB103" s="600">
        <f t="shared" si="5"/>
        <v>560000.5727431702</v>
      </c>
      <c r="AC103" s="600">
        <f t="shared" si="5"/>
        <v>2047550.6060559135</v>
      </c>
      <c r="AD103" s="600">
        <f t="shared" si="5"/>
        <v>0</v>
      </c>
      <c r="AE103" s="600">
        <f t="shared" si="5"/>
        <v>0</v>
      </c>
      <c r="AF103" s="600">
        <f t="shared" si="5"/>
        <v>0</v>
      </c>
      <c r="AG103" s="600">
        <f t="shared" si="5"/>
        <v>0</v>
      </c>
      <c r="AH103" s="600">
        <f t="shared" si="5"/>
        <v>0</v>
      </c>
      <c r="AI103" s="600">
        <f t="shared" si="5"/>
        <v>0</v>
      </c>
      <c r="AJ103" s="600">
        <f t="shared" si="5"/>
        <v>0</v>
      </c>
      <c r="AK103" s="600">
        <f t="shared" si="5"/>
        <v>0</v>
      </c>
      <c r="AL103" s="600">
        <f t="shared" si="5"/>
        <v>0</v>
      </c>
      <c r="AM103" s="601">
        <f t="shared" si="5"/>
        <v>0</v>
      </c>
    </row>
    <row r="104" spans="2:39">
      <c r="B104" s="478"/>
      <c r="C104" s="485"/>
      <c r="D104" s="476"/>
      <c r="E104" s="476"/>
      <c r="F104" s="476"/>
      <c r="G104" s="476"/>
      <c r="H104" s="476"/>
      <c r="I104" s="476"/>
      <c r="J104" s="476"/>
      <c r="K104" s="476"/>
      <c r="L104" s="476"/>
      <c r="M104" s="476"/>
      <c r="N104" s="476"/>
      <c r="O104" s="476"/>
      <c r="P104" s="476"/>
      <c r="Q104" s="476"/>
      <c r="R104" s="476"/>
      <c r="S104" s="476"/>
      <c r="T104" s="476"/>
      <c r="U104" s="476"/>
      <c r="V104" s="476"/>
      <c r="W104" s="476"/>
      <c r="X104" s="476"/>
      <c r="Y104" s="476"/>
      <c r="Z104" s="476"/>
      <c r="AA104" s="476"/>
      <c r="AB104" s="476"/>
      <c r="AC104" s="476"/>
      <c r="AD104" s="476"/>
      <c r="AE104" s="476"/>
      <c r="AF104" s="476"/>
      <c r="AG104" s="476"/>
      <c r="AH104" s="476"/>
      <c r="AI104" s="476"/>
      <c r="AJ104" s="476"/>
      <c r="AK104" s="476"/>
      <c r="AL104" s="476"/>
      <c r="AM104" s="476"/>
    </row>
    <row r="105" spans="2:39" ht="12.95">
      <c r="B105" s="495"/>
      <c r="D105" s="496" t="s">
        <v>432</v>
      </c>
      <c r="E105" s="496" t="s">
        <v>433</v>
      </c>
      <c r="R105" s="474"/>
    </row>
    <row r="106" spans="2:39">
      <c r="R106" s="474"/>
    </row>
    <row r="107" spans="2:39" s="496" customFormat="1" ht="12.95">
      <c r="B107" s="565" t="s">
        <v>434</v>
      </c>
      <c r="C107" s="592" t="s">
        <v>417</v>
      </c>
      <c r="D107" s="599"/>
      <c r="E107" s="600">
        <f t="shared" ref="E107:AM107" si="6">IF(E76&lt;=$D37,$D108*$D38,0)</f>
        <v>0</v>
      </c>
      <c r="F107" s="600">
        <f t="shared" si="6"/>
        <v>0</v>
      </c>
      <c r="G107" s="600">
        <f t="shared" si="6"/>
        <v>0</v>
      </c>
      <c r="H107" s="600">
        <f t="shared" si="6"/>
        <v>0</v>
      </c>
      <c r="I107" s="600">
        <f t="shared" si="6"/>
        <v>0</v>
      </c>
      <c r="J107" s="600">
        <f t="shared" si="6"/>
        <v>0</v>
      </c>
      <c r="K107" s="600">
        <f t="shared" si="6"/>
        <v>0</v>
      </c>
      <c r="L107" s="600">
        <f t="shared" si="6"/>
        <v>0</v>
      </c>
      <c r="M107" s="600">
        <f t="shared" si="6"/>
        <v>0</v>
      </c>
      <c r="N107" s="600">
        <f t="shared" si="6"/>
        <v>0</v>
      </c>
      <c r="O107" s="600">
        <f t="shared" si="6"/>
        <v>0</v>
      </c>
      <c r="P107" s="600">
        <f t="shared" si="6"/>
        <v>0</v>
      </c>
      <c r="Q107" s="600">
        <f t="shared" si="6"/>
        <v>0</v>
      </c>
      <c r="R107" s="600">
        <f t="shared" si="6"/>
        <v>0</v>
      </c>
      <c r="S107" s="600">
        <f t="shared" si="6"/>
        <v>0</v>
      </c>
      <c r="T107" s="600">
        <f t="shared" si="6"/>
        <v>0</v>
      </c>
      <c r="U107" s="600">
        <f t="shared" si="6"/>
        <v>0</v>
      </c>
      <c r="V107" s="600">
        <f t="shared" si="6"/>
        <v>0</v>
      </c>
      <c r="W107" s="600">
        <f t="shared" si="6"/>
        <v>0</v>
      </c>
      <c r="X107" s="600">
        <f t="shared" si="6"/>
        <v>0</v>
      </c>
      <c r="Y107" s="600">
        <f t="shared" si="6"/>
        <v>0</v>
      </c>
      <c r="Z107" s="600">
        <f t="shared" si="6"/>
        <v>0</v>
      </c>
      <c r="AA107" s="600">
        <f t="shared" si="6"/>
        <v>0</v>
      </c>
      <c r="AB107" s="600">
        <f t="shared" si="6"/>
        <v>0</v>
      </c>
      <c r="AC107" s="600">
        <f t="shared" si="6"/>
        <v>0</v>
      </c>
      <c r="AD107" s="600">
        <f t="shared" si="6"/>
        <v>0</v>
      </c>
      <c r="AE107" s="600">
        <f t="shared" si="6"/>
        <v>0</v>
      </c>
      <c r="AF107" s="600">
        <f t="shared" si="6"/>
        <v>0</v>
      </c>
      <c r="AG107" s="600">
        <f t="shared" si="6"/>
        <v>0</v>
      </c>
      <c r="AH107" s="600">
        <f t="shared" si="6"/>
        <v>0</v>
      </c>
      <c r="AI107" s="600">
        <f t="shared" si="6"/>
        <v>0</v>
      </c>
      <c r="AJ107" s="600">
        <f t="shared" si="6"/>
        <v>0</v>
      </c>
      <c r="AK107" s="600">
        <f t="shared" si="6"/>
        <v>0</v>
      </c>
      <c r="AL107" s="600">
        <f t="shared" si="6"/>
        <v>0</v>
      </c>
      <c r="AM107" s="601">
        <f t="shared" si="6"/>
        <v>0</v>
      </c>
    </row>
    <row r="108" spans="2:39">
      <c r="B108" s="561" t="s">
        <v>435</v>
      </c>
      <c r="C108" s="545" t="s">
        <v>331</v>
      </c>
      <c r="D108" s="603">
        <f>'TogoBiogas Electricity Fin'!D27*(1-D34)</f>
        <v>0</v>
      </c>
      <c r="R108" s="474"/>
    </row>
    <row r="109" spans="2:39">
      <c r="D109" s="487"/>
      <c r="R109" s="474"/>
    </row>
    <row r="110" spans="2:39" s="497" customFormat="1" ht="12.95">
      <c r="B110" s="561" t="s">
        <v>436</v>
      </c>
      <c r="C110" s="545" t="s">
        <v>437</v>
      </c>
      <c r="D110" s="604">
        <f>D78/((1+$D41)^D76)</f>
        <v>17246537.115842253</v>
      </c>
      <c r="E110" s="605">
        <f t="shared" ref="E110:AM110" si="7">E78/((1+$D41)^E76)</f>
        <v>14372114.263201877</v>
      </c>
      <c r="F110" s="605">
        <f t="shared" si="7"/>
        <v>11976761.886001565</v>
      </c>
      <c r="G110" s="605">
        <f t="shared" si="7"/>
        <v>9980634.9050013032</v>
      </c>
      <c r="H110" s="605">
        <f t="shared" si="7"/>
        <v>8317195.7541677533</v>
      </c>
      <c r="I110" s="605">
        <f t="shared" si="7"/>
        <v>6930996.4618064612</v>
      </c>
      <c r="J110" s="605">
        <f t="shared" si="7"/>
        <v>5775830.384838718</v>
      </c>
      <c r="K110" s="605">
        <f t="shared" si="7"/>
        <v>4813191.9873655988</v>
      </c>
      <c r="L110" s="605">
        <f t="shared" si="7"/>
        <v>4010993.3228046657</v>
      </c>
      <c r="M110" s="605">
        <f t="shared" si="7"/>
        <v>3342494.4356705546</v>
      </c>
      <c r="N110" s="605">
        <f t="shared" si="7"/>
        <v>2785412.0297254622</v>
      </c>
      <c r="O110" s="605">
        <f t="shared" si="7"/>
        <v>2321176.6914378852</v>
      </c>
      <c r="P110" s="605">
        <f t="shared" si="7"/>
        <v>1934313.9095315712</v>
      </c>
      <c r="Q110" s="605">
        <f t="shared" si="7"/>
        <v>1611928.2579429757</v>
      </c>
      <c r="R110" s="717">
        <f t="shared" si="7"/>
        <v>1343273.5482858133</v>
      </c>
      <c r="S110" s="605">
        <f t="shared" si="7"/>
        <v>1119394.6235715111</v>
      </c>
      <c r="T110" s="605">
        <f t="shared" si="7"/>
        <v>932828.85297625931</v>
      </c>
      <c r="U110" s="605">
        <f t="shared" si="7"/>
        <v>777357.37748021609</v>
      </c>
      <c r="V110" s="605">
        <f t="shared" si="7"/>
        <v>647797.81456684682</v>
      </c>
      <c r="W110" s="605">
        <f t="shared" si="7"/>
        <v>539831.512139039</v>
      </c>
      <c r="X110" s="605">
        <f t="shared" si="7"/>
        <v>449859.59344919916</v>
      </c>
      <c r="Y110" s="605">
        <f t="shared" si="7"/>
        <v>374882.99454099929</v>
      </c>
      <c r="Z110" s="605">
        <f t="shared" si="7"/>
        <v>312402.49545083276</v>
      </c>
      <c r="AA110" s="605">
        <f t="shared" si="7"/>
        <v>260335.41287569399</v>
      </c>
      <c r="AB110" s="605">
        <f t="shared" si="7"/>
        <v>216946.17739641166</v>
      </c>
      <c r="AC110" s="605">
        <f t="shared" si="7"/>
        <v>180788.48116367636</v>
      </c>
      <c r="AD110" s="605">
        <f t="shared" si="7"/>
        <v>0</v>
      </c>
      <c r="AE110" s="605">
        <f t="shared" si="7"/>
        <v>0</v>
      </c>
      <c r="AF110" s="605">
        <f t="shared" si="7"/>
        <v>0</v>
      </c>
      <c r="AG110" s="605">
        <f t="shared" si="7"/>
        <v>0</v>
      </c>
      <c r="AH110" s="605">
        <f t="shared" si="7"/>
        <v>0</v>
      </c>
      <c r="AI110" s="605">
        <f t="shared" si="7"/>
        <v>0</v>
      </c>
      <c r="AJ110" s="605">
        <f t="shared" si="7"/>
        <v>0</v>
      </c>
      <c r="AK110" s="605">
        <f t="shared" si="7"/>
        <v>0</v>
      </c>
      <c r="AL110" s="605">
        <f t="shared" si="7"/>
        <v>0</v>
      </c>
      <c r="AM110" s="606">
        <f t="shared" si="7"/>
        <v>0</v>
      </c>
    </row>
    <row r="111" spans="2:39" s="497" customFormat="1" ht="12.95">
      <c r="B111" s="577" t="s">
        <v>438</v>
      </c>
      <c r="C111" s="607" t="s">
        <v>439</v>
      </c>
      <c r="D111" s="579">
        <f t="shared" ref="D111:AM111" si="8">D103/(1+$D41)^D76</f>
        <v>10274762.301557329</v>
      </c>
      <c r="E111" s="580">
        <f t="shared" si="8"/>
        <v>466667.14395264187</v>
      </c>
      <c r="F111" s="580">
        <f t="shared" si="8"/>
        <v>388889.28662720154</v>
      </c>
      <c r="G111" s="580">
        <f t="shared" si="8"/>
        <v>324074.40552266792</v>
      </c>
      <c r="H111" s="580">
        <f t="shared" si="8"/>
        <v>270062.00460222329</v>
      </c>
      <c r="I111" s="580">
        <f t="shared" si="8"/>
        <v>225051.67050185276</v>
      </c>
      <c r="J111" s="580">
        <f t="shared" si="8"/>
        <v>187543.05875154395</v>
      </c>
      <c r="K111" s="580">
        <f t="shared" si="8"/>
        <v>156285.88229295329</v>
      </c>
      <c r="L111" s="580">
        <f t="shared" si="8"/>
        <v>130238.23524412776</v>
      </c>
      <c r="M111" s="580">
        <f t="shared" si="8"/>
        <v>108531.86270343979</v>
      </c>
      <c r="N111" s="580">
        <f t="shared" si="8"/>
        <v>90443.218919533159</v>
      </c>
      <c r="O111" s="580">
        <f t="shared" si="8"/>
        <v>75369.349099610976</v>
      </c>
      <c r="P111" s="580">
        <f t="shared" si="8"/>
        <v>62807.790916342485</v>
      </c>
      <c r="Q111" s="580">
        <f t="shared" si="8"/>
        <v>52339.825763618734</v>
      </c>
      <c r="R111" s="716">
        <f t="shared" si="8"/>
        <v>43616.52146968228</v>
      </c>
      <c r="S111" s="580">
        <f t="shared" si="8"/>
        <v>36347.101224735234</v>
      </c>
      <c r="T111" s="580">
        <f t="shared" si="8"/>
        <v>30289.251020612697</v>
      </c>
      <c r="U111" s="580">
        <f t="shared" si="8"/>
        <v>25241.042517177248</v>
      </c>
      <c r="V111" s="580">
        <f t="shared" si="8"/>
        <v>21034.202097647707</v>
      </c>
      <c r="W111" s="580">
        <f t="shared" si="8"/>
        <v>17528.501748039755</v>
      </c>
      <c r="X111" s="580">
        <f t="shared" si="8"/>
        <v>14607.08479003313</v>
      </c>
      <c r="Y111" s="580">
        <f t="shared" si="8"/>
        <v>12172.570658360943</v>
      </c>
      <c r="Z111" s="580">
        <f t="shared" si="8"/>
        <v>10143.808881967452</v>
      </c>
      <c r="AA111" s="580">
        <f t="shared" si="8"/>
        <v>8453.1740683062108</v>
      </c>
      <c r="AB111" s="580">
        <f t="shared" si="8"/>
        <v>7044.3117235885093</v>
      </c>
      <c r="AC111" s="580">
        <f t="shared" si="8"/>
        <v>21463.645814125848</v>
      </c>
      <c r="AD111" s="580">
        <f t="shared" si="8"/>
        <v>0</v>
      </c>
      <c r="AE111" s="580">
        <f t="shared" si="8"/>
        <v>0</v>
      </c>
      <c r="AF111" s="580">
        <f t="shared" si="8"/>
        <v>0</v>
      </c>
      <c r="AG111" s="580">
        <f t="shared" si="8"/>
        <v>0</v>
      </c>
      <c r="AH111" s="580">
        <f t="shared" si="8"/>
        <v>0</v>
      </c>
      <c r="AI111" s="580">
        <f t="shared" si="8"/>
        <v>0</v>
      </c>
      <c r="AJ111" s="580">
        <f t="shared" si="8"/>
        <v>0</v>
      </c>
      <c r="AK111" s="580">
        <f t="shared" si="8"/>
        <v>0</v>
      </c>
      <c r="AL111" s="580">
        <f t="shared" si="8"/>
        <v>0</v>
      </c>
      <c r="AM111" s="581">
        <f t="shared" si="8"/>
        <v>0</v>
      </c>
    </row>
    <row r="112" spans="2:39" s="497" customFormat="1" ht="12.95">
      <c r="B112" s="608" t="s">
        <v>440</v>
      </c>
      <c r="C112" s="609" t="s">
        <v>441</v>
      </c>
      <c r="D112" s="610">
        <f t="shared" ref="D112:AM112" si="9">(D103-D130)/(1+$D41)^D76</f>
        <v>10616933.597935639</v>
      </c>
      <c r="E112" s="611">
        <f t="shared" si="9"/>
        <v>751809.89093456708</v>
      </c>
      <c r="F112" s="611">
        <f t="shared" si="9"/>
        <v>626508.24244547263</v>
      </c>
      <c r="G112" s="611">
        <f t="shared" si="9"/>
        <v>522090.20203789382</v>
      </c>
      <c r="H112" s="611">
        <f t="shared" si="9"/>
        <v>435075.16836491151</v>
      </c>
      <c r="I112" s="611">
        <f t="shared" si="9"/>
        <v>362562.64030409296</v>
      </c>
      <c r="J112" s="611">
        <f t="shared" si="9"/>
        <v>302135.5335867441</v>
      </c>
      <c r="K112" s="611">
        <f t="shared" si="9"/>
        <v>251779.61132228677</v>
      </c>
      <c r="L112" s="611">
        <f t="shared" si="9"/>
        <v>209816.34276857233</v>
      </c>
      <c r="M112" s="611">
        <f t="shared" si="9"/>
        <v>174846.9523071436</v>
      </c>
      <c r="N112" s="611">
        <f t="shared" si="9"/>
        <v>145705.79358928633</v>
      </c>
      <c r="O112" s="611">
        <f t="shared" si="9"/>
        <v>121421.49465773861</v>
      </c>
      <c r="P112" s="611">
        <f t="shared" si="9"/>
        <v>101184.57888144885</v>
      </c>
      <c r="Q112" s="611">
        <f t="shared" si="9"/>
        <v>84320.48240120738</v>
      </c>
      <c r="R112" s="611">
        <f t="shared" si="9"/>
        <v>70267.068667672822</v>
      </c>
      <c r="S112" s="611">
        <f t="shared" si="9"/>
        <v>58555.890556394013</v>
      </c>
      <c r="T112" s="611">
        <f t="shared" si="9"/>
        <v>48796.575463661684</v>
      </c>
      <c r="U112" s="611">
        <f t="shared" si="9"/>
        <v>40663.812886384738</v>
      </c>
      <c r="V112" s="611">
        <f t="shared" si="9"/>
        <v>33886.510738653946</v>
      </c>
      <c r="W112" s="611">
        <f t="shared" si="9"/>
        <v>28238.758948878287</v>
      </c>
      <c r="X112" s="611">
        <f t="shared" si="9"/>
        <v>23532.299124065241</v>
      </c>
      <c r="Y112" s="611">
        <f t="shared" si="9"/>
        <v>19610.24927005437</v>
      </c>
      <c r="Z112" s="611">
        <f t="shared" si="9"/>
        <v>16341.874391711975</v>
      </c>
      <c r="AA112" s="611">
        <f t="shared" si="9"/>
        <v>13618.22865975998</v>
      </c>
      <c r="AB112" s="611">
        <f t="shared" si="9"/>
        <v>11348.523883133317</v>
      </c>
      <c r="AC112" s="611">
        <f t="shared" si="9"/>
        <v>24417.187230896827</v>
      </c>
      <c r="AD112" s="611">
        <f t="shared" si="9"/>
        <v>0</v>
      </c>
      <c r="AE112" s="611">
        <f t="shared" si="9"/>
        <v>0</v>
      </c>
      <c r="AF112" s="611">
        <f t="shared" si="9"/>
        <v>0</v>
      </c>
      <c r="AG112" s="611">
        <f t="shared" si="9"/>
        <v>0</v>
      </c>
      <c r="AH112" s="611">
        <f t="shared" si="9"/>
        <v>0</v>
      </c>
      <c r="AI112" s="611">
        <f t="shared" si="9"/>
        <v>0</v>
      </c>
      <c r="AJ112" s="611">
        <f t="shared" si="9"/>
        <v>0</v>
      </c>
      <c r="AK112" s="611">
        <f t="shared" si="9"/>
        <v>0</v>
      </c>
      <c r="AL112" s="611">
        <f t="shared" si="9"/>
        <v>0</v>
      </c>
      <c r="AM112" s="612">
        <f t="shared" si="9"/>
        <v>0</v>
      </c>
    </row>
    <row r="113" spans="1:39" s="497" customFormat="1" ht="12.95">
      <c r="B113" s="577" t="s">
        <v>442</v>
      </c>
      <c r="C113" s="607" t="s">
        <v>439</v>
      </c>
      <c r="D113" s="579">
        <f t="shared" ref="D113:AM113" si="10">(D149)/(1+$D41)^D76</f>
        <v>1379722.9692673802</v>
      </c>
      <c r="E113" s="580">
        <f t="shared" si="10"/>
        <v>1149769.1410561502</v>
      </c>
      <c r="F113" s="580">
        <f t="shared" si="10"/>
        <v>958140.95088012516</v>
      </c>
      <c r="G113" s="580">
        <f t="shared" si="10"/>
        <v>798450.79240010434</v>
      </c>
      <c r="H113" s="580">
        <f t="shared" si="10"/>
        <v>665375.66033342027</v>
      </c>
      <c r="I113" s="580">
        <f t="shared" si="10"/>
        <v>554479.71694451687</v>
      </c>
      <c r="J113" s="580">
        <f t="shared" si="10"/>
        <v>462066.43078709743</v>
      </c>
      <c r="K113" s="580">
        <f t="shared" si="10"/>
        <v>385055.35898924788</v>
      </c>
      <c r="L113" s="580">
        <f t="shared" si="10"/>
        <v>320879.46582437324</v>
      </c>
      <c r="M113" s="580">
        <f t="shared" si="10"/>
        <v>267399.55485364434</v>
      </c>
      <c r="N113" s="580">
        <f t="shared" si="10"/>
        <v>222832.96237803696</v>
      </c>
      <c r="O113" s="580">
        <f t="shared" si="10"/>
        <v>185694.13531503081</v>
      </c>
      <c r="P113" s="580">
        <f t="shared" si="10"/>
        <v>154745.11276252568</v>
      </c>
      <c r="Q113" s="580">
        <f t="shared" si="10"/>
        <v>128954.26063543807</v>
      </c>
      <c r="R113" s="716">
        <f t="shared" si="10"/>
        <v>107461.88386286507</v>
      </c>
      <c r="S113" s="580">
        <f t="shared" si="10"/>
        <v>89551.569885720877</v>
      </c>
      <c r="T113" s="580">
        <f t="shared" si="10"/>
        <v>74626.308238100741</v>
      </c>
      <c r="U113" s="580">
        <f t="shared" si="10"/>
        <v>62188.590198417289</v>
      </c>
      <c r="V113" s="580">
        <f t="shared" si="10"/>
        <v>51823.825165347742</v>
      </c>
      <c r="W113" s="580">
        <f t="shared" si="10"/>
        <v>43186.520971123115</v>
      </c>
      <c r="X113" s="580">
        <f t="shared" si="10"/>
        <v>35988.767475935929</v>
      </c>
      <c r="Y113" s="580">
        <f t="shared" si="10"/>
        <v>29990.639563279943</v>
      </c>
      <c r="Z113" s="580">
        <f t="shared" si="10"/>
        <v>24992.199636066623</v>
      </c>
      <c r="AA113" s="580">
        <f t="shared" si="10"/>
        <v>20826.833030055517</v>
      </c>
      <c r="AB113" s="580">
        <f t="shared" si="10"/>
        <v>17355.694191712933</v>
      </c>
      <c r="AC113" s="580">
        <f t="shared" si="10"/>
        <v>14463.078493094108</v>
      </c>
      <c r="AD113" s="580">
        <f t="shared" si="10"/>
        <v>0</v>
      </c>
      <c r="AE113" s="580">
        <f t="shared" si="10"/>
        <v>0</v>
      </c>
      <c r="AF113" s="580">
        <f t="shared" si="10"/>
        <v>0</v>
      </c>
      <c r="AG113" s="580">
        <f t="shared" si="10"/>
        <v>0</v>
      </c>
      <c r="AH113" s="580">
        <f t="shared" si="10"/>
        <v>0</v>
      </c>
      <c r="AI113" s="580">
        <f t="shared" si="10"/>
        <v>0</v>
      </c>
      <c r="AJ113" s="580">
        <f t="shared" si="10"/>
        <v>0</v>
      </c>
      <c r="AK113" s="580">
        <f t="shared" si="10"/>
        <v>0</v>
      </c>
      <c r="AL113" s="580">
        <f t="shared" si="10"/>
        <v>0</v>
      </c>
      <c r="AM113" s="581">
        <f t="shared" si="10"/>
        <v>0</v>
      </c>
    </row>
    <row r="114" spans="1:39" s="497" customFormat="1" ht="12.95">
      <c r="B114" s="577" t="s">
        <v>443</v>
      </c>
      <c r="C114" s="607" t="s">
        <v>439</v>
      </c>
      <c r="D114" s="579">
        <f t="shared" ref="D114:AM114" si="11">(D124)/(1+$D41)^D76</f>
        <v>-816294.87942708225</v>
      </c>
      <c r="E114" s="580">
        <f t="shared" si="11"/>
        <v>-680245.73285590194</v>
      </c>
      <c r="F114" s="580">
        <f t="shared" si="11"/>
        <v>-566871.44404658489</v>
      </c>
      <c r="G114" s="580">
        <f t="shared" si="11"/>
        <v>-472392.87003882078</v>
      </c>
      <c r="H114" s="580">
        <f t="shared" si="11"/>
        <v>-393660.72503235063</v>
      </c>
      <c r="I114" s="580">
        <f t="shared" si="11"/>
        <v>-328050.60419362556</v>
      </c>
      <c r="J114" s="580">
        <f t="shared" si="11"/>
        <v>-273375.50349468796</v>
      </c>
      <c r="K114" s="580">
        <f t="shared" si="11"/>
        <v>-227812.91957890664</v>
      </c>
      <c r="L114" s="580">
        <f t="shared" si="11"/>
        <v>-189844.09964908886</v>
      </c>
      <c r="M114" s="580">
        <f t="shared" si="11"/>
        <v>-158203.41637424071</v>
      </c>
      <c r="N114" s="580">
        <f t="shared" si="11"/>
        <v>-131836.18031186727</v>
      </c>
      <c r="O114" s="580">
        <f t="shared" si="11"/>
        <v>-109863.48359322273</v>
      </c>
      <c r="P114" s="580">
        <f t="shared" si="11"/>
        <v>-91552.902994352276</v>
      </c>
      <c r="Q114" s="580">
        <f t="shared" si="11"/>
        <v>-76294.085828626892</v>
      </c>
      <c r="R114" s="716">
        <f t="shared" si="11"/>
        <v>-63578.404857189089</v>
      </c>
      <c r="S114" s="580">
        <f t="shared" si="11"/>
        <v>-52982.004047657567</v>
      </c>
      <c r="T114" s="580">
        <f t="shared" si="11"/>
        <v>-44151.670039714649</v>
      </c>
      <c r="U114" s="580">
        <f t="shared" si="11"/>
        <v>-36793.058366428872</v>
      </c>
      <c r="V114" s="580">
        <f t="shared" si="11"/>
        <v>-30660.881972024061</v>
      </c>
      <c r="W114" s="580">
        <f t="shared" si="11"/>
        <v>-25550.734976686716</v>
      </c>
      <c r="X114" s="580">
        <f t="shared" si="11"/>
        <v>-21292.279147238929</v>
      </c>
      <c r="Y114" s="580">
        <f t="shared" si="11"/>
        <v>-17743.565956032442</v>
      </c>
      <c r="Z114" s="580">
        <f t="shared" si="11"/>
        <v>-14786.304963360371</v>
      </c>
      <c r="AA114" s="580">
        <f t="shared" si="11"/>
        <v>-12321.920802800309</v>
      </c>
      <c r="AB114" s="580">
        <f t="shared" si="11"/>
        <v>-10268.267335666924</v>
      </c>
      <c r="AC114" s="580">
        <f t="shared" si="11"/>
        <v>-8556.8894463891029</v>
      </c>
      <c r="AD114" s="580">
        <f t="shared" si="11"/>
        <v>0</v>
      </c>
      <c r="AE114" s="580">
        <f t="shared" si="11"/>
        <v>0</v>
      </c>
      <c r="AF114" s="580">
        <f t="shared" si="11"/>
        <v>0</v>
      </c>
      <c r="AG114" s="580">
        <f t="shared" si="11"/>
        <v>0</v>
      </c>
      <c r="AH114" s="580">
        <f t="shared" si="11"/>
        <v>0</v>
      </c>
      <c r="AI114" s="580">
        <f t="shared" si="11"/>
        <v>0</v>
      </c>
      <c r="AJ114" s="580">
        <f t="shared" si="11"/>
        <v>0</v>
      </c>
      <c r="AK114" s="580">
        <f t="shared" si="11"/>
        <v>0</v>
      </c>
      <c r="AL114" s="580">
        <f t="shared" si="11"/>
        <v>0</v>
      </c>
      <c r="AM114" s="581">
        <f t="shared" si="11"/>
        <v>0</v>
      </c>
    </row>
    <row r="115" spans="1:39" s="497" customFormat="1" ht="12.95">
      <c r="B115" s="577" t="s">
        <v>444</v>
      </c>
      <c r="C115" s="607" t="s">
        <v>439</v>
      </c>
      <c r="D115" s="579">
        <f t="shared" ref="D115:AM115" si="12">(D130)/(1+$D41)^D76</f>
        <v>-342171.2963783103</v>
      </c>
      <c r="E115" s="580">
        <f t="shared" si="12"/>
        <v>-285142.74698192527</v>
      </c>
      <c r="F115" s="580">
        <f t="shared" si="12"/>
        <v>-237618.95581827106</v>
      </c>
      <c r="G115" s="580">
        <f t="shared" si="12"/>
        <v>-198015.79651522587</v>
      </c>
      <c r="H115" s="580">
        <f t="shared" si="12"/>
        <v>-165013.16376268823</v>
      </c>
      <c r="I115" s="580">
        <f t="shared" si="12"/>
        <v>-137510.9698022402</v>
      </c>
      <c r="J115" s="580">
        <f t="shared" si="12"/>
        <v>-114592.47483520016</v>
      </c>
      <c r="K115" s="580">
        <f t="shared" si="12"/>
        <v>-95493.729029333481</v>
      </c>
      <c r="L115" s="580">
        <f t="shared" si="12"/>
        <v>-79578.107524444567</v>
      </c>
      <c r="M115" s="580">
        <f t="shared" si="12"/>
        <v>-66315.089603703804</v>
      </c>
      <c r="N115" s="580">
        <f t="shared" si="12"/>
        <v>-55262.574669753172</v>
      </c>
      <c r="O115" s="580">
        <f t="shared" si="12"/>
        <v>-46052.145558127646</v>
      </c>
      <c r="P115" s="580">
        <f t="shared" si="12"/>
        <v>-38376.78796510637</v>
      </c>
      <c r="Q115" s="580">
        <f t="shared" si="12"/>
        <v>-31980.65663758864</v>
      </c>
      <c r="R115" s="716">
        <f t="shared" si="12"/>
        <v>-26650.547197990538</v>
      </c>
      <c r="S115" s="580">
        <f t="shared" si="12"/>
        <v>-22208.78933165878</v>
      </c>
      <c r="T115" s="580">
        <f t="shared" si="12"/>
        <v>-18507.324443048987</v>
      </c>
      <c r="U115" s="580">
        <f t="shared" si="12"/>
        <v>-15422.770369207488</v>
      </c>
      <c r="V115" s="580">
        <f t="shared" si="12"/>
        <v>-12852.308641006241</v>
      </c>
      <c r="W115" s="580">
        <f t="shared" si="12"/>
        <v>-10710.257200838532</v>
      </c>
      <c r="X115" s="580">
        <f t="shared" si="12"/>
        <v>-8925.2143340321109</v>
      </c>
      <c r="Y115" s="580">
        <f t="shared" si="12"/>
        <v>-7437.6786116934263</v>
      </c>
      <c r="Z115" s="580">
        <f t="shared" si="12"/>
        <v>-6198.0655097445224</v>
      </c>
      <c r="AA115" s="580">
        <f t="shared" si="12"/>
        <v>-5165.0545914537688</v>
      </c>
      <c r="AB115" s="580">
        <f t="shared" si="12"/>
        <v>-4304.212159544807</v>
      </c>
      <c r="AC115" s="580">
        <f t="shared" si="12"/>
        <v>-2953.5414167709805</v>
      </c>
      <c r="AD115" s="580">
        <f t="shared" si="12"/>
        <v>0</v>
      </c>
      <c r="AE115" s="580">
        <f t="shared" si="12"/>
        <v>0</v>
      </c>
      <c r="AF115" s="580">
        <f t="shared" si="12"/>
        <v>0</v>
      </c>
      <c r="AG115" s="580">
        <f t="shared" si="12"/>
        <v>0</v>
      </c>
      <c r="AH115" s="580">
        <f t="shared" si="12"/>
        <v>0</v>
      </c>
      <c r="AI115" s="580">
        <f t="shared" si="12"/>
        <v>0</v>
      </c>
      <c r="AJ115" s="580">
        <f t="shared" si="12"/>
        <v>0</v>
      </c>
      <c r="AK115" s="580">
        <f t="shared" si="12"/>
        <v>0</v>
      </c>
      <c r="AL115" s="580">
        <f t="shared" si="12"/>
        <v>0</v>
      </c>
      <c r="AM115" s="581">
        <f t="shared" si="12"/>
        <v>0</v>
      </c>
    </row>
    <row r="116" spans="1:39" s="497" customFormat="1" ht="12.95">
      <c r="B116" s="498"/>
      <c r="C116" s="499"/>
      <c r="D116" s="500"/>
      <c r="E116" s="500"/>
      <c r="F116" s="500"/>
      <c r="G116" s="500"/>
      <c r="H116" s="500"/>
      <c r="I116" s="500"/>
      <c r="J116" s="500"/>
      <c r="K116" s="500"/>
      <c r="L116" s="500"/>
      <c r="M116" s="500"/>
      <c r="N116" s="500"/>
      <c r="O116" s="500"/>
      <c r="P116" s="500"/>
      <c r="Q116" s="500"/>
      <c r="R116" s="500"/>
      <c r="S116" s="500"/>
      <c r="T116" s="500"/>
      <c r="U116" s="500"/>
      <c r="V116" s="500"/>
      <c r="W116" s="500"/>
      <c r="X116" s="500"/>
      <c r="Y116" s="500"/>
      <c r="Z116" s="500"/>
      <c r="AA116" s="500"/>
      <c r="AB116" s="500"/>
      <c r="AC116" s="500"/>
      <c r="AD116" s="500"/>
      <c r="AE116" s="500"/>
      <c r="AF116" s="500"/>
      <c r="AG116" s="500"/>
      <c r="AH116" s="500"/>
      <c r="AI116" s="500"/>
      <c r="AJ116" s="500"/>
      <c r="AK116" s="500"/>
      <c r="AL116" s="500"/>
      <c r="AM116" s="500"/>
    </row>
    <row r="117" spans="1:39">
      <c r="R117" s="474"/>
    </row>
    <row r="118" spans="1:39" ht="12.95">
      <c r="B118" s="565" t="s">
        <v>445</v>
      </c>
      <c r="C118" s="592" t="s">
        <v>364</v>
      </c>
      <c r="R118" s="474"/>
    </row>
    <row r="119" spans="1:39">
      <c r="B119" s="561" t="str">
        <f>'SolarPV Financial Analysis'!B117</f>
        <v>Annual emissions Avoided (tCO2eq)</v>
      </c>
      <c r="C119" s="594" t="s">
        <v>446</v>
      </c>
      <c r="D119" s="724">
        <f>D78*(0-$D$23)/$C$30</f>
        <v>-11037.783754139042</v>
      </c>
      <c r="E119" s="613">
        <f>'TogoBiogas Electricity Fin'!$D$119</f>
        <v>-11037.783754139042</v>
      </c>
      <c r="F119" s="613">
        <f>'TogoBiogas Electricity Fin'!$D$119</f>
        <v>-11037.783754139042</v>
      </c>
      <c r="G119" s="613">
        <f>'TogoBiogas Electricity Fin'!$D$119</f>
        <v>-11037.783754139042</v>
      </c>
      <c r="H119" s="613">
        <f>'TogoBiogas Electricity Fin'!$D$119</f>
        <v>-11037.783754139042</v>
      </c>
      <c r="I119" s="613">
        <f>'TogoBiogas Electricity Fin'!$D$119</f>
        <v>-11037.783754139042</v>
      </c>
      <c r="J119" s="613">
        <f>'TogoBiogas Electricity Fin'!$D$119</f>
        <v>-11037.783754139042</v>
      </c>
      <c r="K119" s="613">
        <f>'TogoBiogas Electricity Fin'!$D$119</f>
        <v>-11037.783754139042</v>
      </c>
      <c r="L119" s="613">
        <f>'TogoBiogas Electricity Fin'!$D$119</f>
        <v>-11037.783754139042</v>
      </c>
      <c r="M119" s="613">
        <f>'TogoBiogas Electricity Fin'!$D$119</f>
        <v>-11037.783754139042</v>
      </c>
      <c r="N119" s="613">
        <f>'TogoBiogas Electricity Fin'!$D$119</f>
        <v>-11037.783754139042</v>
      </c>
      <c r="O119" s="613">
        <f>'TogoBiogas Electricity Fin'!$D$119</f>
        <v>-11037.783754139042</v>
      </c>
      <c r="P119" s="613">
        <f>'TogoBiogas Electricity Fin'!$D$119</f>
        <v>-11037.783754139042</v>
      </c>
      <c r="Q119" s="613">
        <f>'TogoBiogas Electricity Fin'!$D$119</f>
        <v>-11037.783754139042</v>
      </c>
      <c r="R119" s="718">
        <f>'TogoBiogas Electricity Fin'!$D$119</f>
        <v>-11037.783754139042</v>
      </c>
      <c r="S119" s="613">
        <f>'TogoBiogas Electricity Fin'!$D$119</f>
        <v>-11037.783754139042</v>
      </c>
      <c r="T119" s="613">
        <f>'TogoBiogas Electricity Fin'!$D$119</f>
        <v>-11037.783754139042</v>
      </c>
      <c r="U119" s="613">
        <f>'TogoBiogas Electricity Fin'!$D$119</f>
        <v>-11037.783754139042</v>
      </c>
      <c r="V119" s="613">
        <f>'TogoBiogas Electricity Fin'!$D$119</f>
        <v>-11037.783754139042</v>
      </c>
      <c r="W119" s="613">
        <f>'TogoBiogas Electricity Fin'!$D$119</f>
        <v>-11037.783754139042</v>
      </c>
      <c r="X119" s="613">
        <f>'TogoBiogas Electricity Fin'!$D$119</f>
        <v>-11037.783754139042</v>
      </c>
      <c r="Y119" s="613">
        <f>'TogoBiogas Electricity Fin'!$D$119</f>
        <v>-11037.783754139042</v>
      </c>
      <c r="Z119" s="613">
        <f>'TogoBiogas Electricity Fin'!$D$119</f>
        <v>-11037.783754139042</v>
      </c>
      <c r="AA119" s="613">
        <f>'TogoBiogas Electricity Fin'!$D$119</f>
        <v>-11037.783754139042</v>
      </c>
      <c r="AB119" s="613">
        <f>'TogoBiogas Electricity Fin'!$D$119</f>
        <v>-11037.783754139042</v>
      </c>
      <c r="AC119" s="613">
        <f t="shared" ref="AC119:AM119" si="13">AC78*(0-$D$21)/$C$30</f>
        <v>-9088.9250600488667</v>
      </c>
      <c r="AD119" s="613">
        <f t="shared" si="13"/>
        <v>0</v>
      </c>
      <c r="AE119" s="613">
        <f t="shared" si="13"/>
        <v>0</v>
      </c>
      <c r="AF119" s="613">
        <f t="shared" si="13"/>
        <v>0</v>
      </c>
      <c r="AG119" s="613">
        <f t="shared" si="13"/>
        <v>0</v>
      </c>
      <c r="AH119" s="613">
        <f t="shared" si="13"/>
        <v>0</v>
      </c>
      <c r="AI119" s="613">
        <f t="shared" si="13"/>
        <v>0</v>
      </c>
      <c r="AJ119" s="613">
        <f t="shared" si="13"/>
        <v>0</v>
      </c>
      <c r="AK119" s="613">
        <f t="shared" si="13"/>
        <v>0</v>
      </c>
      <c r="AL119" s="613">
        <f t="shared" si="13"/>
        <v>0</v>
      </c>
      <c r="AM119" s="614">
        <f t="shared" si="13"/>
        <v>0</v>
      </c>
    </row>
    <row r="120" spans="1:39">
      <c r="B120" s="561" t="str">
        <f>'SolarPV Financial Analysis'!B118</f>
        <v xml:space="preserve">Cumulative Avoided Emissions </v>
      </c>
      <c r="C120" s="545" t="s">
        <v>373</v>
      </c>
      <c r="D120" s="615">
        <f>SUM(D119:AB119)</f>
        <v>-275944.59385347599</v>
      </c>
      <c r="R120" s="474"/>
    </row>
    <row r="121" spans="1:39">
      <c r="D121" s="501"/>
    </row>
    <row r="122" spans="1:39">
      <c r="D122" s="501"/>
    </row>
    <row r="123" spans="1:39" ht="12.95">
      <c r="B123" s="616" t="s">
        <v>447</v>
      </c>
      <c r="C123" s="592" t="s">
        <v>364</v>
      </c>
      <c r="D123" s="501"/>
    </row>
    <row r="124" spans="1:39">
      <c r="B124" s="577" t="s">
        <v>448</v>
      </c>
      <c r="C124" s="578" t="s">
        <v>417</v>
      </c>
      <c r="D124" s="617">
        <f t="shared" ref="D124:AM124" si="14">D78*($D$16-$D$60)</f>
        <v>-816294.87942708225</v>
      </c>
      <c r="E124" s="618">
        <f t="shared" si="14"/>
        <v>-816294.87942708225</v>
      </c>
      <c r="F124" s="618">
        <f t="shared" si="14"/>
        <v>-816294.87942708225</v>
      </c>
      <c r="G124" s="618">
        <f t="shared" si="14"/>
        <v>-816294.87942708225</v>
      </c>
      <c r="H124" s="618">
        <f t="shared" si="14"/>
        <v>-816294.87942708225</v>
      </c>
      <c r="I124" s="618">
        <f t="shared" si="14"/>
        <v>-816294.87942708225</v>
      </c>
      <c r="J124" s="618">
        <f t="shared" si="14"/>
        <v>-816294.87942708225</v>
      </c>
      <c r="K124" s="618">
        <f t="shared" si="14"/>
        <v>-816294.87942708225</v>
      </c>
      <c r="L124" s="618">
        <f t="shared" si="14"/>
        <v>-816294.87942708225</v>
      </c>
      <c r="M124" s="618">
        <f t="shared" si="14"/>
        <v>-816294.87942708225</v>
      </c>
      <c r="N124" s="618">
        <f t="shared" si="14"/>
        <v>-816294.87942708225</v>
      </c>
      <c r="O124" s="618">
        <f t="shared" si="14"/>
        <v>-816294.87942708225</v>
      </c>
      <c r="P124" s="618">
        <f t="shared" si="14"/>
        <v>-816294.87942708225</v>
      </c>
      <c r="Q124" s="618">
        <f t="shared" si="14"/>
        <v>-816294.87942708225</v>
      </c>
      <c r="R124" s="722">
        <f t="shared" si="14"/>
        <v>-816294.87942708225</v>
      </c>
      <c r="S124" s="618">
        <f t="shared" si="14"/>
        <v>-816294.87942708225</v>
      </c>
      <c r="T124" s="618">
        <f t="shared" si="14"/>
        <v>-816294.87942708225</v>
      </c>
      <c r="U124" s="618">
        <f t="shared" si="14"/>
        <v>-816294.87942708225</v>
      </c>
      <c r="V124" s="618">
        <f t="shared" si="14"/>
        <v>-816294.87942708225</v>
      </c>
      <c r="W124" s="618">
        <f t="shared" si="14"/>
        <v>-816294.87942708225</v>
      </c>
      <c r="X124" s="618">
        <f t="shared" si="14"/>
        <v>-816294.87942708225</v>
      </c>
      <c r="Y124" s="618">
        <f t="shared" si="14"/>
        <v>-816294.87942708225</v>
      </c>
      <c r="Z124" s="618">
        <f t="shared" si="14"/>
        <v>-816294.87942708225</v>
      </c>
      <c r="AA124" s="618">
        <f t="shared" si="14"/>
        <v>-816294.87942708225</v>
      </c>
      <c r="AB124" s="618">
        <f t="shared" si="14"/>
        <v>-816294.87942708225</v>
      </c>
      <c r="AC124" s="618">
        <f t="shared" si="14"/>
        <v>-816294.87942708225</v>
      </c>
      <c r="AD124" s="618">
        <f t="shared" si="14"/>
        <v>0</v>
      </c>
      <c r="AE124" s="618">
        <f t="shared" si="14"/>
        <v>0</v>
      </c>
      <c r="AF124" s="618">
        <f t="shared" si="14"/>
        <v>0</v>
      </c>
      <c r="AG124" s="618">
        <f t="shared" si="14"/>
        <v>0</v>
      </c>
      <c r="AH124" s="618">
        <f t="shared" si="14"/>
        <v>0</v>
      </c>
      <c r="AI124" s="618">
        <f t="shared" si="14"/>
        <v>0</v>
      </c>
      <c r="AJ124" s="618">
        <f t="shared" si="14"/>
        <v>0</v>
      </c>
      <c r="AK124" s="618">
        <f t="shared" si="14"/>
        <v>0</v>
      </c>
      <c r="AL124" s="618">
        <f t="shared" si="14"/>
        <v>0</v>
      </c>
      <c r="AM124" s="619">
        <f t="shared" si="14"/>
        <v>0</v>
      </c>
    </row>
    <row r="125" spans="1:39" s="487" customFormat="1" ht="12.95">
      <c r="A125" s="474"/>
      <c r="B125" s="620" t="s">
        <v>449</v>
      </c>
      <c r="C125" s="592" t="s">
        <v>331</v>
      </c>
      <c r="D125" s="621">
        <f>SUM(D124:AM124)</f>
        <v>-21223666.865104146</v>
      </c>
      <c r="E125" s="352"/>
      <c r="F125" s="352"/>
      <c r="G125" s="352"/>
      <c r="H125" s="352"/>
      <c r="I125" s="352"/>
      <c r="J125" s="352"/>
      <c r="K125" s="352"/>
      <c r="L125" s="352"/>
      <c r="M125" s="352"/>
      <c r="N125" s="352"/>
      <c r="O125" s="352"/>
      <c r="P125" s="352"/>
      <c r="Q125" s="352"/>
      <c r="R125" s="723"/>
      <c r="S125" s="352"/>
      <c r="T125" s="352"/>
      <c r="U125" s="352"/>
      <c r="V125" s="352"/>
      <c r="W125" s="352"/>
      <c r="X125" s="352"/>
      <c r="Y125" s="352"/>
      <c r="Z125" s="352"/>
      <c r="AA125" s="352"/>
      <c r="AB125" s="352"/>
      <c r="AC125" s="352"/>
      <c r="AD125" s="352"/>
      <c r="AE125" s="352"/>
      <c r="AF125" s="352"/>
      <c r="AG125" s="352"/>
      <c r="AH125" s="352"/>
      <c r="AI125" s="352"/>
      <c r="AJ125" s="352"/>
      <c r="AK125" s="352"/>
      <c r="AL125" s="352"/>
      <c r="AM125" s="352"/>
    </row>
    <row r="126" spans="1:39" s="487" customFormat="1">
      <c r="A126" s="474"/>
      <c r="B126" s="501"/>
      <c r="C126" s="501"/>
      <c r="D126" s="501"/>
      <c r="E126" s="352"/>
      <c r="F126" s="352"/>
      <c r="G126" s="352"/>
      <c r="H126" s="352"/>
      <c r="I126" s="352"/>
      <c r="J126" s="352"/>
      <c r="K126" s="352"/>
      <c r="L126" s="352"/>
      <c r="M126" s="352"/>
      <c r="N126" s="352"/>
      <c r="O126" s="352"/>
      <c r="P126" s="352"/>
      <c r="Q126" s="352"/>
      <c r="R126" s="723"/>
      <c r="S126" s="352"/>
      <c r="T126" s="352"/>
      <c r="U126" s="352"/>
      <c r="V126" s="352"/>
      <c r="W126" s="352"/>
      <c r="X126" s="352"/>
      <c r="Y126" s="352"/>
      <c r="Z126" s="352"/>
      <c r="AA126" s="352"/>
      <c r="AB126" s="352"/>
      <c r="AC126" s="352"/>
      <c r="AD126" s="352"/>
      <c r="AE126" s="352"/>
      <c r="AF126" s="352"/>
      <c r="AG126" s="352"/>
      <c r="AH126" s="352"/>
      <c r="AI126" s="352"/>
      <c r="AJ126" s="352"/>
      <c r="AK126" s="352"/>
      <c r="AL126" s="352"/>
      <c r="AM126" s="352"/>
    </row>
    <row r="127" spans="1:39" ht="12.95">
      <c r="B127" s="616" t="s">
        <v>450</v>
      </c>
      <c r="C127" s="501"/>
      <c r="D127" s="501"/>
      <c r="R127" s="474"/>
    </row>
    <row r="128" spans="1:39" s="487" customFormat="1" ht="12.95">
      <c r="A128" s="474"/>
      <c r="B128" s="622" t="s">
        <v>451</v>
      </c>
      <c r="C128" s="592" t="s">
        <v>364</v>
      </c>
      <c r="D128" s="501"/>
      <c r="E128" s="352"/>
      <c r="F128" s="352"/>
      <c r="G128" s="352"/>
      <c r="H128" s="352"/>
      <c r="I128" s="352"/>
      <c r="J128" s="352"/>
      <c r="K128" s="352"/>
      <c r="L128" s="352"/>
      <c r="M128" s="352"/>
      <c r="N128" s="352"/>
      <c r="O128" s="352"/>
      <c r="P128" s="352"/>
      <c r="Q128" s="352"/>
      <c r="R128" s="723"/>
      <c r="S128" s="352"/>
      <c r="T128" s="352"/>
      <c r="U128" s="352"/>
      <c r="V128" s="352"/>
      <c r="W128" s="352"/>
      <c r="X128" s="352"/>
      <c r="Y128" s="352"/>
      <c r="Z128" s="352"/>
      <c r="AA128" s="352"/>
      <c r="AB128" s="352"/>
      <c r="AC128" s="352"/>
      <c r="AD128" s="352"/>
      <c r="AE128" s="352"/>
      <c r="AF128" s="352"/>
      <c r="AG128" s="352"/>
      <c r="AH128" s="352"/>
      <c r="AI128" s="352"/>
      <c r="AJ128" s="352"/>
      <c r="AK128" s="352"/>
      <c r="AL128" s="352"/>
      <c r="AM128" s="352"/>
    </row>
    <row r="129" spans="2:39">
      <c r="B129" s="623" t="s">
        <v>452</v>
      </c>
      <c r="C129" s="624" t="s">
        <v>453</v>
      </c>
      <c r="D129" s="625">
        <v>31</v>
      </c>
      <c r="R129" s="474"/>
    </row>
    <row r="130" spans="2:39">
      <c r="B130" s="568" t="s">
        <v>79</v>
      </c>
      <c r="C130" s="574" t="s">
        <v>417</v>
      </c>
      <c r="D130" s="617">
        <f t="shared" ref="D130:AM130" si="15">$D$129*D119</f>
        <v>-342171.2963783103</v>
      </c>
      <c r="E130" s="618">
        <f t="shared" si="15"/>
        <v>-342171.2963783103</v>
      </c>
      <c r="F130" s="618">
        <f t="shared" si="15"/>
        <v>-342171.2963783103</v>
      </c>
      <c r="G130" s="618">
        <f t="shared" si="15"/>
        <v>-342171.2963783103</v>
      </c>
      <c r="H130" s="618">
        <f t="shared" si="15"/>
        <v>-342171.2963783103</v>
      </c>
      <c r="I130" s="618">
        <f t="shared" si="15"/>
        <v>-342171.2963783103</v>
      </c>
      <c r="J130" s="618">
        <f t="shared" si="15"/>
        <v>-342171.2963783103</v>
      </c>
      <c r="K130" s="618">
        <f t="shared" si="15"/>
        <v>-342171.2963783103</v>
      </c>
      <c r="L130" s="618">
        <f t="shared" si="15"/>
        <v>-342171.2963783103</v>
      </c>
      <c r="M130" s="618">
        <f t="shared" si="15"/>
        <v>-342171.2963783103</v>
      </c>
      <c r="N130" s="618">
        <f t="shared" si="15"/>
        <v>-342171.2963783103</v>
      </c>
      <c r="O130" s="618">
        <f t="shared" si="15"/>
        <v>-342171.2963783103</v>
      </c>
      <c r="P130" s="618">
        <f t="shared" si="15"/>
        <v>-342171.2963783103</v>
      </c>
      <c r="Q130" s="618">
        <f t="shared" si="15"/>
        <v>-342171.2963783103</v>
      </c>
      <c r="R130" s="722">
        <f t="shared" si="15"/>
        <v>-342171.2963783103</v>
      </c>
      <c r="S130" s="618">
        <f t="shared" si="15"/>
        <v>-342171.2963783103</v>
      </c>
      <c r="T130" s="618">
        <f t="shared" si="15"/>
        <v>-342171.2963783103</v>
      </c>
      <c r="U130" s="618">
        <f t="shared" si="15"/>
        <v>-342171.2963783103</v>
      </c>
      <c r="V130" s="618">
        <f t="shared" si="15"/>
        <v>-342171.2963783103</v>
      </c>
      <c r="W130" s="618">
        <f t="shared" si="15"/>
        <v>-342171.2963783103</v>
      </c>
      <c r="X130" s="618">
        <f t="shared" si="15"/>
        <v>-342171.2963783103</v>
      </c>
      <c r="Y130" s="618">
        <f t="shared" si="15"/>
        <v>-342171.2963783103</v>
      </c>
      <c r="Z130" s="618">
        <f t="shared" si="15"/>
        <v>-342171.2963783103</v>
      </c>
      <c r="AA130" s="618">
        <f t="shared" si="15"/>
        <v>-342171.2963783103</v>
      </c>
      <c r="AB130" s="618">
        <f t="shared" si="15"/>
        <v>-342171.2963783103</v>
      </c>
      <c r="AC130" s="618">
        <f t="shared" si="15"/>
        <v>-281756.67686151486</v>
      </c>
      <c r="AD130" s="618">
        <f t="shared" si="15"/>
        <v>0</v>
      </c>
      <c r="AE130" s="618">
        <f t="shared" si="15"/>
        <v>0</v>
      </c>
      <c r="AF130" s="618">
        <f t="shared" si="15"/>
        <v>0</v>
      </c>
      <c r="AG130" s="618">
        <f t="shared" si="15"/>
        <v>0</v>
      </c>
      <c r="AH130" s="618">
        <f t="shared" si="15"/>
        <v>0</v>
      </c>
      <c r="AI130" s="618">
        <f t="shared" si="15"/>
        <v>0</v>
      </c>
      <c r="AJ130" s="618">
        <f t="shared" si="15"/>
        <v>0</v>
      </c>
      <c r="AK130" s="618">
        <f t="shared" si="15"/>
        <v>0</v>
      </c>
      <c r="AL130" s="618">
        <f t="shared" si="15"/>
        <v>0</v>
      </c>
      <c r="AM130" s="619">
        <f t="shared" si="15"/>
        <v>0</v>
      </c>
    </row>
    <row r="131" spans="2:39" ht="12.95">
      <c r="B131" s="620" t="s">
        <v>454</v>
      </c>
      <c r="C131" s="592" t="s">
        <v>331</v>
      </c>
      <c r="D131" s="590">
        <f>SUM(D130:AM130)</f>
        <v>-8836039.0863192789</v>
      </c>
      <c r="R131" s="474"/>
    </row>
    <row r="132" spans="2:39">
      <c r="B132" s="568" t="s">
        <v>455</v>
      </c>
      <c r="C132" s="574" t="s">
        <v>417</v>
      </c>
      <c r="D132" s="617">
        <f t="shared" ref="D132:AM132" si="16">(0-$D$21)*D78*$D$129/$C$30</f>
        <v>-281756.67686151486</v>
      </c>
      <c r="E132" s="618">
        <f t="shared" si="16"/>
        <v>-281756.67686151486</v>
      </c>
      <c r="F132" s="618">
        <f t="shared" si="16"/>
        <v>-281756.67686151486</v>
      </c>
      <c r="G132" s="618">
        <f t="shared" si="16"/>
        <v>-281756.67686151486</v>
      </c>
      <c r="H132" s="618">
        <f t="shared" si="16"/>
        <v>-281756.67686151486</v>
      </c>
      <c r="I132" s="618">
        <f t="shared" si="16"/>
        <v>-281756.67686151486</v>
      </c>
      <c r="J132" s="618">
        <f t="shared" si="16"/>
        <v>-281756.67686151486</v>
      </c>
      <c r="K132" s="618">
        <f t="shared" si="16"/>
        <v>-281756.67686151486</v>
      </c>
      <c r="L132" s="618">
        <f t="shared" si="16"/>
        <v>-281756.67686151486</v>
      </c>
      <c r="M132" s="618">
        <f t="shared" si="16"/>
        <v>-281756.67686151486</v>
      </c>
      <c r="N132" s="618">
        <f t="shared" si="16"/>
        <v>-281756.67686151486</v>
      </c>
      <c r="O132" s="618">
        <f t="shared" si="16"/>
        <v>-281756.67686151486</v>
      </c>
      <c r="P132" s="618">
        <f t="shared" si="16"/>
        <v>-281756.67686151486</v>
      </c>
      <c r="Q132" s="618">
        <f t="shared" si="16"/>
        <v>-281756.67686151486</v>
      </c>
      <c r="R132" s="722">
        <f t="shared" si="16"/>
        <v>-281756.67686151486</v>
      </c>
      <c r="S132" s="618">
        <f t="shared" si="16"/>
        <v>-281756.67686151486</v>
      </c>
      <c r="T132" s="618">
        <f t="shared" si="16"/>
        <v>-281756.67686151486</v>
      </c>
      <c r="U132" s="618">
        <f t="shared" si="16"/>
        <v>-281756.67686151486</v>
      </c>
      <c r="V132" s="618">
        <f t="shared" si="16"/>
        <v>-281756.67686151486</v>
      </c>
      <c r="W132" s="618">
        <f t="shared" si="16"/>
        <v>-281756.67686151486</v>
      </c>
      <c r="X132" s="618">
        <f t="shared" si="16"/>
        <v>-281756.67686151486</v>
      </c>
      <c r="Y132" s="618">
        <f t="shared" si="16"/>
        <v>-281756.67686151486</v>
      </c>
      <c r="Z132" s="618">
        <f t="shared" si="16"/>
        <v>-281756.67686151486</v>
      </c>
      <c r="AA132" s="618">
        <f t="shared" si="16"/>
        <v>-281756.67686151486</v>
      </c>
      <c r="AB132" s="618">
        <f t="shared" si="16"/>
        <v>-281756.67686151486</v>
      </c>
      <c r="AC132" s="618">
        <f t="shared" si="16"/>
        <v>-281756.67686151486</v>
      </c>
      <c r="AD132" s="618">
        <f t="shared" si="16"/>
        <v>0</v>
      </c>
      <c r="AE132" s="618">
        <f t="shared" si="16"/>
        <v>0</v>
      </c>
      <c r="AF132" s="618">
        <f t="shared" si="16"/>
        <v>0</v>
      </c>
      <c r="AG132" s="618">
        <f t="shared" si="16"/>
        <v>0</v>
      </c>
      <c r="AH132" s="618">
        <f t="shared" si="16"/>
        <v>0</v>
      </c>
      <c r="AI132" s="618">
        <f t="shared" si="16"/>
        <v>0</v>
      </c>
      <c r="AJ132" s="618">
        <f t="shared" si="16"/>
        <v>0</v>
      </c>
      <c r="AK132" s="618">
        <f t="shared" si="16"/>
        <v>0</v>
      </c>
      <c r="AL132" s="618">
        <f t="shared" si="16"/>
        <v>0</v>
      </c>
      <c r="AM132" s="619">
        <f t="shared" si="16"/>
        <v>0</v>
      </c>
    </row>
    <row r="133" spans="2:39" ht="12.95">
      <c r="B133" s="620" t="s">
        <v>456</v>
      </c>
      <c r="C133" s="592" t="s">
        <v>331</v>
      </c>
      <c r="D133" s="590">
        <f>SUM(D132:AM132)</f>
        <v>-7325673.5983993905</v>
      </c>
      <c r="R133" s="474"/>
    </row>
    <row r="134" spans="2:39">
      <c r="R134" s="474"/>
    </row>
    <row r="135" spans="2:39" ht="12.95">
      <c r="B135" s="626" t="s">
        <v>457</v>
      </c>
      <c r="C135" s="566" t="s">
        <v>364</v>
      </c>
      <c r="R135" s="474"/>
    </row>
    <row r="136" spans="2:39">
      <c r="B136" s="568" t="str">
        <f>B124</f>
        <v>Avoided electricity cost (grid)</v>
      </c>
      <c r="C136" s="627" t="s">
        <v>417</v>
      </c>
      <c r="D136" s="571">
        <f t="shared" ref="D136:AM136" si="17">D124</f>
        <v>-816294.87942708225</v>
      </c>
      <c r="E136" s="571">
        <f t="shared" si="17"/>
        <v>-816294.87942708225</v>
      </c>
      <c r="F136" s="571">
        <f t="shared" si="17"/>
        <v>-816294.87942708225</v>
      </c>
      <c r="G136" s="571">
        <f t="shared" si="17"/>
        <v>-816294.87942708225</v>
      </c>
      <c r="H136" s="571">
        <f t="shared" si="17"/>
        <v>-816294.87942708225</v>
      </c>
      <c r="I136" s="571">
        <f t="shared" si="17"/>
        <v>-816294.87942708225</v>
      </c>
      <c r="J136" s="571">
        <f t="shared" si="17"/>
        <v>-816294.87942708225</v>
      </c>
      <c r="K136" s="571">
        <f t="shared" si="17"/>
        <v>-816294.87942708225</v>
      </c>
      <c r="L136" s="571">
        <f t="shared" si="17"/>
        <v>-816294.87942708225</v>
      </c>
      <c r="M136" s="571">
        <f t="shared" si="17"/>
        <v>-816294.87942708225</v>
      </c>
      <c r="N136" s="571">
        <f t="shared" si="17"/>
        <v>-816294.87942708225</v>
      </c>
      <c r="O136" s="571">
        <f t="shared" si="17"/>
        <v>-816294.87942708225</v>
      </c>
      <c r="P136" s="571">
        <f t="shared" si="17"/>
        <v>-816294.87942708225</v>
      </c>
      <c r="Q136" s="571">
        <f t="shared" si="17"/>
        <v>-816294.87942708225</v>
      </c>
      <c r="R136" s="715">
        <f t="shared" si="17"/>
        <v>-816294.87942708225</v>
      </c>
      <c r="S136" s="571">
        <f t="shared" si="17"/>
        <v>-816294.87942708225</v>
      </c>
      <c r="T136" s="571">
        <f t="shared" si="17"/>
        <v>-816294.87942708225</v>
      </c>
      <c r="U136" s="571">
        <f t="shared" si="17"/>
        <v>-816294.87942708225</v>
      </c>
      <c r="V136" s="571">
        <f t="shared" si="17"/>
        <v>-816294.87942708225</v>
      </c>
      <c r="W136" s="571">
        <f t="shared" si="17"/>
        <v>-816294.87942708225</v>
      </c>
      <c r="X136" s="571">
        <f t="shared" si="17"/>
        <v>-816294.87942708225</v>
      </c>
      <c r="Y136" s="571">
        <f t="shared" si="17"/>
        <v>-816294.87942708225</v>
      </c>
      <c r="Z136" s="571">
        <f t="shared" si="17"/>
        <v>-816294.87942708225</v>
      </c>
      <c r="AA136" s="571">
        <f t="shared" si="17"/>
        <v>-816294.87942708225</v>
      </c>
      <c r="AB136" s="571">
        <f t="shared" si="17"/>
        <v>-816294.87942708225</v>
      </c>
      <c r="AC136" s="571">
        <f t="shared" si="17"/>
        <v>-816294.87942708225</v>
      </c>
      <c r="AD136" s="571">
        <f t="shared" si="17"/>
        <v>0</v>
      </c>
      <c r="AE136" s="571">
        <f t="shared" si="17"/>
        <v>0</v>
      </c>
      <c r="AF136" s="571">
        <f t="shared" si="17"/>
        <v>0</v>
      </c>
      <c r="AG136" s="571">
        <f t="shared" si="17"/>
        <v>0</v>
      </c>
      <c r="AH136" s="571">
        <f t="shared" si="17"/>
        <v>0</v>
      </c>
      <c r="AI136" s="571">
        <f t="shared" si="17"/>
        <v>0</v>
      </c>
      <c r="AJ136" s="571">
        <f t="shared" si="17"/>
        <v>0</v>
      </c>
      <c r="AK136" s="571">
        <f t="shared" si="17"/>
        <v>0</v>
      </c>
      <c r="AL136" s="571">
        <f t="shared" si="17"/>
        <v>0</v>
      </c>
      <c r="AM136" s="572">
        <f t="shared" si="17"/>
        <v>0</v>
      </c>
    </row>
    <row r="137" spans="2:39">
      <c r="B137" s="577" t="str">
        <f>B130</f>
        <v>Avoided annual social cost of carbon</v>
      </c>
      <c r="C137" s="607" t="s">
        <v>417</v>
      </c>
      <c r="D137" s="541">
        <f t="shared" ref="D137:AM137" si="18">D130</f>
        <v>-342171.2963783103</v>
      </c>
      <c r="E137" s="541">
        <f t="shared" si="18"/>
        <v>-342171.2963783103</v>
      </c>
      <c r="F137" s="541">
        <f t="shared" si="18"/>
        <v>-342171.2963783103</v>
      </c>
      <c r="G137" s="541">
        <f t="shared" si="18"/>
        <v>-342171.2963783103</v>
      </c>
      <c r="H137" s="541">
        <f t="shared" si="18"/>
        <v>-342171.2963783103</v>
      </c>
      <c r="I137" s="541">
        <f t="shared" si="18"/>
        <v>-342171.2963783103</v>
      </c>
      <c r="J137" s="541">
        <f t="shared" si="18"/>
        <v>-342171.2963783103</v>
      </c>
      <c r="K137" s="541">
        <f t="shared" si="18"/>
        <v>-342171.2963783103</v>
      </c>
      <c r="L137" s="541">
        <f t="shared" si="18"/>
        <v>-342171.2963783103</v>
      </c>
      <c r="M137" s="541">
        <f t="shared" si="18"/>
        <v>-342171.2963783103</v>
      </c>
      <c r="N137" s="541">
        <f t="shared" si="18"/>
        <v>-342171.2963783103</v>
      </c>
      <c r="O137" s="541">
        <f t="shared" si="18"/>
        <v>-342171.2963783103</v>
      </c>
      <c r="P137" s="541">
        <f t="shared" si="18"/>
        <v>-342171.2963783103</v>
      </c>
      <c r="Q137" s="541">
        <f t="shared" si="18"/>
        <v>-342171.2963783103</v>
      </c>
      <c r="R137" s="721">
        <f t="shared" si="18"/>
        <v>-342171.2963783103</v>
      </c>
      <c r="S137" s="541">
        <f t="shared" si="18"/>
        <v>-342171.2963783103</v>
      </c>
      <c r="T137" s="541">
        <f t="shared" si="18"/>
        <v>-342171.2963783103</v>
      </c>
      <c r="U137" s="541">
        <f t="shared" si="18"/>
        <v>-342171.2963783103</v>
      </c>
      <c r="V137" s="541">
        <f t="shared" si="18"/>
        <v>-342171.2963783103</v>
      </c>
      <c r="W137" s="541">
        <f t="shared" si="18"/>
        <v>-342171.2963783103</v>
      </c>
      <c r="X137" s="541">
        <f t="shared" si="18"/>
        <v>-342171.2963783103</v>
      </c>
      <c r="Y137" s="541">
        <f t="shared" si="18"/>
        <v>-342171.2963783103</v>
      </c>
      <c r="Z137" s="541">
        <f t="shared" si="18"/>
        <v>-342171.2963783103</v>
      </c>
      <c r="AA137" s="541">
        <f t="shared" si="18"/>
        <v>-342171.2963783103</v>
      </c>
      <c r="AB137" s="541">
        <f t="shared" si="18"/>
        <v>-342171.2963783103</v>
      </c>
      <c r="AC137" s="541">
        <f t="shared" si="18"/>
        <v>-281756.67686151486</v>
      </c>
      <c r="AD137" s="541">
        <f t="shared" si="18"/>
        <v>0</v>
      </c>
      <c r="AE137" s="541">
        <f t="shared" si="18"/>
        <v>0</v>
      </c>
      <c r="AF137" s="541">
        <f t="shared" si="18"/>
        <v>0</v>
      </c>
      <c r="AG137" s="541">
        <f t="shared" si="18"/>
        <v>0</v>
      </c>
      <c r="AH137" s="541">
        <f t="shared" si="18"/>
        <v>0</v>
      </c>
      <c r="AI137" s="541">
        <f t="shared" si="18"/>
        <v>0</v>
      </c>
      <c r="AJ137" s="541">
        <f t="shared" si="18"/>
        <v>0</v>
      </c>
      <c r="AK137" s="541">
        <f t="shared" si="18"/>
        <v>0</v>
      </c>
      <c r="AL137" s="541">
        <f t="shared" si="18"/>
        <v>0</v>
      </c>
      <c r="AM137" s="576">
        <f t="shared" si="18"/>
        <v>0</v>
      </c>
    </row>
    <row r="138" spans="2:39" ht="12.95">
      <c r="B138" s="628" t="s">
        <v>458</v>
      </c>
      <c r="C138" s="602" t="s">
        <v>417</v>
      </c>
      <c r="D138" s="600">
        <f>D136+D137</f>
        <v>-1158466.1758053927</v>
      </c>
      <c r="E138" s="600">
        <f t="shared" ref="E138:AM138" si="19">E136+E137</f>
        <v>-1158466.1758053927</v>
      </c>
      <c r="F138" s="600">
        <f t="shared" si="19"/>
        <v>-1158466.1758053927</v>
      </c>
      <c r="G138" s="600">
        <f t="shared" si="19"/>
        <v>-1158466.1758053927</v>
      </c>
      <c r="H138" s="600">
        <f t="shared" si="19"/>
        <v>-1158466.1758053927</v>
      </c>
      <c r="I138" s="600">
        <f t="shared" si="19"/>
        <v>-1158466.1758053927</v>
      </c>
      <c r="J138" s="600">
        <f t="shared" si="19"/>
        <v>-1158466.1758053927</v>
      </c>
      <c r="K138" s="600">
        <f t="shared" si="19"/>
        <v>-1158466.1758053927</v>
      </c>
      <c r="L138" s="600">
        <f t="shared" si="19"/>
        <v>-1158466.1758053927</v>
      </c>
      <c r="M138" s="600">
        <f t="shared" si="19"/>
        <v>-1158466.1758053927</v>
      </c>
      <c r="N138" s="600">
        <f t="shared" si="19"/>
        <v>-1158466.1758053927</v>
      </c>
      <c r="O138" s="600">
        <f t="shared" si="19"/>
        <v>-1158466.1758053927</v>
      </c>
      <c r="P138" s="600">
        <f t="shared" si="19"/>
        <v>-1158466.1758053927</v>
      </c>
      <c r="Q138" s="600">
        <f t="shared" si="19"/>
        <v>-1158466.1758053927</v>
      </c>
      <c r="R138" s="600">
        <f t="shared" si="19"/>
        <v>-1158466.1758053927</v>
      </c>
      <c r="S138" s="600">
        <f t="shared" si="19"/>
        <v>-1158466.1758053927</v>
      </c>
      <c r="T138" s="600">
        <f t="shared" si="19"/>
        <v>-1158466.1758053927</v>
      </c>
      <c r="U138" s="600">
        <f t="shared" si="19"/>
        <v>-1158466.1758053927</v>
      </c>
      <c r="V138" s="600">
        <f t="shared" si="19"/>
        <v>-1158466.1758053927</v>
      </c>
      <c r="W138" s="600">
        <f t="shared" si="19"/>
        <v>-1158466.1758053927</v>
      </c>
      <c r="X138" s="600">
        <f t="shared" si="19"/>
        <v>-1158466.1758053927</v>
      </c>
      <c r="Y138" s="600">
        <f t="shared" si="19"/>
        <v>-1158466.1758053927</v>
      </c>
      <c r="Z138" s="600">
        <f t="shared" si="19"/>
        <v>-1158466.1758053927</v>
      </c>
      <c r="AA138" s="600">
        <f t="shared" si="19"/>
        <v>-1158466.1758053927</v>
      </c>
      <c r="AB138" s="600">
        <f t="shared" si="19"/>
        <v>-1158466.1758053927</v>
      </c>
      <c r="AC138" s="600">
        <f t="shared" si="19"/>
        <v>-1098051.5562885972</v>
      </c>
      <c r="AD138" s="600">
        <f t="shared" si="19"/>
        <v>0</v>
      </c>
      <c r="AE138" s="600">
        <f t="shared" si="19"/>
        <v>0</v>
      </c>
      <c r="AF138" s="600">
        <f t="shared" si="19"/>
        <v>0</v>
      </c>
      <c r="AG138" s="600">
        <f t="shared" si="19"/>
        <v>0</v>
      </c>
      <c r="AH138" s="600">
        <f t="shared" si="19"/>
        <v>0</v>
      </c>
      <c r="AI138" s="600">
        <f t="shared" si="19"/>
        <v>0</v>
      </c>
      <c r="AJ138" s="600">
        <f t="shared" si="19"/>
        <v>0</v>
      </c>
      <c r="AK138" s="600">
        <f t="shared" si="19"/>
        <v>0</v>
      </c>
      <c r="AL138" s="600">
        <f t="shared" si="19"/>
        <v>0</v>
      </c>
      <c r="AM138" s="601">
        <f t="shared" si="19"/>
        <v>0</v>
      </c>
    </row>
    <row r="139" spans="2:39">
      <c r="B139" s="629" t="s">
        <v>424</v>
      </c>
      <c r="C139" s="627" t="s">
        <v>417</v>
      </c>
      <c r="D139" s="571">
        <f t="shared" ref="D139:M139" si="20">D96</f>
        <v>10119543.467514748</v>
      </c>
      <c r="E139" s="571">
        <f t="shared" si="20"/>
        <v>0</v>
      </c>
      <c r="F139" s="571">
        <f t="shared" si="20"/>
        <v>0</v>
      </c>
      <c r="G139" s="571">
        <f t="shared" si="20"/>
        <v>0</v>
      </c>
      <c r="H139" s="571">
        <f t="shared" si="20"/>
        <v>0</v>
      </c>
      <c r="I139" s="571">
        <f t="shared" si="20"/>
        <v>0</v>
      </c>
      <c r="J139" s="571">
        <f t="shared" si="20"/>
        <v>0</v>
      </c>
      <c r="K139" s="571">
        <f t="shared" si="20"/>
        <v>0</v>
      </c>
      <c r="L139" s="571">
        <f t="shared" si="20"/>
        <v>0</v>
      </c>
      <c r="M139" s="572">
        <f t="shared" si="20"/>
        <v>0</v>
      </c>
      <c r="N139" s="352"/>
      <c r="R139" s="474"/>
    </row>
    <row r="140" spans="2:39">
      <c r="B140" s="630" t="s">
        <v>459</v>
      </c>
      <c r="C140" s="627" t="s">
        <v>417</v>
      </c>
      <c r="D140" s="571">
        <f t="shared" ref="D140:AM140" si="21">D83+D84</f>
        <v>155218.8340425803</v>
      </c>
      <c r="E140" s="571">
        <f t="shared" si="21"/>
        <v>155218.8340425803</v>
      </c>
      <c r="F140" s="571">
        <f t="shared" si="21"/>
        <v>155218.8340425803</v>
      </c>
      <c r="G140" s="571">
        <f t="shared" si="21"/>
        <v>155218.8340425803</v>
      </c>
      <c r="H140" s="571">
        <f t="shared" si="21"/>
        <v>155218.8340425803</v>
      </c>
      <c r="I140" s="571">
        <f t="shared" si="21"/>
        <v>155218.8340425803</v>
      </c>
      <c r="J140" s="571">
        <f t="shared" si="21"/>
        <v>155218.8340425803</v>
      </c>
      <c r="K140" s="571">
        <f t="shared" si="21"/>
        <v>155218.8340425803</v>
      </c>
      <c r="L140" s="571">
        <f t="shared" si="21"/>
        <v>155218.8340425803</v>
      </c>
      <c r="M140" s="571">
        <f t="shared" si="21"/>
        <v>155218.8340425803</v>
      </c>
      <c r="N140" s="571">
        <f t="shared" si="21"/>
        <v>155218.8340425803</v>
      </c>
      <c r="O140" s="571">
        <f t="shared" si="21"/>
        <v>155218.8340425803</v>
      </c>
      <c r="P140" s="571">
        <f t="shared" si="21"/>
        <v>155218.8340425803</v>
      </c>
      <c r="Q140" s="571">
        <f t="shared" si="21"/>
        <v>155218.8340425803</v>
      </c>
      <c r="R140" s="715">
        <f t="shared" si="21"/>
        <v>155218.8340425803</v>
      </c>
      <c r="S140" s="571">
        <f t="shared" si="21"/>
        <v>155218.8340425803</v>
      </c>
      <c r="T140" s="571">
        <f t="shared" si="21"/>
        <v>155218.8340425803</v>
      </c>
      <c r="U140" s="571">
        <f t="shared" si="21"/>
        <v>155218.8340425803</v>
      </c>
      <c r="V140" s="571">
        <f t="shared" si="21"/>
        <v>155218.8340425803</v>
      </c>
      <c r="W140" s="571">
        <f t="shared" si="21"/>
        <v>155218.8340425803</v>
      </c>
      <c r="X140" s="571">
        <f t="shared" si="21"/>
        <v>155218.8340425803</v>
      </c>
      <c r="Y140" s="571">
        <f t="shared" si="21"/>
        <v>155218.8340425803</v>
      </c>
      <c r="Z140" s="571">
        <f t="shared" si="21"/>
        <v>155218.8340425803</v>
      </c>
      <c r="AA140" s="571">
        <f t="shared" si="21"/>
        <v>155218.8340425803</v>
      </c>
      <c r="AB140" s="571">
        <f t="shared" si="21"/>
        <v>155218.8340425803</v>
      </c>
      <c r="AC140" s="571">
        <f t="shared" si="21"/>
        <v>1642768.8673553236</v>
      </c>
      <c r="AD140" s="571">
        <f t="shared" si="21"/>
        <v>0</v>
      </c>
      <c r="AE140" s="571">
        <f t="shared" si="21"/>
        <v>0</v>
      </c>
      <c r="AF140" s="571">
        <f t="shared" si="21"/>
        <v>0</v>
      </c>
      <c r="AG140" s="571">
        <f t="shared" si="21"/>
        <v>0</v>
      </c>
      <c r="AH140" s="571">
        <f t="shared" si="21"/>
        <v>0</v>
      </c>
      <c r="AI140" s="571">
        <f t="shared" si="21"/>
        <v>0</v>
      </c>
      <c r="AJ140" s="571">
        <f t="shared" si="21"/>
        <v>0</v>
      </c>
      <c r="AK140" s="571">
        <f t="shared" si="21"/>
        <v>0</v>
      </c>
      <c r="AL140" s="571">
        <f t="shared" si="21"/>
        <v>0</v>
      </c>
      <c r="AM140" s="572">
        <f t="shared" si="21"/>
        <v>0</v>
      </c>
    </row>
    <row r="141" spans="2:39">
      <c r="B141" s="631" t="s">
        <v>460</v>
      </c>
      <c r="C141" s="632" t="s">
        <v>417</v>
      </c>
      <c r="D141" s="541">
        <f t="shared" ref="D141:AM141" si="22">D85</f>
        <v>0</v>
      </c>
      <c r="E141" s="541">
        <f t="shared" si="22"/>
        <v>0</v>
      </c>
      <c r="F141" s="541">
        <f t="shared" si="22"/>
        <v>0</v>
      </c>
      <c r="G141" s="541">
        <f t="shared" si="22"/>
        <v>0</v>
      </c>
      <c r="H141" s="541">
        <f t="shared" si="22"/>
        <v>0</v>
      </c>
      <c r="I141" s="541">
        <f t="shared" si="22"/>
        <v>0</v>
      </c>
      <c r="J141" s="541">
        <f t="shared" si="22"/>
        <v>0</v>
      </c>
      <c r="K141" s="541">
        <f t="shared" si="22"/>
        <v>0</v>
      </c>
      <c r="L141" s="541">
        <f t="shared" si="22"/>
        <v>0</v>
      </c>
      <c r="M141" s="541">
        <f t="shared" si="22"/>
        <v>0</v>
      </c>
      <c r="N141" s="541">
        <f t="shared" si="22"/>
        <v>0</v>
      </c>
      <c r="O141" s="541">
        <f t="shared" si="22"/>
        <v>0</v>
      </c>
      <c r="P141" s="541">
        <f t="shared" si="22"/>
        <v>0</v>
      </c>
      <c r="Q141" s="541">
        <f t="shared" si="22"/>
        <v>0</v>
      </c>
      <c r="R141" s="721">
        <f t="shared" si="22"/>
        <v>0</v>
      </c>
      <c r="S141" s="541">
        <f t="shared" si="22"/>
        <v>0</v>
      </c>
      <c r="T141" s="541">
        <f t="shared" si="22"/>
        <v>0</v>
      </c>
      <c r="U141" s="541">
        <f t="shared" si="22"/>
        <v>0</v>
      </c>
      <c r="V141" s="541">
        <f t="shared" si="22"/>
        <v>0</v>
      </c>
      <c r="W141" s="541">
        <f t="shared" si="22"/>
        <v>0</v>
      </c>
      <c r="X141" s="541">
        <f t="shared" si="22"/>
        <v>0</v>
      </c>
      <c r="Y141" s="541">
        <f t="shared" si="22"/>
        <v>0</v>
      </c>
      <c r="Z141" s="541">
        <f t="shared" si="22"/>
        <v>0</v>
      </c>
      <c r="AA141" s="541">
        <f t="shared" si="22"/>
        <v>0</v>
      </c>
      <c r="AB141" s="541">
        <f t="shared" si="22"/>
        <v>0</v>
      </c>
      <c r="AC141" s="541">
        <f t="shared" si="22"/>
        <v>0</v>
      </c>
      <c r="AD141" s="541">
        <f t="shared" si="22"/>
        <v>0</v>
      </c>
      <c r="AE141" s="541">
        <f t="shared" si="22"/>
        <v>0</v>
      </c>
      <c r="AF141" s="541">
        <f t="shared" si="22"/>
        <v>0</v>
      </c>
      <c r="AG141" s="541">
        <f t="shared" si="22"/>
        <v>0</v>
      </c>
      <c r="AH141" s="541">
        <f t="shared" si="22"/>
        <v>0</v>
      </c>
      <c r="AI141" s="541">
        <f t="shared" si="22"/>
        <v>0</v>
      </c>
      <c r="AJ141" s="541">
        <f t="shared" si="22"/>
        <v>0</v>
      </c>
      <c r="AK141" s="541">
        <f t="shared" si="22"/>
        <v>0</v>
      </c>
      <c r="AL141" s="541">
        <f t="shared" si="22"/>
        <v>0</v>
      </c>
      <c r="AM141" s="576">
        <f t="shared" si="22"/>
        <v>0</v>
      </c>
    </row>
    <row r="142" spans="2:39">
      <c r="B142" s="631" t="s">
        <v>428</v>
      </c>
      <c r="C142" s="632" t="s">
        <v>417</v>
      </c>
      <c r="D142" s="541">
        <f t="shared" ref="D142:AM143" si="23">D99</f>
        <v>0</v>
      </c>
      <c r="E142" s="541">
        <f t="shared" si="23"/>
        <v>0</v>
      </c>
      <c r="F142" s="541">
        <f t="shared" si="23"/>
        <v>0</v>
      </c>
      <c r="G142" s="541">
        <f t="shared" si="23"/>
        <v>0</v>
      </c>
      <c r="H142" s="541">
        <f t="shared" si="23"/>
        <v>0</v>
      </c>
      <c r="I142" s="541">
        <f t="shared" si="23"/>
        <v>0</v>
      </c>
      <c r="J142" s="541">
        <f t="shared" si="23"/>
        <v>0</v>
      </c>
      <c r="K142" s="541">
        <f t="shared" si="23"/>
        <v>0</v>
      </c>
      <c r="L142" s="541">
        <f t="shared" si="23"/>
        <v>0</v>
      </c>
      <c r="M142" s="541">
        <f t="shared" si="23"/>
        <v>0</v>
      </c>
      <c r="N142" s="541">
        <f t="shared" si="23"/>
        <v>0</v>
      </c>
      <c r="O142" s="541">
        <f t="shared" si="23"/>
        <v>0</v>
      </c>
      <c r="P142" s="541">
        <f t="shared" si="23"/>
        <v>0</v>
      </c>
      <c r="Q142" s="541">
        <f t="shared" si="23"/>
        <v>0</v>
      </c>
      <c r="R142" s="721">
        <f t="shared" si="23"/>
        <v>0</v>
      </c>
      <c r="S142" s="541">
        <f t="shared" si="23"/>
        <v>0</v>
      </c>
      <c r="T142" s="541">
        <f t="shared" si="23"/>
        <v>0</v>
      </c>
      <c r="U142" s="541">
        <f t="shared" si="23"/>
        <v>0</v>
      </c>
      <c r="V142" s="541">
        <f t="shared" si="23"/>
        <v>0</v>
      </c>
      <c r="W142" s="541">
        <f t="shared" si="23"/>
        <v>0</v>
      </c>
      <c r="X142" s="541">
        <f t="shared" si="23"/>
        <v>0</v>
      </c>
      <c r="Y142" s="541">
        <f t="shared" si="23"/>
        <v>0</v>
      </c>
      <c r="Z142" s="541">
        <f t="shared" si="23"/>
        <v>0</v>
      </c>
      <c r="AA142" s="541">
        <f t="shared" si="23"/>
        <v>0</v>
      </c>
      <c r="AB142" s="541">
        <f t="shared" si="23"/>
        <v>0</v>
      </c>
      <c r="AC142" s="541">
        <f t="shared" si="23"/>
        <v>0</v>
      </c>
      <c r="AD142" s="541">
        <f t="shared" si="23"/>
        <v>0</v>
      </c>
      <c r="AE142" s="541">
        <f t="shared" si="23"/>
        <v>0</v>
      </c>
      <c r="AF142" s="541">
        <f t="shared" si="23"/>
        <v>0</v>
      </c>
      <c r="AG142" s="541">
        <f t="shared" si="23"/>
        <v>0</v>
      </c>
      <c r="AH142" s="541">
        <f t="shared" si="23"/>
        <v>0</v>
      </c>
      <c r="AI142" s="541">
        <f t="shared" si="23"/>
        <v>0</v>
      </c>
      <c r="AJ142" s="541">
        <f t="shared" si="23"/>
        <v>0</v>
      </c>
      <c r="AK142" s="541">
        <f t="shared" si="23"/>
        <v>0</v>
      </c>
      <c r="AL142" s="541">
        <f t="shared" si="23"/>
        <v>0</v>
      </c>
      <c r="AM142" s="576">
        <f t="shared" si="23"/>
        <v>0</v>
      </c>
    </row>
    <row r="143" spans="2:39">
      <c r="B143" s="633" t="s">
        <v>429</v>
      </c>
      <c r="C143" s="607" t="s">
        <v>417</v>
      </c>
      <c r="D143" s="580">
        <f t="shared" si="23"/>
        <v>0</v>
      </c>
      <c r="E143" s="580">
        <f t="shared" si="23"/>
        <v>404781.73870058992</v>
      </c>
      <c r="F143" s="580">
        <f t="shared" si="23"/>
        <v>404781.73870058992</v>
      </c>
      <c r="G143" s="580">
        <f t="shared" si="23"/>
        <v>404781.73870058992</v>
      </c>
      <c r="H143" s="580">
        <f t="shared" si="23"/>
        <v>404781.73870058992</v>
      </c>
      <c r="I143" s="580">
        <f t="shared" si="23"/>
        <v>404781.73870058992</v>
      </c>
      <c r="J143" s="580">
        <f t="shared" si="23"/>
        <v>404781.73870058992</v>
      </c>
      <c r="K143" s="580">
        <f t="shared" si="23"/>
        <v>404781.73870058992</v>
      </c>
      <c r="L143" s="580">
        <f t="shared" si="23"/>
        <v>404781.73870058992</v>
      </c>
      <c r="M143" s="580">
        <f t="shared" si="23"/>
        <v>404781.73870058992</v>
      </c>
      <c r="N143" s="580">
        <f t="shared" si="23"/>
        <v>404781.73870058992</v>
      </c>
      <c r="O143" s="580">
        <f t="shared" si="23"/>
        <v>404781.73870058992</v>
      </c>
      <c r="P143" s="580">
        <f t="shared" si="23"/>
        <v>404781.73870058992</v>
      </c>
      <c r="Q143" s="580">
        <f t="shared" si="23"/>
        <v>404781.73870058992</v>
      </c>
      <c r="R143" s="716">
        <f t="shared" si="23"/>
        <v>404781.73870058992</v>
      </c>
      <c r="S143" s="580">
        <f t="shared" si="23"/>
        <v>404781.73870058992</v>
      </c>
      <c r="T143" s="580">
        <f t="shared" si="23"/>
        <v>404781.73870058992</v>
      </c>
      <c r="U143" s="580">
        <f t="shared" si="23"/>
        <v>404781.73870058992</v>
      </c>
      <c r="V143" s="580">
        <f t="shared" si="23"/>
        <v>404781.73870058992</v>
      </c>
      <c r="W143" s="580">
        <f t="shared" si="23"/>
        <v>404781.73870058992</v>
      </c>
      <c r="X143" s="580">
        <f t="shared" si="23"/>
        <v>404781.73870058992</v>
      </c>
      <c r="Y143" s="580">
        <f t="shared" si="23"/>
        <v>404781.73870058992</v>
      </c>
      <c r="Z143" s="580">
        <f t="shared" si="23"/>
        <v>404781.73870058992</v>
      </c>
      <c r="AA143" s="580">
        <f t="shared" si="23"/>
        <v>404781.73870058992</v>
      </c>
      <c r="AB143" s="580">
        <f t="shared" si="23"/>
        <v>404781.73870058992</v>
      </c>
      <c r="AC143" s="580">
        <f t="shared" si="23"/>
        <v>404781.73870058992</v>
      </c>
      <c r="AD143" s="580">
        <f t="shared" si="23"/>
        <v>0</v>
      </c>
      <c r="AE143" s="580">
        <f t="shared" si="23"/>
        <v>0</v>
      </c>
      <c r="AF143" s="580">
        <f t="shared" si="23"/>
        <v>0</v>
      </c>
      <c r="AG143" s="580">
        <f t="shared" si="23"/>
        <v>0</v>
      </c>
      <c r="AH143" s="580">
        <f t="shared" si="23"/>
        <v>0</v>
      </c>
      <c r="AI143" s="580">
        <f t="shared" si="23"/>
        <v>0</v>
      </c>
      <c r="AJ143" s="580">
        <f t="shared" si="23"/>
        <v>0</v>
      </c>
      <c r="AK143" s="580">
        <f t="shared" si="23"/>
        <v>0</v>
      </c>
      <c r="AL143" s="580">
        <f t="shared" si="23"/>
        <v>0</v>
      </c>
      <c r="AM143" s="581">
        <f t="shared" si="23"/>
        <v>0</v>
      </c>
    </row>
    <row r="144" spans="2:39" ht="12.95">
      <c r="B144" s="634" t="s">
        <v>461</v>
      </c>
      <c r="C144" s="635" t="s">
        <v>417</v>
      </c>
      <c r="D144" s="585">
        <f>SUM(D139:D143)</f>
        <v>10274762.301557329</v>
      </c>
      <c r="E144" s="585">
        <f t="shared" ref="E144:AM144" si="24">SUM(E139:E143)</f>
        <v>560000.5727431702</v>
      </c>
      <c r="F144" s="585">
        <f t="shared" si="24"/>
        <v>560000.5727431702</v>
      </c>
      <c r="G144" s="585">
        <f t="shared" si="24"/>
        <v>560000.5727431702</v>
      </c>
      <c r="H144" s="585">
        <f t="shared" si="24"/>
        <v>560000.5727431702</v>
      </c>
      <c r="I144" s="585">
        <f t="shared" si="24"/>
        <v>560000.5727431702</v>
      </c>
      <c r="J144" s="585">
        <f t="shared" si="24"/>
        <v>560000.5727431702</v>
      </c>
      <c r="K144" s="585">
        <f t="shared" si="24"/>
        <v>560000.5727431702</v>
      </c>
      <c r="L144" s="585">
        <f t="shared" si="24"/>
        <v>560000.5727431702</v>
      </c>
      <c r="M144" s="585">
        <f t="shared" si="24"/>
        <v>560000.5727431702</v>
      </c>
      <c r="N144" s="585">
        <f t="shared" si="24"/>
        <v>560000.5727431702</v>
      </c>
      <c r="O144" s="585">
        <f t="shared" si="24"/>
        <v>560000.5727431702</v>
      </c>
      <c r="P144" s="585">
        <f t="shared" si="24"/>
        <v>560000.5727431702</v>
      </c>
      <c r="Q144" s="585">
        <f t="shared" si="24"/>
        <v>560000.5727431702</v>
      </c>
      <c r="R144" s="585">
        <f t="shared" si="24"/>
        <v>560000.5727431702</v>
      </c>
      <c r="S144" s="585">
        <f t="shared" si="24"/>
        <v>560000.5727431702</v>
      </c>
      <c r="T144" s="585">
        <f t="shared" si="24"/>
        <v>560000.5727431702</v>
      </c>
      <c r="U144" s="585">
        <f t="shared" si="24"/>
        <v>560000.5727431702</v>
      </c>
      <c r="V144" s="585">
        <f t="shared" si="24"/>
        <v>560000.5727431702</v>
      </c>
      <c r="W144" s="585">
        <f t="shared" si="24"/>
        <v>560000.5727431702</v>
      </c>
      <c r="X144" s="585">
        <f t="shared" si="24"/>
        <v>560000.5727431702</v>
      </c>
      <c r="Y144" s="585">
        <f t="shared" si="24"/>
        <v>560000.5727431702</v>
      </c>
      <c r="Z144" s="585">
        <f t="shared" si="24"/>
        <v>560000.5727431702</v>
      </c>
      <c r="AA144" s="585">
        <f t="shared" si="24"/>
        <v>560000.5727431702</v>
      </c>
      <c r="AB144" s="585">
        <f t="shared" si="24"/>
        <v>560000.5727431702</v>
      </c>
      <c r="AC144" s="585">
        <f t="shared" si="24"/>
        <v>2047550.6060559135</v>
      </c>
      <c r="AD144" s="585">
        <f t="shared" si="24"/>
        <v>0</v>
      </c>
      <c r="AE144" s="585">
        <f t="shared" si="24"/>
        <v>0</v>
      </c>
      <c r="AF144" s="585">
        <f t="shared" si="24"/>
        <v>0</v>
      </c>
      <c r="AG144" s="585">
        <f t="shared" si="24"/>
        <v>0</v>
      </c>
      <c r="AH144" s="585">
        <f t="shared" si="24"/>
        <v>0</v>
      </c>
      <c r="AI144" s="585">
        <f t="shared" si="24"/>
        <v>0</v>
      </c>
      <c r="AJ144" s="585">
        <f t="shared" si="24"/>
        <v>0</v>
      </c>
      <c r="AK144" s="585">
        <f t="shared" si="24"/>
        <v>0</v>
      </c>
      <c r="AL144" s="585">
        <f t="shared" si="24"/>
        <v>0</v>
      </c>
      <c r="AM144" s="585">
        <f t="shared" si="24"/>
        <v>0</v>
      </c>
    </row>
    <row r="145" spans="1:39" ht="12.95">
      <c r="B145" s="636" t="s">
        <v>462</v>
      </c>
      <c r="C145" s="635" t="s">
        <v>417</v>
      </c>
      <c r="D145" s="599">
        <f>D138-D144</f>
        <v>-11433228.477362722</v>
      </c>
      <c r="E145" s="600">
        <f t="shared" ref="E145:AM145" si="25">E138-E140-E141</f>
        <v>-1313685.009847973</v>
      </c>
      <c r="F145" s="600">
        <f t="shared" si="25"/>
        <v>-1313685.009847973</v>
      </c>
      <c r="G145" s="600">
        <f t="shared" si="25"/>
        <v>-1313685.009847973</v>
      </c>
      <c r="H145" s="600">
        <f t="shared" si="25"/>
        <v>-1313685.009847973</v>
      </c>
      <c r="I145" s="600">
        <f t="shared" si="25"/>
        <v>-1313685.009847973</v>
      </c>
      <c r="J145" s="600">
        <f t="shared" si="25"/>
        <v>-1313685.009847973</v>
      </c>
      <c r="K145" s="600">
        <f t="shared" si="25"/>
        <v>-1313685.009847973</v>
      </c>
      <c r="L145" s="600">
        <f t="shared" si="25"/>
        <v>-1313685.009847973</v>
      </c>
      <c r="M145" s="600">
        <f t="shared" si="25"/>
        <v>-1313685.009847973</v>
      </c>
      <c r="N145" s="600">
        <f t="shared" si="25"/>
        <v>-1313685.009847973</v>
      </c>
      <c r="O145" s="600">
        <f t="shared" si="25"/>
        <v>-1313685.009847973</v>
      </c>
      <c r="P145" s="600">
        <f t="shared" si="25"/>
        <v>-1313685.009847973</v>
      </c>
      <c r="Q145" s="600">
        <f t="shared" si="25"/>
        <v>-1313685.009847973</v>
      </c>
      <c r="R145" s="600">
        <f t="shared" si="25"/>
        <v>-1313685.009847973</v>
      </c>
      <c r="S145" s="600">
        <f t="shared" si="25"/>
        <v>-1313685.009847973</v>
      </c>
      <c r="T145" s="600">
        <f t="shared" si="25"/>
        <v>-1313685.009847973</v>
      </c>
      <c r="U145" s="600">
        <f t="shared" si="25"/>
        <v>-1313685.009847973</v>
      </c>
      <c r="V145" s="600">
        <f t="shared" si="25"/>
        <v>-1313685.009847973</v>
      </c>
      <c r="W145" s="600">
        <f t="shared" si="25"/>
        <v>-1313685.009847973</v>
      </c>
      <c r="X145" s="600">
        <f t="shared" si="25"/>
        <v>-1313685.009847973</v>
      </c>
      <c r="Y145" s="600">
        <f t="shared" si="25"/>
        <v>-1313685.009847973</v>
      </c>
      <c r="Z145" s="600">
        <f t="shared" si="25"/>
        <v>-1313685.009847973</v>
      </c>
      <c r="AA145" s="600">
        <f t="shared" si="25"/>
        <v>-1313685.009847973</v>
      </c>
      <c r="AB145" s="600">
        <f t="shared" si="25"/>
        <v>-1313685.009847973</v>
      </c>
      <c r="AC145" s="600">
        <f t="shared" si="25"/>
        <v>-2740820.4236439206</v>
      </c>
      <c r="AD145" s="600">
        <f t="shared" si="25"/>
        <v>0</v>
      </c>
      <c r="AE145" s="600">
        <f t="shared" si="25"/>
        <v>0</v>
      </c>
      <c r="AF145" s="600">
        <f t="shared" si="25"/>
        <v>0</v>
      </c>
      <c r="AG145" s="600">
        <f t="shared" si="25"/>
        <v>0</v>
      </c>
      <c r="AH145" s="600">
        <f t="shared" si="25"/>
        <v>0</v>
      </c>
      <c r="AI145" s="600">
        <f t="shared" si="25"/>
        <v>0</v>
      </c>
      <c r="AJ145" s="600">
        <f t="shared" si="25"/>
        <v>0</v>
      </c>
      <c r="AK145" s="600">
        <f t="shared" si="25"/>
        <v>0</v>
      </c>
      <c r="AL145" s="600">
        <f t="shared" si="25"/>
        <v>0</v>
      </c>
      <c r="AM145" s="601">
        <f t="shared" si="25"/>
        <v>0</v>
      </c>
    </row>
    <row r="146" spans="1:39">
      <c r="R146" s="474"/>
    </row>
    <row r="147" spans="1:39">
      <c r="R147" s="474"/>
    </row>
    <row r="148" spans="1:39" ht="12.95">
      <c r="B148" s="626" t="s">
        <v>463</v>
      </c>
      <c r="C148" s="566" t="s">
        <v>364</v>
      </c>
      <c r="R148" s="474"/>
    </row>
    <row r="149" spans="1:39">
      <c r="B149" s="561" t="s">
        <v>464</v>
      </c>
      <c r="C149" s="545" t="s">
        <v>417</v>
      </c>
      <c r="D149" s="617">
        <f t="shared" ref="D149:AM149" si="26">D78*$D$16</f>
        <v>1379722.9692673802</v>
      </c>
      <c r="E149" s="618">
        <f t="shared" si="26"/>
        <v>1379722.9692673802</v>
      </c>
      <c r="F149" s="618">
        <f t="shared" si="26"/>
        <v>1379722.9692673802</v>
      </c>
      <c r="G149" s="618">
        <f t="shared" si="26"/>
        <v>1379722.9692673802</v>
      </c>
      <c r="H149" s="618">
        <f t="shared" si="26"/>
        <v>1379722.9692673802</v>
      </c>
      <c r="I149" s="618">
        <f t="shared" si="26"/>
        <v>1379722.9692673802</v>
      </c>
      <c r="J149" s="618">
        <f t="shared" si="26"/>
        <v>1379722.9692673802</v>
      </c>
      <c r="K149" s="618">
        <f t="shared" si="26"/>
        <v>1379722.9692673802</v>
      </c>
      <c r="L149" s="618">
        <f t="shared" si="26"/>
        <v>1379722.9692673802</v>
      </c>
      <c r="M149" s="618">
        <f t="shared" si="26"/>
        <v>1379722.9692673802</v>
      </c>
      <c r="N149" s="618">
        <f t="shared" si="26"/>
        <v>1379722.9692673802</v>
      </c>
      <c r="O149" s="618">
        <f t="shared" si="26"/>
        <v>1379722.9692673802</v>
      </c>
      <c r="P149" s="618">
        <f t="shared" si="26"/>
        <v>1379722.9692673802</v>
      </c>
      <c r="Q149" s="618">
        <f t="shared" si="26"/>
        <v>1379722.9692673802</v>
      </c>
      <c r="R149" s="722">
        <f t="shared" si="26"/>
        <v>1379722.9692673802</v>
      </c>
      <c r="S149" s="618">
        <f t="shared" si="26"/>
        <v>1379722.9692673802</v>
      </c>
      <c r="T149" s="618">
        <f t="shared" si="26"/>
        <v>1379722.9692673802</v>
      </c>
      <c r="U149" s="618">
        <f t="shared" si="26"/>
        <v>1379722.9692673802</v>
      </c>
      <c r="V149" s="618">
        <f t="shared" si="26"/>
        <v>1379722.9692673802</v>
      </c>
      <c r="W149" s="618">
        <f t="shared" si="26"/>
        <v>1379722.9692673802</v>
      </c>
      <c r="X149" s="618">
        <f t="shared" si="26"/>
        <v>1379722.9692673802</v>
      </c>
      <c r="Y149" s="618">
        <f t="shared" si="26"/>
        <v>1379722.9692673802</v>
      </c>
      <c r="Z149" s="618">
        <f t="shared" si="26"/>
        <v>1379722.9692673802</v>
      </c>
      <c r="AA149" s="618">
        <f t="shared" si="26"/>
        <v>1379722.9692673802</v>
      </c>
      <c r="AB149" s="618">
        <f t="shared" si="26"/>
        <v>1379722.9692673802</v>
      </c>
      <c r="AC149" s="618">
        <f t="shared" si="26"/>
        <v>1379722.9692673802</v>
      </c>
      <c r="AD149" s="618">
        <f t="shared" si="26"/>
        <v>0</v>
      </c>
      <c r="AE149" s="618">
        <f t="shared" si="26"/>
        <v>0</v>
      </c>
      <c r="AF149" s="618">
        <f t="shared" si="26"/>
        <v>0</v>
      </c>
      <c r="AG149" s="618">
        <f t="shared" si="26"/>
        <v>0</v>
      </c>
      <c r="AH149" s="618">
        <f t="shared" si="26"/>
        <v>0</v>
      </c>
      <c r="AI149" s="618">
        <f t="shared" si="26"/>
        <v>0</v>
      </c>
      <c r="AJ149" s="618">
        <f t="shared" si="26"/>
        <v>0</v>
      </c>
      <c r="AK149" s="618">
        <f t="shared" si="26"/>
        <v>0</v>
      </c>
      <c r="AL149" s="618">
        <f t="shared" si="26"/>
        <v>0</v>
      </c>
      <c r="AM149" s="619">
        <f t="shared" si="26"/>
        <v>0</v>
      </c>
    </row>
    <row r="150" spans="1:39">
      <c r="B150" s="561" t="s">
        <v>465</v>
      </c>
      <c r="C150" s="545" t="s">
        <v>417</v>
      </c>
      <c r="D150" s="617">
        <f>SUM(D139:D143)</f>
        <v>10274762.301557329</v>
      </c>
      <c r="E150" s="618">
        <f t="shared" ref="E150:AM150" si="27">SUM(E139:E143)</f>
        <v>560000.5727431702</v>
      </c>
      <c r="F150" s="618">
        <f t="shared" si="27"/>
        <v>560000.5727431702</v>
      </c>
      <c r="G150" s="618">
        <f t="shared" si="27"/>
        <v>560000.5727431702</v>
      </c>
      <c r="H150" s="618">
        <f t="shared" si="27"/>
        <v>560000.5727431702</v>
      </c>
      <c r="I150" s="618">
        <f t="shared" si="27"/>
        <v>560000.5727431702</v>
      </c>
      <c r="J150" s="618">
        <f t="shared" si="27"/>
        <v>560000.5727431702</v>
      </c>
      <c r="K150" s="618">
        <f t="shared" si="27"/>
        <v>560000.5727431702</v>
      </c>
      <c r="L150" s="618">
        <f t="shared" si="27"/>
        <v>560000.5727431702</v>
      </c>
      <c r="M150" s="618">
        <f t="shared" si="27"/>
        <v>560000.5727431702</v>
      </c>
      <c r="N150" s="618">
        <f t="shared" si="27"/>
        <v>560000.5727431702</v>
      </c>
      <c r="O150" s="618">
        <f t="shared" si="27"/>
        <v>560000.5727431702</v>
      </c>
      <c r="P150" s="618">
        <f t="shared" si="27"/>
        <v>560000.5727431702</v>
      </c>
      <c r="Q150" s="618">
        <f t="shared" si="27"/>
        <v>560000.5727431702</v>
      </c>
      <c r="R150" s="722">
        <f t="shared" si="27"/>
        <v>560000.5727431702</v>
      </c>
      <c r="S150" s="618">
        <f t="shared" si="27"/>
        <v>560000.5727431702</v>
      </c>
      <c r="T150" s="618">
        <f t="shared" si="27"/>
        <v>560000.5727431702</v>
      </c>
      <c r="U150" s="618">
        <f t="shared" si="27"/>
        <v>560000.5727431702</v>
      </c>
      <c r="V150" s="618">
        <f t="shared" si="27"/>
        <v>560000.5727431702</v>
      </c>
      <c r="W150" s="618">
        <f t="shared" si="27"/>
        <v>560000.5727431702</v>
      </c>
      <c r="X150" s="618">
        <f t="shared" si="27"/>
        <v>560000.5727431702</v>
      </c>
      <c r="Y150" s="618">
        <f t="shared" si="27"/>
        <v>560000.5727431702</v>
      </c>
      <c r="Z150" s="618">
        <f t="shared" si="27"/>
        <v>560000.5727431702</v>
      </c>
      <c r="AA150" s="618">
        <f t="shared" si="27"/>
        <v>560000.5727431702</v>
      </c>
      <c r="AB150" s="618">
        <f t="shared" si="27"/>
        <v>560000.5727431702</v>
      </c>
      <c r="AC150" s="618">
        <f t="shared" si="27"/>
        <v>2047550.6060559135</v>
      </c>
      <c r="AD150" s="618">
        <f t="shared" si="27"/>
        <v>0</v>
      </c>
      <c r="AE150" s="618">
        <f t="shared" si="27"/>
        <v>0</v>
      </c>
      <c r="AF150" s="618">
        <f t="shared" si="27"/>
        <v>0</v>
      </c>
      <c r="AG150" s="618">
        <f t="shared" si="27"/>
        <v>0</v>
      </c>
      <c r="AH150" s="618">
        <f t="shared" si="27"/>
        <v>0</v>
      </c>
      <c r="AI150" s="618">
        <f t="shared" si="27"/>
        <v>0</v>
      </c>
      <c r="AJ150" s="618">
        <f t="shared" si="27"/>
        <v>0</v>
      </c>
      <c r="AK150" s="618">
        <f t="shared" si="27"/>
        <v>0</v>
      </c>
      <c r="AL150" s="618">
        <f t="shared" si="27"/>
        <v>0</v>
      </c>
      <c r="AM150" s="619">
        <f t="shared" si="27"/>
        <v>0</v>
      </c>
    </row>
    <row r="151" spans="1:39" ht="12.95">
      <c r="B151" s="636" t="s">
        <v>466</v>
      </c>
      <c r="C151" s="635" t="s">
        <v>417</v>
      </c>
      <c r="D151" s="584">
        <f>D149-D150</f>
        <v>-8895039.3322899491</v>
      </c>
      <c r="E151" s="585">
        <f t="shared" ref="E151:AM151" si="28">E149-E150</f>
        <v>819722.39652420999</v>
      </c>
      <c r="F151" s="585">
        <f t="shared" si="28"/>
        <v>819722.39652420999</v>
      </c>
      <c r="G151" s="585">
        <f t="shared" si="28"/>
        <v>819722.39652420999</v>
      </c>
      <c r="H151" s="585">
        <f t="shared" si="28"/>
        <v>819722.39652420999</v>
      </c>
      <c r="I151" s="585">
        <f t="shared" si="28"/>
        <v>819722.39652420999</v>
      </c>
      <c r="J151" s="585">
        <f t="shared" si="28"/>
        <v>819722.39652420999</v>
      </c>
      <c r="K151" s="585">
        <f t="shared" si="28"/>
        <v>819722.39652420999</v>
      </c>
      <c r="L151" s="585">
        <f t="shared" si="28"/>
        <v>819722.39652420999</v>
      </c>
      <c r="M151" s="585">
        <f t="shared" si="28"/>
        <v>819722.39652420999</v>
      </c>
      <c r="N151" s="585">
        <f t="shared" si="28"/>
        <v>819722.39652420999</v>
      </c>
      <c r="O151" s="585">
        <f t="shared" si="28"/>
        <v>819722.39652420999</v>
      </c>
      <c r="P151" s="585">
        <f t="shared" si="28"/>
        <v>819722.39652420999</v>
      </c>
      <c r="Q151" s="585">
        <f t="shared" si="28"/>
        <v>819722.39652420999</v>
      </c>
      <c r="R151" s="585">
        <f t="shared" si="28"/>
        <v>819722.39652420999</v>
      </c>
      <c r="S151" s="585">
        <f t="shared" si="28"/>
        <v>819722.39652420999</v>
      </c>
      <c r="T151" s="585">
        <f t="shared" si="28"/>
        <v>819722.39652420999</v>
      </c>
      <c r="U151" s="585">
        <f t="shared" si="28"/>
        <v>819722.39652420999</v>
      </c>
      <c r="V151" s="585">
        <f t="shared" si="28"/>
        <v>819722.39652420999</v>
      </c>
      <c r="W151" s="585">
        <f t="shared" si="28"/>
        <v>819722.39652420999</v>
      </c>
      <c r="X151" s="585">
        <f t="shared" si="28"/>
        <v>819722.39652420999</v>
      </c>
      <c r="Y151" s="585">
        <f t="shared" si="28"/>
        <v>819722.39652420999</v>
      </c>
      <c r="Z151" s="585">
        <f t="shared" si="28"/>
        <v>819722.39652420999</v>
      </c>
      <c r="AA151" s="585">
        <f t="shared" si="28"/>
        <v>819722.39652420999</v>
      </c>
      <c r="AB151" s="585">
        <f t="shared" si="28"/>
        <v>819722.39652420999</v>
      </c>
      <c r="AC151" s="585">
        <f t="shared" si="28"/>
        <v>-667827.6367885333</v>
      </c>
      <c r="AD151" s="585">
        <f t="shared" si="28"/>
        <v>0</v>
      </c>
      <c r="AE151" s="585">
        <f t="shared" si="28"/>
        <v>0</v>
      </c>
      <c r="AF151" s="585">
        <f t="shared" si="28"/>
        <v>0</v>
      </c>
      <c r="AG151" s="585">
        <f t="shared" si="28"/>
        <v>0</v>
      </c>
      <c r="AH151" s="585">
        <f t="shared" si="28"/>
        <v>0</v>
      </c>
      <c r="AI151" s="585">
        <f t="shared" si="28"/>
        <v>0</v>
      </c>
      <c r="AJ151" s="585">
        <f t="shared" si="28"/>
        <v>0</v>
      </c>
      <c r="AK151" s="585">
        <f t="shared" si="28"/>
        <v>0</v>
      </c>
      <c r="AL151" s="585">
        <f t="shared" si="28"/>
        <v>0</v>
      </c>
      <c r="AM151" s="586">
        <f t="shared" si="28"/>
        <v>0</v>
      </c>
    </row>
    <row r="152" spans="1:39" s="497" customFormat="1" ht="12.95">
      <c r="B152" s="637" t="s">
        <v>467</v>
      </c>
      <c r="C152" s="609" t="s">
        <v>417</v>
      </c>
      <c r="D152" s="638">
        <f>D151+D130</f>
        <v>-9237210.6286682598</v>
      </c>
      <c r="E152" s="639">
        <f t="shared" ref="E152:AM152" si="29">E151+E130</f>
        <v>477551.10014589969</v>
      </c>
      <c r="F152" s="639">
        <f t="shared" si="29"/>
        <v>477551.10014589969</v>
      </c>
      <c r="G152" s="639">
        <f t="shared" si="29"/>
        <v>477551.10014589969</v>
      </c>
      <c r="H152" s="639">
        <f t="shared" si="29"/>
        <v>477551.10014589969</v>
      </c>
      <c r="I152" s="639">
        <f t="shared" si="29"/>
        <v>477551.10014589969</v>
      </c>
      <c r="J152" s="639">
        <f t="shared" si="29"/>
        <v>477551.10014589969</v>
      </c>
      <c r="K152" s="639">
        <f t="shared" si="29"/>
        <v>477551.10014589969</v>
      </c>
      <c r="L152" s="639">
        <f t="shared" si="29"/>
        <v>477551.10014589969</v>
      </c>
      <c r="M152" s="639">
        <f t="shared" si="29"/>
        <v>477551.10014589969</v>
      </c>
      <c r="N152" s="639">
        <f t="shared" si="29"/>
        <v>477551.10014589969</v>
      </c>
      <c r="O152" s="639">
        <f t="shared" si="29"/>
        <v>477551.10014589969</v>
      </c>
      <c r="P152" s="639">
        <f t="shared" si="29"/>
        <v>477551.10014589969</v>
      </c>
      <c r="Q152" s="639">
        <f t="shared" si="29"/>
        <v>477551.10014589969</v>
      </c>
      <c r="R152" s="639">
        <f t="shared" si="29"/>
        <v>477551.10014589969</v>
      </c>
      <c r="S152" s="639">
        <f t="shared" si="29"/>
        <v>477551.10014589969</v>
      </c>
      <c r="T152" s="639">
        <f t="shared" si="29"/>
        <v>477551.10014589969</v>
      </c>
      <c r="U152" s="639">
        <f t="shared" si="29"/>
        <v>477551.10014589969</v>
      </c>
      <c r="V152" s="639">
        <f t="shared" si="29"/>
        <v>477551.10014589969</v>
      </c>
      <c r="W152" s="639">
        <f t="shared" si="29"/>
        <v>477551.10014589969</v>
      </c>
      <c r="X152" s="639">
        <f t="shared" si="29"/>
        <v>477551.10014589969</v>
      </c>
      <c r="Y152" s="639">
        <f t="shared" si="29"/>
        <v>477551.10014589969</v>
      </c>
      <c r="Z152" s="639">
        <f t="shared" si="29"/>
        <v>477551.10014589969</v>
      </c>
      <c r="AA152" s="639">
        <f t="shared" si="29"/>
        <v>477551.10014589969</v>
      </c>
      <c r="AB152" s="639">
        <f t="shared" si="29"/>
        <v>477551.10014589969</v>
      </c>
      <c r="AC152" s="639">
        <f t="shared" si="29"/>
        <v>-949584.31365004811</v>
      </c>
      <c r="AD152" s="639">
        <f t="shared" si="29"/>
        <v>0</v>
      </c>
      <c r="AE152" s="639">
        <f t="shared" si="29"/>
        <v>0</v>
      </c>
      <c r="AF152" s="639">
        <f t="shared" si="29"/>
        <v>0</v>
      </c>
      <c r="AG152" s="639">
        <f t="shared" si="29"/>
        <v>0</v>
      </c>
      <c r="AH152" s="639">
        <f t="shared" si="29"/>
        <v>0</v>
      </c>
      <c r="AI152" s="639">
        <f t="shared" si="29"/>
        <v>0</v>
      </c>
      <c r="AJ152" s="639">
        <f t="shared" si="29"/>
        <v>0</v>
      </c>
      <c r="AK152" s="639">
        <f t="shared" si="29"/>
        <v>0</v>
      </c>
      <c r="AL152" s="639">
        <f t="shared" si="29"/>
        <v>0</v>
      </c>
      <c r="AM152" s="640">
        <f t="shared" si="29"/>
        <v>0</v>
      </c>
    </row>
    <row r="153" spans="1:39" s="502" customFormat="1" ht="12.95">
      <c r="A153" s="497"/>
      <c r="B153" s="561" t="s">
        <v>468</v>
      </c>
      <c r="C153" s="545" t="s">
        <v>331</v>
      </c>
      <c r="D153" s="603">
        <f>SUM(D149:AB149)</f>
        <v>34493074.231684498</v>
      </c>
      <c r="F153" s="373"/>
      <c r="G153" s="373"/>
      <c r="H153" s="373"/>
      <c r="I153" s="373"/>
      <c r="J153" s="373"/>
      <c r="K153" s="373"/>
      <c r="L153" s="373"/>
      <c r="M153" s="373"/>
      <c r="N153" s="373"/>
      <c r="O153" s="373"/>
      <c r="P153" s="373"/>
      <c r="Q153" s="373"/>
      <c r="R153" s="503"/>
      <c r="S153" s="373"/>
      <c r="T153" s="373"/>
      <c r="U153" s="373"/>
      <c r="V153" s="373"/>
      <c r="W153" s="373"/>
      <c r="X153" s="373"/>
      <c r="Y153" s="373"/>
      <c r="Z153" s="373"/>
      <c r="AA153" s="373"/>
      <c r="AB153" s="373"/>
      <c r="AC153" s="373"/>
      <c r="AD153" s="373"/>
      <c r="AE153" s="373"/>
      <c r="AF153" s="373"/>
      <c r="AG153" s="373"/>
      <c r="AH153" s="373"/>
      <c r="AI153" s="373"/>
      <c r="AJ153" s="373"/>
      <c r="AK153" s="373"/>
      <c r="AL153" s="373"/>
      <c r="AM153" s="373"/>
    </row>
    <row r="154" spans="1:39" s="502" customFormat="1" ht="12.95">
      <c r="A154" s="497"/>
      <c r="B154" s="561" t="s">
        <v>469</v>
      </c>
      <c r="C154" s="545" t="s">
        <v>331</v>
      </c>
      <c r="D154" s="603">
        <f>SUM(D151:AB151)</f>
        <v>10778298.184291085</v>
      </c>
      <c r="E154" s="373"/>
      <c r="F154" s="373"/>
      <c r="G154" s="373"/>
      <c r="H154" s="373"/>
      <c r="I154" s="373"/>
      <c r="J154" s="373"/>
      <c r="K154" s="373"/>
      <c r="L154" s="373"/>
      <c r="M154" s="373"/>
      <c r="N154" s="373"/>
      <c r="O154" s="373"/>
      <c r="P154" s="373"/>
      <c r="Q154" s="373"/>
      <c r="R154" s="503"/>
      <c r="S154" s="373"/>
      <c r="T154" s="373"/>
      <c r="U154" s="373"/>
      <c r="V154" s="373"/>
      <c r="W154" s="373"/>
      <c r="X154" s="373"/>
      <c r="Y154" s="373"/>
      <c r="Z154" s="373"/>
      <c r="AA154" s="373"/>
      <c r="AB154" s="373"/>
      <c r="AC154" s="373"/>
      <c r="AD154" s="373"/>
      <c r="AE154" s="373"/>
      <c r="AF154" s="373"/>
      <c r="AG154" s="373"/>
      <c r="AH154" s="373"/>
      <c r="AI154" s="373"/>
      <c r="AJ154" s="373"/>
      <c r="AK154" s="373"/>
      <c r="AL154" s="373"/>
      <c r="AM154" s="373"/>
    </row>
    <row r="155" spans="1:39" s="502" customFormat="1" ht="12.95">
      <c r="A155" s="497"/>
      <c r="B155" s="561" t="s">
        <v>470</v>
      </c>
      <c r="C155" s="545" t="s">
        <v>331</v>
      </c>
      <c r="D155" s="603">
        <f>SUM(D152:AB152)</f>
        <v>2224015.7748333318</v>
      </c>
      <c r="E155" s="373"/>
      <c r="F155" s="373"/>
      <c r="G155" s="373"/>
      <c r="H155" s="373"/>
      <c r="I155" s="373"/>
      <c r="J155" s="373"/>
      <c r="K155" s="373"/>
      <c r="L155" s="373"/>
      <c r="M155" s="373"/>
      <c r="N155" s="373"/>
      <c r="O155" s="373"/>
      <c r="P155" s="373"/>
      <c r="Q155" s="373"/>
      <c r="R155" s="503"/>
      <c r="S155" s="373"/>
      <c r="T155" s="373"/>
      <c r="U155" s="373"/>
      <c r="V155" s="373"/>
      <c r="W155" s="373"/>
      <c r="X155" s="373"/>
      <c r="Y155" s="373"/>
      <c r="Z155" s="373"/>
      <c r="AA155" s="373"/>
      <c r="AB155" s="373"/>
      <c r="AC155" s="373"/>
      <c r="AD155" s="373"/>
      <c r="AE155" s="373"/>
      <c r="AF155" s="373"/>
      <c r="AG155" s="373"/>
      <c r="AH155" s="373"/>
      <c r="AI155" s="373"/>
      <c r="AJ155" s="373"/>
      <c r="AK155" s="373"/>
      <c r="AL155" s="373"/>
      <c r="AM155" s="373"/>
    </row>
    <row r="157" spans="1:39">
      <c r="B157" s="564" t="s">
        <v>99</v>
      </c>
      <c r="C157" s="641">
        <f>IRR(D151:AB151)</f>
        <v>7.6414984994286339E-2</v>
      </c>
    </row>
    <row r="158" spans="1:39">
      <c r="B158" s="564" t="s">
        <v>100</v>
      </c>
      <c r="C158" s="641">
        <f>IRR(D152:AB152)</f>
        <v>1.8030084297979698E-2</v>
      </c>
    </row>
    <row r="159" spans="1:39">
      <c r="B159" s="878" t="s">
        <v>101</v>
      </c>
      <c r="C159" s="712" t="s">
        <v>102</v>
      </c>
      <c r="D159" s="625">
        <f>NPV(CostofCapImpDiscountRate,$D$151:$AB$151)</f>
        <v>8980629.2777758297</v>
      </c>
    </row>
    <row r="160" spans="1:39">
      <c r="B160" s="878"/>
      <c r="C160" s="713" t="s">
        <v>103</v>
      </c>
      <c r="D160" s="546">
        <f>NPV(SocialDiscountRate,$D$151:$AB$151)</f>
        <v>-2244697.6115126135</v>
      </c>
    </row>
    <row r="161" spans="2:4">
      <c r="B161" s="879"/>
      <c r="C161" s="714" t="s">
        <v>104</v>
      </c>
      <c r="D161" s="642">
        <f>NPV(PrvESCODiscountRate,$D$151:$AB$151)</f>
        <v>-4039986.8850079319</v>
      </c>
    </row>
    <row r="162" spans="2:4">
      <c r="B162" s="877" t="s">
        <v>471</v>
      </c>
      <c r="C162" s="712" t="str">
        <f>C159</f>
        <v>Cost of Capital Imp Rate</v>
      </c>
      <c r="D162" s="625">
        <f>NPV(CostofCapImpDiscountRate,$D$152:$AB$152)</f>
        <v>1206923.2660243087</v>
      </c>
    </row>
    <row r="163" spans="2:4">
      <c r="B163" s="878"/>
      <c r="C163" s="713" t="str">
        <f>C160</f>
        <v xml:space="preserve">Social Discount </v>
      </c>
      <c r="D163" s="546">
        <f>NPV(SocialDiscountRate,$D$152:$AB$152)</f>
        <v>-4928394.6891631689</v>
      </c>
    </row>
    <row r="164" spans="2:4">
      <c r="B164" s="879"/>
      <c r="C164" s="714" t="str">
        <f>C161</f>
        <v>ESCO Discount Rate</v>
      </c>
      <c r="D164" s="642">
        <f>NPV(PrvESCODiscountRate,$D$152:$AB$152)</f>
        <v>-5732909.1495680474</v>
      </c>
    </row>
    <row r="167" spans="2:4">
      <c r="B167" s="475" t="s">
        <v>285</v>
      </c>
    </row>
    <row r="168" spans="2:4" ht="99.95">
      <c r="B168" s="707" t="s">
        <v>472</v>
      </c>
    </row>
    <row r="169" spans="2:4" ht="137.44999999999999">
      <c r="B169" s="707" t="s">
        <v>473</v>
      </c>
    </row>
    <row r="170" spans="2:4">
      <c r="B170" s="474" t="s">
        <v>474</v>
      </c>
    </row>
    <row r="172" spans="2:4">
      <c r="B172" t="s">
        <v>475</v>
      </c>
    </row>
  </sheetData>
  <mergeCells count="6">
    <mergeCell ref="B162:B164"/>
    <mergeCell ref="B33:D33"/>
    <mergeCell ref="B43:D43"/>
    <mergeCell ref="B51:D51"/>
    <mergeCell ref="B59:D59"/>
    <mergeCell ref="B159:B161"/>
  </mergeCells>
  <pageMargins left="0.75" right="0.75" top="1" bottom="1" header="0.5" footer="0.5"/>
  <pageSetup orientation="portrait" horizontalDpi="1200" verticalDpi="1200"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E96622-1D11-4248-9F86-9C3CA7C8463D}">
  <sheetPr codeName="Sheet20">
    <tabColor rgb="FF00B050"/>
  </sheetPr>
  <dimension ref="A1:AD132"/>
  <sheetViews>
    <sheetView topLeftCell="A49" zoomScale="84" workbookViewId="0">
      <selection activeCell="B69" sqref="B69"/>
    </sheetView>
  </sheetViews>
  <sheetFormatPr defaultColWidth="9.28515625" defaultRowHeight="14.45"/>
  <cols>
    <col min="1" max="1" width="55.5703125" style="4" customWidth="1"/>
    <col min="2" max="2" width="22.140625" style="4" customWidth="1"/>
    <col min="3" max="3" width="15.42578125" style="4" customWidth="1"/>
    <col min="4" max="4" width="23.7109375" style="4" customWidth="1"/>
    <col min="5" max="5" width="19.5703125" style="4" customWidth="1"/>
    <col min="6" max="6" width="21.5703125" style="4" customWidth="1"/>
    <col min="7" max="7" width="18.42578125" style="4" customWidth="1"/>
    <col min="8" max="8" width="18.140625" style="4" customWidth="1"/>
    <col min="9" max="9" width="17.28515625" style="4" customWidth="1"/>
    <col min="10" max="10" width="19.85546875" style="4" customWidth="1"/>
    <col min="11" max="11" width="21.42578125" style="4" customWidth="1"/>
    <col min="12" max="12" width="21" style="4" customWidth="1"/>
    <col min="13" max="13" width="20.5703125" style="4" customWidth="1"/>
    <col min="14" max="14" width="17.5703125" style="4" customWidth="1"/>
    <col min="15" max="15" width="19.5703125" style="4" customWidth="1"/>
    <col min="16" max="16" width="22.28515625" style="4" customWidth="1"/>
    <col min="17" max="17" width="18.85546875" style="4" customWidth="1"/>
    <col min="18" max="18" width="17.140625" style="4" customWidth="1"/>
    <col min="19" max="19" width="19.28515625" style="4" customWidth="1"/>
    <col min="20" max="20" width="21" style="4" customWidth="1"/>
    <col min="21" max="21" width="16.85546875" style="4" customWidth="1"/>
    <col min="22" max="22" width="19.42578125" style="4" customWidth="1"/>
    <col min="23" max="23" width="19.140625" style="4" customWidth="1"/>
    <col min="24" max="24" width="17.140625" style="4" customWidth="1"/>
    <col min="25" max="25" width="19.5703125" style="4" customWidth="1"/>
    <col min="26" max="27" width="21.28515625" style="4" customWidth="1"/>
    <col min="28" max="28" width="18.85546875" style="4" customWidth="1"/>
    <col min="29" max="16384" width="9.28515625" style="4"/>
  </cols>
  <sheetData>
    <row r="1" spans="1:14">
      <c r="A1" s="5"/>
    </row>
    <row r="2" spans="1:14" ht="26.1">
      <c r="A2" s="9" t="s">
        <v>140</v>
      </c>
    </row>
    <row r="3" spans="1:14" s="34" customFormat="1" ht="77.099999999999994" customHeight="1">
      <c r="A3" s="876" t="s">
        <v>131</v>
      </c>
      <c r="B3" s="36" t="s">
        <v>141</v>
      </c>
      <c r="C3" s="37" t="s">
        <v>142</v>
      </c>
      <c r="D3" s="37" t="s">
        <v>143</v>
      </c>
      <c r="E3" s="37" t="s">
        <v>86</v>
      </c>
      <c r="F3" s="37" t="s">
        <v>144</v>
      </c>
      <c r="G3" s="36" t="s">
        <v>145</v>
      </c>
      <c r="H3" s="48" t="s">
        <v>146</v>
      </c>
      <c r="I3" s="36" t="s">
        <v>147</v>
      </c>
      <c r="J3" s="36" t="s">
        <v>148</v>
      </c>
      <c r="K3" s="35"/>
      <c r="L3" s="35"/>
      <c r="M3" s="35"/>
      <c r="N3" s="35"/>
    </row>
    <row r="4" spans="1:14">
      <c r="A4" s="876"/>
      <c r="B4" s="39" t="s">
        <v>149</v>
      </c>
      <c r="C4" s="39" t="s">
        <v>150</v>
      </c>
      <c r="D4" s="39" t="s">
        <v>151</v>
      </c>
      <c r="E4" s="40" t="s">
        <v>152</v>
      </c>
      <c r="F4" s="40" t="s">
        <v>153</v>
      </c>
      <c r="G4" s="40" t="s">
        <v>154</v>
      </c>
      <c r="H4" s="41" t="s">
        <v>155</v>
      </c>
      <c r="I4" s="41" t="s">
        <v>155</v>
      </c>
      <c r="J4" s="41" t="s">
        <v>155</v>
      </c>
      <c r="K4" s="6"/>
      <c r="L4" s="6"/>
      <c r="M4" s="6"/>
      <c r="N4" s="6"/>
    </row>
    <row r="5" spans="1:14">
      <c r="A5" s="36" t="s">
        <v>135</v>
      </c>
      <c r="B5" s="38">
        <f>'Assump&amp;Est_Togo'!D16</f>
        <v>1521362.0115</v>
      </c>
      <c r="C5" s="38">
        <f t="shared" ref="C5:C11" si="0">+B5*0.94</f>
        <v>1430080.2908099999</v>
      </c>
      <c r="D5" s="38">
        <v>0.65</v>
      </c>
      <c r="E5" s="38">
        <f>C5*D5</f>
        <v>929552.18902649998</v>
      </c>
      <c r="F5" s="38">
        <f>E5*0.67</f>
        <v>622799.96664775501</v>
      </c>
      <c r="G5" s="38">
        <f>F5/1000</f>
        <v>622.79996664775501</v>
      </c>
      <c r="H5" s="42">
        <f>+G5*25</f>
        <v>15569.999166193875</v>
      </c>
      <c r="I5" s="42">
        <f>+G5*(44/16)</f>
        <v>1712.6999082813263</v>
      </c>
      <c r="J5" s="42">
        <f>H5-I5</f>
        <v>13857.299257912549</v>
      </c>
      <c r="K5" s="6"/>
      <c r="L5" s="6"/>
      <c r="M5" s="6"/>
      <c r="N5" s="6"/>
    </row>
    <row r="6" spans="1:14">
      <c r="A6" s="36" t="s">
        <v>156</v>
      </c>
      <c r="B6" s="38">
        <f>'Assump&amp;Est_Togo'!D17</f>
        <v>13913564.940000001</v>
      </c>
      <c r="C6" s="38">
        <f t="shared" si="0"/>
        <v>13078751.0436</v>
      </c>
      <c r="D6" s="38">
        <v>0.65</v>
      </c>
      <c r="E6" s="38">
        <f>C6*D6</f>
        <v>8501188.178340001</v>
      </c>
      <c r="F6" s="38">
        <f t="shared" ref="F6:F11" si="1">E6*0.67</f>
        <v>5695796.0794878006</v>
      </c>
      <c r="G6" s="38">
        <f t="shared" ref="G6:G11" si="2">F6/1000</f>
        <v>5695.7960794878009</v>
      </c>
      <c r="H6" s="42">
        <f t="shared" ref="H6:H11" si="3">+G6*25</f>
        <v>142394.90198719501</v>
      </c>
      <c r="I6" s="42">
        <f t="shared" ref="I6:I11" si="4">+G6*(44/16)</f>
        <v>15663.439218591453</v>
      </c>
      <c r="J6" s="42">
        <f t="shared" ref="J6:J11" si="5">H6-I6</f>
        <v>126731.46276860357</v>
      </c>
      <c r="K6" s="6"/>
      <c r="L6" s="6"/>
      <c r="M6" s="6"/>
      <c r="N6" s="6"/>
    </row>
    <row r="7" spans="1:14">
      <c r="A7" s="36" t="s">
        <v>157</v>
      </c>
      <c r="B7" s="38">
        <f>'Assump&amp;Est_Togo'!D18</f>
        <v>1396048.6967500001</v>
      </c>
      <c r="C7" s="38">
        <f t="shared" si="0"/>
        <v>1312285.774945</v>
      </c>
      <c r="D7" s="38">
        <v>0.65</v>
      </c>
      <c r="E7" s="38">
        <f>C7*D7</f>
        <v>852985.75371425005</v>
      </c>
      <c r="F7" s="38">
        <f t="shared" si="1"/>
        <v>571500.4549885476</v>
      </c>
      <c r="G7" s="38">
        <f t="shared" si="2"/>
        <v>571.50045498854763</v>
      </c>
      <c r="H7" s="42">
        <f t="shared" si="3"/>
        <v>14287.511374713691</v>
      </c>
      <c r="I7" s="42">
        <f t="shared" si="4"/>
        <v>1571.626251218506</v>
      </c>
      <c r="J7" s="42">
        <f t="shared" si="5"/>
        <v>12715.885123495185</v>
      </c>
      <c r="K7" s="6"/>
      <c r="L7" s="6"/>
      <c r="M7" s="6"/>
      <c r="N7" s="6"/>
    </row>
    <row r="8" spans="1:14">
      <c r="A8" s="36" t="s">
        <v>158</v>
      </c>
      <c r="B8" s="38">
        <f>'Assump&amp;Est_Togo'!D19</f>
        <v>1099549.287</v>
      </c>
      <c r="C8" s="38">
        <f t="shared" si="0"/>
        <v>1033576.3297799999</v>
      </c>
      <c r="D8" s="38">
        <v>0.65</v>
      </c>
      <c r="E8" s="38">
        <f t="shared" ref="E8:E11" si="6">C8*D8</f>
        <v>671824.61435699998</v>
      </c>
      <c r="F8" s="38">
        <f t="shared" si="1"/>
        <v>450122.49161919003</v>
      </c>
      <c r="G8" s="38">
        <f t="shared" si="2"/>
        <v>450.12249161919004</v>
      </c>
      <c r="H8" s="42">
        <f t="shared" si="3"/>
        <v>11253.062290479751</v>
      </c>
      <c r="I8" s="42">
        <f t="shared" si="4"/>
        <v>1237.8368519527726</v>
      </c>
      <c r="J8" s="42">
        <f t="shared" si="5"/>
        <v>10015.225438526979</v>
      </c>
      <c r="K8" s="6"/>
      <c r="L8" s="6"/>
      <c r="M8" s="6"/>
      <c r="N8" s="6"/>
    </row>
    <row r="9" spans="1:14">
      <c r="A9" s="36" t="s">
        <v>126</v>
      </c>
      <c r="B9" s="38">
        <f>'Assump&amp;Est_Togo'!D20</f>
        <v>0</v>
      </c>
      <c r="C9" s="38">
        <f t="shared" si="0"/>
        <v>0</v>
      </c>
      <c r="D9" s="38">
        <v>0.71</v>
      </c>
      <c r="E9" s="38">
        <f t="shared" si="6"/>
        <v>0</v>
      </c>
      <c r="F9" s="38">
        <f t="shared" si="1"/>
        <v>0</v>
      </c>
      <c r="G9" s="38">
        <f t="shared" si="2"/>
        <v>0</v>
      </c>
      <c r="H9" s="42">
        <f t="shared" si="3"/>
        <v>0</v>
      </c>
      <c r="I9" s="42">
        <f>+G9*(44/16)</f>
        <v>0</v>
      </c>
      <c r="J9" s="42">
        <f t="shared" si="5"/>
        <v>0</v>
      </c>
      <c r="K9" s="6"/>
      <c r="L9" s="6"/>
      <c r="M9" s="6"/>
      <c r="N9" s="6"/>
    </row>
    <row r="10" spans="1:14">
      <c r="A10" s="36" t="s">
        <v>159</v>
      </c>
      <c r="B10" s="38">
        <f>'Assump&amp;Est_Togo'!D21</f>
        <v>0</v>
      </c>
      <c r="C10" s="38">
        <f t="shared" si="0"/>
        <v>0</v>
      </c>
      <c r="D10" s="38">
        <f>+(0.7+0.63)/2</f>
        <v>0.66500000000000004</v>
      </c>
      <c r="E10" s="38">
        <f t="shared" si="6"/>
        <v>0</v>
      </c>
      <c r="F10" s="38">
        <f t="shared" si="1"/>
        <v>0</v>
      </c>
      <c r="G10" s="38">
        <f t="shared" si="2"/>
        <v>0</v>
      </c>
      <c r="H10" s="42">
        <f>+G10*25</f>
        <v>0</v>
      </c>
      <c r="I10" s="42">
        <f t="shared" si="4"/>
        <v>0</v>
      </c>
      <c r="J10" s="42">
        <f t="shared" si="5"/>
        <v>0</v>
      </c>
      <c r="K10" s="6"/>
      <c r="L10" s="6"/>
      <c r="M10" s="6"/>
      <c r="N10" s="6"/>
    </row>
    <row r="11" spans="1:14">
      <c r="A11" s="36" t="s">
        <v>160</v>
      </c>
      <c r="B11" s="38">
        <f>'Assump&amp;Est_Togo'!D22</f>
        <v>0</v>
      </c>
      <c r="C11" s="38">
        <f t="shared" si="0"/>
        <v>0</v>
      </c>
      <c r="D11" s="38">
        <v>0.65</v>
      </c>
      <c r="E11" s="38">
        <f t="shared" si="6"/>
        <v>0</v>
      </c>
      <c r="F11" s="38">
        <f t="shared" si="1"/>
        <v>0</v>
      </c>
      <c r="G11" s="38">
        <f t="shared" si="2"/>
        <v>0</v>
      </c>
      <c r="H11" s="42">
        <f t="shared" si="3"/>
        <v>0</v>
      </c>
      <c r="I11" s="42">
        <f t="shared" si="4"/>
        <v>0</v>
      </c>
      <c r="J11" s="42">
        <f t="shared" si="5"/>
        <v>0</v>
      </c>
      <c r="K11" s="6"/>
      <c r="L11" s="6"/>
      <c r="M11" s="6"/>
      <c r="N11" s="6"/>
    </row>
    <row r="12" spans="1:14">
      <c r="A12" s="36" t="s">
        <v>12</v>
      </c>
      <c r="B12" s="43">
        <f>SUM(B5:B11)</f>
        <v>17930524.935250003</v>
      </c>
      <c r="C12" s="43">
        <f>SUM(C5:C11)</f>
        <v>16854693.439135</v>
      </c>
      <c r="D12" s="43"/>
      <c r="E12" s="45">
        <f t="shared" ref="E12:J12" si="7">SUM(E5:E11)</f>
        <v>10955550.735437751</v>
      </c>
      <c r="F12" s="43">
        <f t="shared" si="7"/>
        <v>7340218.9927432938</v>
      </c>
      <c r="G12" s="43">
        <f t="shared" si="7"/>
        <v>7340.2189927432946</v>
      </c>
      <c r="H12" s="44">
        <f t="shared" si="7"/>
        <v>183505.47481858233</v>
      </c>
      <c r="I12" s="44">
        <f t="shared" si="7"/>
        <v>20185.602230044056</v>
      </c>
      <c r="J12" s="46">
        <f t="shared" si="7"/>
        <v>163319.87258853827</v>
      </c>
      <c r="K12" s="6"/>
      <c r="L12" s="6"/>
      <c r="M12" s="6"/>
      <c r="N12" s="6"/>
    </row>
    <row r="13" spans="1:14">
      <c r="A13" s="7"/>
      <c r="B13" s="653"/>
      <c r="C13" s="653"/>
      <c r="D13" s="653"/>
      <c r="E13" s="654"/>
      <c r="F13" s="653"/>
      <c r="G13" s="653"/>
      <c r="H13" s="655"/>
      <c r="I13" s="655"/>
      <c r="J13" s="656"/>
      <c r="K13" s="6"/>
      <c r="L13" s="6"/>
      <c r="M13" s="6"/>
      <c r="N13" s="6"/>
    </row>
    <row r="14" spans="1:14">
      <c r="A14" s="9" t="s">
        <v>161</v>
      </c>
      <c r="B14" s="657" t="s">
        <v>162</v>
      </c>
      <c r="C14" s="657" t="s">
        <v>163</v>
      </c>
      <c r="D14" s="653"/>
      <c r="E14" s="654"/>
      <c r="F14" s="653"/>
      <c r="G14" s="653"/>
      <c r="H14" s="655"/>
      <c r="I14" s="655"/>
      <c r="J14" s="656"/>
      <c r="K14" s="6"/>
      <c r="L14" s="6"/>
      <c r="M14" s="6"/>
      <c r="N14" s="6"/>
    </row>
    <row r="15" spans="1:14">
      <c r="A15" s="7" t="s">
        <v>164</v>
      </c>
      <c r="B15" s="653">
        <v>0.65</v>
      </c>
      <c r="C15" s="653" t="s">
        <v>165</v>
      </c>
      <c r="D15" s="653"/>
      <c r="E15" s="654"/>
      <c r="F15" s="653"/>
      <c r="G15" s="653"/>
      <c r="H15" s="655"/>
      <c r="I15" s="655"/>
      <c r="J15" s="656"/>
      <c r="K15" s="6"/>
      <c r="L15" s="6"/>
      <c r="M15" s="6"/>
      <c r="N15" s="6"/>
    </row>
    <row r="16" spans="1:14">
      <c r="A16" s="7" t="s">
        <v>166</v>
      </c>
      <c r="B16" s="653">
        <v>34</v>
      </c>
      <c r="C16" s="653" t="s">
        <v>167</v>
      </c>
      <c r="D16" s="653"/>
      <c r="E16" s="654"/>
      <c r="F16" s="653"/>
      <c r="G16" s="653"/>
      <c r="H16" s="655"/>
      <c r="I16" s="655"/>
      <c r="J16" s="656"/>
      <c r="K16" s="6"/>
      <c r="L16" s="6"/>
      <c r="M16" s="6"/>
      <c r="N16" s="6"/>
    </row>
    <row r="17" spans="1:14">
      <c r="A17" s="7" t="s">
        <v>168</v>
      </c>
      <c r="B17" s="653">
        <v>21</v>
      </c>
      <c r="C17" s="653" t="s">
        <v>169</v>
      </c>
      <c r="D17" s="653"/>
      <c r="E17" s="654"/>
      <c r="F17" s="653"/>
      <c r="G17" s="653"/>
      <c r="H17" s="655"/>
      <c r="I17" s="655"/>
      <c r="J17" s="656"/>
      <c r="K17" s="6"/>
      <c r="L17" s="6"/>
      <c r="M17" s="6"/>
      <c r="N17" s="6"/>
    </row>
    <row r="18" spans="1:14">
      <c r="A18" s="7" t="s">
        <v>170</v>
      </c>
      <c r="B18" s="653">
        <v>6</v>
      </c>
      <c r="C18" s="659" t="s">
        <v>171</v>
      </c>
      <c r="D18" s="653"/>
      <c r="E18" s="654"/>
      <c r="F18" s="653"/>
      <c r="G18" s="653"/>
      <c r="H18" s="655"/>
      <c r="I18" s="655"/>
      <c r="J18" s="656"/>
      <c r="K18" s="6"/>
      <c r="L18" s="6"/>
      <c r="M18" s="6"/>
      <c r="N18" s="6"/>
    </row>
    <row r="19" spans="1:14">
      <c r="A19" s="7" t="s">
        <v>172</v>
      </c>
      <c r="B19" s="653">
        <v>8060</v>
      </c>
      <c r="C19" s="653" t="s">
        <v>165</v>
      </c>
      <c r="D19" s="653"/>
      <c r="E19" s="654"/>
      <c r="F19" s="653"/>
      <c r="G19" s="653"/>
      <c r="H19" s="655"/>
      <c r="I19" s="655"/>
      <c r="J19" s="656"/>
      <c r="K19" s="6"/>
      <c r="L19" s="6"/>
      <c r="M19" s="6"/>
      <c r="N19" s="6"/>
    </row>
    <row r="20" spans="1:14">
      <c r="A20" s="7" t="s">
        <v>173</v>
      </c>
      <c r="B20" s="653">
        <v>16</v>
      </c>
      <c r="C20" s="653" t="s">
        <v>174</v>
      </c>
      <c r="D20" s="653"/>
      <c r="E20" s="654"/>
      <c r="F20" s="653"/>
      <c r="G20" s="653"/>
      <c r="H20" s="655"/>
      <c r="I20" s="655"/>
      <c r="J20" s="656"/>
      <c r="K20" s="6"/>
      <c r="L20" s="6"/>
      <c r="M20" s="6"/>
      <c r="N20" s="6"/>
    </row>
    <row r="21" spans="1:14">
      <c r="A21" s="7" t="s">
        <v>175</v>
      </c>
      <c r="B21" s="653">
        <v>43</v>
      </c>
      <c r="C21" s="653" t="s">
        <v>174</v>
      </c>
      <c r="D21" s="653"/>
      <c r="E21" s="654"/>
      <c r="F21" s="653"/>
      <c r="G21" s="653"/>
      <c r="H21" s="655"/>
      <c r="I21" s="655"/>
      <c r="J21" s="656"/>
      <c r="K21" s="6"/>
      <c r="L21" s="6"/>
      <c r="M21" s="6"/>
      <c r="N21" s="6"/>
    </row>
    <row r="22" spans="1:14">
      <c r="A22" s="7" t="s">
        <v>176</v>
      </c>
      <c r="B22" s="661">
        <v>0.6</v>
      </c>
      <c r="C22" s="653" t="s">
        <v>174</v>
      </c>
      <c r="D22" s="653"/>
      <c r="E22" s="654"/>
      <c r="F22" s="653"/>
      <c r="G22" s="653"/>
      <c r="H22" s="655"/>
      <c r="I22" s="655"/>
      <c r="J22" s="656"/>
      <c r="K22" s="6"/>
      <c r="L22" s="6"/>
      <c r="M22" s="6"/>
      <c r="N22" s="6"/>
    </row>
    <row r="23" spans="1:14">
      <c r="A23" s="7" t="s">
        <v>177</v>
      </c>
      <c r="B23" s="661">
        <v>0.06</v>
      </c>
      <c r="C23" s="653" t="s">
        <v>174</v>
      </c>
      <c r="D23" s="653"/>
      <c r="E23" s="654"/>
      <c r="F23" s="653"/>
      <c r="G23" s="653"/>
      <c r="H23" s="655"/>
      <c r="I23" s="655"/>
      <c r="J23" s="656"/>
      <c r="K23" s="6"/>
      <c r="L23" s="6"/>
      <c r="M23" s="6"/>
      <c r="N23" s="6"/>
    </row>
    <row r="24" spans="1:14">
      <c r="A24" s="7" t="s">
        <v>178</v>
      </c>
      <c r="B24" s="661">
        <v>0.15</v>
      </c>
      <c r="C24" s="653" t="s">
        <v>174</v>
      </c>
      <c r="D24" s="653"/>
      <c r="E24" s="654"/>
      <c r="F24" s="653"/>
      <c r="G24" s="653"/>
      <c r="H24" s="655"/>
      <c r="I24" s="655"/>
      <c r="J24" s="656"/>
      <c r="K24" s="6"/>
      <c r="L24" s="6"/>
      <c r="M24" s="6"/>
      <c r="N24" s="6"/>
    </row>
    <row r="25" spans="1:14">
      <c r="A25" s="7" t="s">
        <v>179</v>
      </c>
      <c r="B25" s="661">
        <v>0.8</v>
      </c>
      <c r="C25" s="653" t="s">
        <v>174</v>
      </c>
      <c r="D25" s="653"/>
      <c r="E25" s="654"/>
      <c r="F25" s="653"/>
      <c r="G25" s="653"/>
      <c r="H25" s="655"/>
      <c r="I25" s="655"/>
      <c r="J25" s="656"/>
      <c r="K25" s="6"/>
      <c r="L25" s="6"/>
      <c r="M25" s="6"/>
      <c r="N25" s="6"/>
    </row>
    <row r="26" spans="1:14">
      <c r="A26" s="7" t="s">
        <v>180</v>
      </c>
      <c r="B26" s="661">
        <v>0.54963053796718997</v>
      </c>
      <c r="C26" s="653" t="s">
        <v>174</v>
      </c>
      <c r="D26" s="653"/>
      <c r="E26" s="654"/>
      <c r="F26" s="653"/>
      <c r="G26" s="653"/>
      <c r="H26" s="655"/>
      <c r="I26" s="655"/>
      <c r="J26" s="656"/>
      <c r="K26" s="6"/>
      <c r="L26" s="6"/>
      <c r="M26" s="6"/>
      <c r="N26" s="6"/>
    </row>
    <row r="27" spans="1:14">
      <c r="A27" s="5" t="s">
        <v>181</v>
      </c>
      <c r="B27" s="845">
        <v>0.3</v>
      </c>
      <c r="C27" s="846" t="s">
        <v>182</v>
      </c>
      <c r="D27" s="13"/>
      <c r="E27" s="13"/>
      <c r="F27" s="13"/>
      <c r="H27" s="6"/>
      <c r="I27" s="6"/>
      <c r="J27" s="6"/>
      <c r="K27" s="6"/>
      <c r="L27" s="6"/>
      <c r="M27" s="6"/>
      <c r="N27" s="6"/>
    </row>
    <row r="28" spans="1:14">
      <c r="A28" s="5" t="s">
        <v>183</v>
      </c>
      <c r="B28" s="847">
        <v>300</v>
      </c>
      <c r="C28" s="846" t="s">
        <v>184</v>
      </c>
      <c r="D28" s="13"/>
      <c r="E28" s="13"/>
      <c r="F28" s="13"/>
      <c r="H28" s="6"/>
      <c r="I28" s="6"/>
      <c r="J28" s="6"/>
      <c r="K28" s="6"/>
      <c r="L28" s="6"/>
      <c r="M28" s="6"/>
      <c r="N28" s="6"/>
    </row>
    <row r="29" spans="1:14">
      <c r="A29" s="5" t="s">
        <v>185</v>
      </c>
      <c r="B29" s="847">
        <v>0.22</v>
      </c>
      <c r="C29" s="846" t="s">
        <v>186</v>
      </c>
      <c r="D29" s="13"/>
      <c r="E29" s="13"/>
      <c r="F29" s="13"/>
      <c r="H29" s="6"/>
      <c r="I29" s="6"/>
      <c r="J29" s="6"/>
      <c r="K29" s="6"/>
      <c r="L29" s="6"/>
      <c r="M29" s="6"/>
      <c r="N29" s="6"/>
    </row>
    <row r="30" spans="1:14">
      <c r="A30" s="7" t="s">
        <v>187</v>
      </c>
      <c r="B30" s="662">
        <v>1.6</v>
      </c>
      <c r="C30" s="653" t="s">
        <v>188</v>
      </c>
      <c r="D30" s="653"/>
      <c r="E30" s="654"/>
      <c r="F30" s="653"/>
      <c r="G30" s="653"/>
      <c r="H30" s="655"/>
      <c r="I30" s="655"/>
      <c r="J30" s="656"/>
      <c r="K30" s="6"/>
      <c r="L30" s="6"/>
      <c r="M30" s="6"/>
      <c r="N30" s="6"/>
    </row>
    <row r="31" spans="1:14">
      <c r="A31" s="7" t="s">
        <v>189</v>
      </c>
      <c r="B31" s="662">
        <v>1</v>
      </c>
      <c r="C31" s="653" t="s">
        <v>174</v>
      </c>
      <c r="D31" s="653"/>
      <c r="E31" s="654"/>
      <c r="F31" s="653"/>
      <c r="G31" s="653"/>
      <c r="H31" s="655"/>
      <c r="I31" s="655"/>
      <c r="J31" s="656"/>
      <c r="K31" s="6"/>
      <c r="L31" s="6"/>
      <c r="M31" s="6"/>
      <c r="N31" s="6"/>
    </row>
    <row r="32" spans="1:14" ht="19.5" customHeight="1">
      <c r="A32" s="7" t="s">
        <v>190</v>
      </c>
      <c r="B32" s="663">
        <v>278</v>
      </c>
      <c r="C32" s="653" t="s">
        <v>191</v>
      </c>
      <c r="D32" s="653"/>
      <c r="E32" s="654"/>
      <c r="F32" s="653"/>
      <c r="G32" s="653"/>
      <c r="H32" s="655"/>
      <c r="I32" s="655"/>
      <c r="J32" s="656"/>
      <c r="K32" s="6"/>
      <c r="L32" s="6"/>
      <c r="M32" s="6"/>
      <c r="N32" s="6"/>
    </row>
    <row r="33" spans="1:14">
      <c r="A33" s="7" t="s">
        <v>192</v>
      </c>
      <c r="B33" s="663">
        <v>0.25</v>
      </c>
      <c r="C33" s="653" t="s">
        <v>174</v>
      </c>
      <c r="D33" s="653"/>
      <c r="E33" s="654"/>
      <c r="F33" s="653"/>
      <c r="G33" s="653"/>
      <c r="H33" s="655"/>
      <c r="I33" s="655"/>
      <c r="J33" s="656"/>
      <c r="K33" s="6"/>
      <c r="L33" s="6"/>
      <c r="M33" s="6"/>
      <c r="N33" s="6"/>
    </row>
    <row r="34" spans="1:14">
      <c r="A34" s="7" t="s">
        <v>193</v>
      </c>
      <c r="B34" s="687">
        <v>2.0000000000000001E-4</v>
      </c>
      <c r="C34" s="653" t="s">
        <v>194</v>
      </c>
      <c r="D34" s="653"/>
      <c r="E34" s="654"/>
      <c r="F34" s="653"/>
      <c r="G34" s="653"/>
      <c r="H34" s="655"/>
      <c r="I34" s="655"/>
      <c r="J34" s="656"/>
      <c r="K34" s="6"/>
      <c r="L34" s="6"/>
      <c r="M34" s="6"/>
      <c r="N34" s="6"/>
    </row>
    <row r="35" spans="1:14">
      <c r="A35" s="7" t="s">
        <v>195</v>
      </c>
      <c r="B35" s="653">
        <v>0.1</v>
      </c>
      <c r="C35" s="653"/>
      <c r="D35" s="653"/>
      <c r="E35" s="654"/>
      <c r="F35" s="653"/>
      <c r="G35" s="653"/>
      <c r="H35" s="655"/>
      <c r="I35" s="655"/>
      <c r="J35" s="656"/>
      <c r="K35" s="6"/>
      <c r="L35" s="6"/>
      <c r="M35" s="6"/>
      <c r="N35" s="6"/>
    </row>
    <row r="36" spans="1:14" ht="17.45" customHeight="1">
      <c r="A36" s="7" t="s">
        <v>196</v>
      </c>
      <c r="B36" s="653">
        <v>0.1</v>
      </c>
      <c r="C36" s="653"/>
      <c r="D36" s="653"/>
      <c r="E36" s="654"/>
      <c r="F36" s="653"/>
      <c r="G36" s="653"/>
      <c r="H36" s="655"/>
      <c r="I36" s="655"/>
      <c r="J36" s="656"/>
      <c r="K36" s="6"/>
      <c r="L36" s="6"/>
      <c r="M36" s="6"/>
      <c r="N36" s="6"/>
    </row>
    <row r="37" spans="1:14">
      <c r="A37" s="7" t="s">
        <v>197</v>
      </c>
      <c r="B37" s="653">
        <v>0.01</v>
      </c>
      <c r="C37" s="653"/>
      <c r="D37" s="653"/>
      <c r="E37" s="654"/>
      <c r="F37" s="653"/>
      <c r="G37" s="653"/>
      <c r="H37" s="655"/>
      <c r="I37" s="655"/>
      <c r="J37" s="656"/>
      <c r="K37" s="6"/>
      <c r="L37" s="6"/>
      <c r="M37" s="6"/>
      <c r="N37" s="6"/>
    </row>
    <row r="38" spans="1:14">
      <c r="A38" s="7" t="s">
        <v>198</v>
      </c>
      <c r="B38" s="653">
        <v>852.11300000000006</v>
      </c>
      <c r="C38" s="653"/>
      <c r="D38" s="653"/>
      <c r="E38" s="654"/>
      <c r="F38" s="653"/>
      <c r="H38" s="655"/>
      <c r="I38" s="655"/>
      <c r="J38" s="656"/>
      <c r="K38" s="6"/>
      <c r="L38" s="6"/>
      <c r="M38" s="6"/>
      <c r="N38" s="6"/>
    </row>
    <row r="39" spans="1:14">
      <c r="A39" s="7" t="s">
        <v>199</v>
      </c>
      <c r="B39" s="672">
        <v>1.1739999999999999E-3</v>
      </c>
      <c r="C39" s="653"/>
      <c r="D39" s="653"/>
      <c r="E39" s="654"/>
      <c r="F39" s="653"/>
      <c r="H39" s="655"/>
      <c r="I39" s="655"/>
      <c r="J39" s="656"/>
      <c r="K39" s="6"/>
      <c r="L39" s="6"/>
      <c r="M39" s="6"/>
      <c r="N39" s="6"/>
    </row>
    <row r="40" spans="1:14">
      <c r="A40" s="7" t="s">
        <v>200</v>
      </c>
      <c r="B40" s="672">
        <v>1E-3</v>
      </c>
      <c r="C40" s="653"/>
      <c r="D40" s="653"/>
      <c r="E40" s="654"/>
      <c r="F40" s="653"/>
      <c r="H40" s="655"/>
      <c r="I40" s="655"/>
      <c r="J40" s="656"/>
      <c r="K40" s="6"/>
      <c r="L40" s="6"/>
      <c r="M40" s="6"/>
      <c r="N40" s="6"/>
    </row>
    <row r="41" spans="1:14">
      <c r="A41" s="7" t="s">
        <v>201</v>
      </c>
      <c r="B41" s="671">
        <v>2.8319999999999999</v>
      </c>
      <c r="C41" s="653"/>
      <c r="D41" s="653"/>
      <c r="E41" s="654"/>
      <c r="F41" s="653"/>
      <c r="H41" s="655"/>
      <c r="I41" s="655"/>
      <c r="J41" s="656"/>
      <c r="K41" s="6"/>
      <c r="L41" s="6"/>
      <c r="M41" s="6"/>
      <c r="N41" s="6"/>
    </row>
    <row r="42" spans="1:14">
      <c r="A42" s="7" t="s">
        <v>202</v>
      </c>
      <c r="B42" s="671">
        <v>1000000</v>
      </c>
      <c r="C42" s="653"/>
      <c r="D42" s="653"/>
      <c r="E42" s="654"/>
      <c r="F42" s="653"/>
      <c r="H42" s="655"/>
      <c r="I42" s="655"/>
      <c r="J42" s="656"/>
      <c r="K42" s="6"/>
      <c r="L42" s="6"/>
      <c r="M42" s="6"/>
      <c r="N42" s="6"/>
    </row>
    <row r="43" spans="1:14">
      <c r="A43" s="7" t="s">
        <v>203</v>
      </c>
      <c r="B43" s="671">
        <v>3.6</v>
      </c>
      <c r="C43" s="653"/>
      <c r="D43" s="653"/>
      <c r="E43" s="654"/>
      <c r="F43" s="653"/>
      <c r="H43" s="655"/>
      <c r="I43" s="655"/>
      <c r="J43" s="656"/>
      <c r="K43" s="6"/>
      <c r="L43" s="6"/>
      <c r="M43" s="6"/>
      <c r="N43" s="6"/>
    </row>
    <row r="44" spans="1:14">
      <c r="A44" s="7" t="s">
        <v>204</v>
      </c>
      <c r="B44" s="671">
        <v>1000</v>
      </c>
      <c r="C44" s="653"/>
      <c r="D44" s="653"/>
      <c r="E44" s="654"/>
      <c r="F44" s="653"/>
      <c r="H44" s="655"/>
      <c r="I44" s="655"/>
      <c r="J44" s="656"/>
      <c r="K44" s="6"/>
      <c r="L44" s="6"/>
      <c r="M44" s="6"/>
      <c r="N44" s="6"/>
    </row>
    <row r="45" spans="1:14">
      <c r="A45" s="7" t="s">
        <v>205</v>
      </c>
      <c r="B45" s="671">
        <v>3.6</v>
      </c>
      <c r="C45" s="653"/>
      <c r="D45" s="653"/>
      <c r="E45" s="654"/>
      <c r="F45" s="653"/>
      <c r="H45" s="655"/>
      <c r="I45" s="655"/>
      <c r="J45" s="656"/>
      <c r="K45" s="6"/>
      <c r="L45" s="6"/>
      <c r="M45" s="6"/>
      <c r="N45" s="6"/>
    </row>
    <row r="46" spans="1:14">
      <c r="A46" s="7" t="s">
        <v>206</v>
      </c>
      <c r="B46" s="671">
        <v>1000</v>
      </c>
      <c r="C46" s="653"/>
      <c r="D46" s="653"/>
      <c r="E46" s="654"/>
      <c r="F46" s="653"/>
      <c r="H46" s="655"/>
      <c r="I46" s="655"/>
      <c r="J46" s="656"/>
      <c r="K46" s="6"/>
      <c r="L46" s="6"/>
      <c r="M46" s="6"/>
      <c r="N46" s="6"/>
    </row>
    <row r="47" spans="1:14">
      <c r="A47" s="7" t="s">
        <v>207</v>
      </c>
      <c r="B47" s="671">
        <v>1</v>
      </c>
      <c r="C47" s="653"/>
      <c r="D47" s="653"/>
      <c r="E47" s="654"/>
      <c r="F47" s="653"/>
      <c r="H47" s="655"/>
      <c r="I47" s="655"/>
      <c r="J47" s="656"/>
      <c r="K47" s="6"/>
      <c r="L47" s="6"/>
      <c r="M47" s="6"/>
      <c r="N47" s="6"/>
    </row>
    <row r="48" spans="1:14">
      <c r="A48" s="7" t="s">
        <v>208</v>
      </c>
      <c r="B48" s="671">
        <v>1000</v>
      </c>
      <c r="C48" s="653"/>
      <c r="D48" s="653"/>
      <c r="E48" s="654"/>
      <c r="F48" s="653"/>
      <c r="H48" s="655"/>
      <c r="I48" s="655"/>
      <c r="J48" s="656"/>
      <c r="K48" s="6"/>
      <c r="L48" s="6"/>
      <c r="M48" s="6"/>
      <c r="N48" s="6"/>
    </row>
    <row r="49" spans="1:14" ht="16.5">
      <c r="A49" s="690" t="s">
        <v>209</v>
      </c>
      <c r="B49" s="671"/>
      <c r="C49" s="653"/>
      <c r="D49" s="653"/>
      <c r="E49" s="654"/>
      <c r="F49" s="653"/>
      <c r="H49" s="655"/>
      <c r="I49" s="655"/>
      <c r="J49" s="656"/>
      <c r="K49" s="6"/>
      <c r="L49" s="6"/>
      <c r="M49" s="6"/>
      <c r="N49" s="6"/>
    </row>
    <row r="50" spans="1:14" ht="21">
      <c r="A50" s="691" t="s">
        <v>210</v>
      </c>
      <c r="B50" s="671"/>
      <c r="C50" s="653"/>
      <c r="D50" s="653"/>
      <c r="E50" s="654"/>
      <c r="F50" s="653"/>
      <c r="H50" s="655"/>
      <c r="I50" s="655"/>
      <c r="J50" s="656"/>
      <c r="K50" s="6"/>
      <c r="L50" s="6"/>
      <c r="M50" s="6"/>
      <c r="N50" s="6"/>
    </row>
    <row r="51" spans="1:14">
      <c r="A51" s="7"/>
      <c r="B51" s="671"/>
      <c r="C51" s="653"/>
      <c r="D51" s="653"/>
      <c r="E51" s="654"/>
      <c r="F51" s="653"/>
      <c r="H51" s="655"/>
      <c r="I51" s="655"/>
      <c r="J51" s="656"/>
      <c r="K51" s="6"/>
      <c r="L51" s="6"/>
      <c r="M51" s="6"/>
      <c r="N51" s="6"/>
    </row>
    <row r="52" spans="1:14">
      <c r="A52" s="7"/>
      <c r="B52" s="671"/>
      <c r="C52" s="653"/>
      <c r="D52" s="653"/>
      <c r="E52" s="654"/>
      <c r="F52" s="653"/>
      <c r="H52" s="655"/>
      <c r="I52" s="655"/>
      <c r="J52" s="656"/>
      <c r="K52" s="6"/>
      <c r="L52" s="6"/>
      <c r="M52" s="6"/>
      <c r="N52" s="6"/>
    </row>
    <row r="53" spans="1:14">
      <c r="A53" s="9" t="s">
        <v>211</v>
      </c>
      <c r="B53" s="671"/>
      <c r="C53" s="653"/>
      <c r="D53" s="653"/>
      <c r="E53" s="654"/>
      <c r="F53" s="653"/>
      <c r="H53" s="655"/>
      <c r="I53" s="655"/>
      <c r="J53" s="656"/>
      <c r="K53" s="6"/>
      <c r="L53" s="6"/>
      <c r="M53" s="6"/>
      <c r="N53" s="6"/>
    </row>
    <row r="54" spans="1:14">
      <c r="A54" s="7" t="s">
        <v>212</v>
      </c>
      <c r="B54" s="673">
        <v>0</v>
      </c>
      <c r="C54" s="653" t="s">
        <v>213</v>
      </c>
      <c r="D54" s="653"/>
      <c r="E54" s="654"/>
      <c r="F54" s="653"/>
      <c r="H54" s="655"/>
      <c r="I54" s="655"/>
      <c r="J54" s="656"/>
      <c r="K54" s="6"/>
      <c r="L54" s="6"/>
      <c r="M54" s="6"/>
      <c r="N54" s="6"/>
    </row>
    <row r="55" spans="1:14">
      <c r="A55" s="7" t="s">
        <v>214</v>
      </c>
      <c r="B55" s="673">
        <f>0.0075</f>
        <v>7.4999999999999997E-3</v>
      </c>
      <c r="C55" s="653"/>
      <c r="D55" s="653"/>
      <c r="E55" s="654"/>
      <c r="F55" s="653"/>
      <c r="H55" s="655"/>
      <c r="I55" s="655"/>
      <c r="J55" s="656"/>
      <c r="K55" s="6"/>
      <c r="L55" s="6"/>
      <c r="M55" s="6"/>
      <c r="N55" s="6"/>
    </row>
    <row r="56" spans="1:14">
      <c r="A56" s="7" t="s">
        <v>215</v>
      </c>
      <c r="B56" s="673">
        <v>0.12</v>
      </c>
      <c r="C56" s="653" t="s">
        <v>216</v>
      </c>
      <c r="D56" s="653"/>
      <c r="E56" s="654"/>
      <c r="F56" s="653"/>
      <c r="H56" s="655"/>
      <c r="I56" s="655"/>
      <c r="J56" s="656"/>
      <c r="K56" s="6"/>
      <c r="L56" s="6"/>
      <c r="M56" s="6"/>
      <c r="N56" s="6"/>
    </row>
    <row r="57" spans="1:14">
      <c r="A57" s="7" t="s">
        <v>217</v>
      </c>
      <c r="B57" s="674">
        <v>0.2</v>
      </c>
      <c r="C57" s="653" t="s">
        <v>218</v>
      </c>
      <c r="D57" s="653"/>
      <c r="E57" s="654"/>
      <c r="F57" s="653"/>
      <c r="H57" s="655"/>
      <c r="I57" s="655"/>
      <c r="J57" s="656"/>
      <c r="K57" s="6"/>
      <c r="L57" s="6"/>
      <c r="M57" s="6"/>
      <c r="N57" s="6"/>
    </row>
    <row r="58" spans="1:14">
      <c r="A58" s="7"/>
      <c r="H58" s="8"/>
      <c r="I58" s="8"/>
      <c r="J58" s="6"/>
      <c r="K58" s="6"/>
      <c r="L58" s="6"/>
      <c r="M58" s="6"/>
      <c r="N58" s="6"/>
    </row>
    <row r="59" spans="1:14">
      <c r="A59" s="9" t="s">
        <v>219</v>
      </c>
      <c r="F59" s="13"/>
      <c r="H59" s="6"/>
      <c r="I59" s="6"/>
      <c r="J59" s="6"/>
      <c r="K59" s="6"/>
      <c r="L59" s="6"/>
      <c r="M59" s="6"/>
      <c r="N59" s="6"/>
    </row>
    <row r="60" spans="1:14">
      <c r="A60" s="10" t="s">
        <v>220</v>
      </c>
      <c r="B60" s="11">
        <v>20</v>
      </c>
      <c r="H60" s="6"/>
      <c r="I60" s="6"/>
      <c r="J60" s="6"/>
      <c r="K60" s="6"/>
      <c r="L60" s="6"/>
      <c r="M60" s="6"/>
      <c r="N60" s="6"/>
    </row>
    <row r="61" spans="1:14">
      <c r="A61" s="5" t="s">
        <v>221</v>
      </c>
      <c r="B61" s="12">
        <f>'Assump&amp;Est_Togo'!D24</f>
        <v>9447.0626634615401</v>
      </c>
      <c r="D61" s="13"/>
      <c r="E61" s="13"/>
      <c r="F61" s="13"/>
      <c r="H61" s="6"/>
      <c r="I61" s="6"/>
      <c r="J61" s="6"/>
      <c r="K61" s="6"/>
      <c r="L61" s="6"/>
      <c r="M61" s="6"/>
      <c r="N61" s="6"/>
    </row>
    <row r="62" spans="1:14">
      <c r="A62" s="5" t="s">
        <v>222</v>
      </c>
      <c r="B62" s="12">
        <f>B12*CapUtilFactorofBiodigester</f>
        <v>14344419.948200002</v>
      </c>
      <c r="D62" s="13"/>
      <c r="E62" s="13"/>
      <c r="F62" s="13"/>
      <c r="H62" s="6"/>
      <c r="I62" s="6"/>
      <c r="J62" s="6"/>
      <c r="K62" s="6"/>
      <c r="L62" s="6"/>
      <c r="M62" s="6"/>
      <c r="N62" s="6"/>
    </row>
    <row r="63" spans="1:14">
      <c r="A63" s="5" t="s">
        <v>223</v>
      </c>
      <c r="B63" s="12">
        <f>B62*EfficiencyValBiogas</f>
        <v>8606651.9689200018</v>
      </c>
      <c r="D63" s="13"/>
      <c r="E63" s="13"/>
      <c r="F63" s="13"/>
      <c r="H63" s="6"/>
      <c r="I63" s="6"/>
      <c r="J63" s="6"/>
      <c r="K63" s="6"/>
      <c r="L63" s="6"/>
      <c r="M63" s="6"/>
      <c r="N63" s="6"/>
    </row>
    <row r="64" spans="1:14">
      <c r="A64" s="5" t="s">
        <v>224</v>
      </c>
      <c r="B64" s="12">
        <f>(EValKerosene/EvalBiogas)*(B63*0.3)*(1/B40)*EfficiencyValKerosene</f>
        <v>317216601.1401943</v>
      </c>
      <c r="D64" s="13"/>
      <c r="E64" s="13"/>
      <c r="F64" s="13"/>
      <c r="H64" s="6"/>
      <c r="I64" s="6"/>
      <c r="J64" s="6"/>
      <c r="K64" s="6"/>
      <c r="L64" s="6"/>
      <c r="M64" s="6"/>
      <c r="N64" s="6"/>
    </row>
    <row r="65" spans="1:28">
      <c r="A65" s="5" t="s">
        <v>225</v>
      </c>
      <c r="B65" s="12">
        <f>(EvalFuelwood/EvalBiogas)*(B63*0.7)*(1/B41)*EfficiencyValFuelwood</f>
        <v>243125.76183389829</v>
      </c>
      <c r="D65" s="13"/>
      <c r="E65" s="13"/>
      <c r="F65" s="13"/>
      <c r="H65" s="6"/>
      <c r="I65" s="6"/>
      <c r="J65" s="6"/>
      <c r="K65" s="6"/>
      <c r="L65" s="6"/>
      <c r="M65" s="6"/>
      <c r="N65" s="6"/>
    </row>
    <row r="66" spans="1:28">
      <c r="A66" s="5" t="s">
        <v>226</v>
      </c>
      <c r="B66" s="12">
        <f>B62*ValRtUrea_Utilization*(1/B39)</f>
        <v>2443683.1257580929</v>
      </c>
      <c r="D66" s="13"/>
      <c r="E66" s="13"/>
      <c r="F66" s="13"/>
      <c r="H66" s="6"/>
      <c r="I66" s="6"/>
      <c r="J66" s="6"/>
      <c r="K66" s="6"/>
      <c r="L66" s="6"/>
      <c r="M66" s="6"/>
      <c r="N66" s="6"/>
    </row>
    <row r="67" spans="1:28">
      <c r="A67" s="7" t="s">
        <v>227</v>
      </c>
      <c r="B67" s="658">
        <f>B12*EvalBiogas*Efficiency*(1/B45)</f>
        <v>31378418.636687506</v>
      </c>
      <c r="C67" s="14"/>
      <c r="D67" s="11"/>
      <c r="E67" s="658"/>
      <c r="F67" s="693"/>
      <c r="H67" s="6"/>
      <c r="I67" s="6"/>
      <c r="J67" s="6"/>
      <c r="K67" s="6"/>
      <c r="L67" s="6"/>
      <c r="M67" s="6"/>
      <c r="N67" s="6"/>
    </row>
    <row r="68" spans="1:28">
      <c r="A68" s="7" t="s">
        <v>228</v>
      </c>
      <c r="B68" s="658">
        <f>B67*GensetCapacityUtilFac</f>
        <v>17246537.115842253</v>
      </c>
      <c r="C68" s="14"/>
      <c r="D68" s="11"/>
      <c r="E68" s="658"/>
      <c r="F68" s="693"/>
      <c r="H68" s="6"/>
      <c r="I68" s="6"/>
      <c r="J68" s="6"/>
      <c r="K68" s="6"/>
      <c r="L68" s="6"/>
      <c r="M68" s="6"/>
      <c r="N68" s="6"/>
    </row>
    <row r="69" spans="1:28">
      <c r="A69" s="7" t="s">
        <v>229</v>
      </c>
      <c r="B69" s="12">
        <f>B68/(365*12)</f>
        <v>3937.5655515621584</v>
      </c>
      <c r="C69" s="14"/>
      <c r="D69" s="11"/>
      <c r="E69" s="692"/>
      <c r="F69" s="11"/>
      <c r="H69" s="6"/>
      <c r="I69" s="6"/>
      <c r="J69" s="6"/>
      <c r="K69" s="6"/>
      <c r="L69" s="6"/>
      <c r="M69" s="6"/>
      <c r="N69" s="6"/>
    </row>
    <row r="70" spans="1:28">
      <c r="A70" s="7"/>
      <c r="B70" s="12"/>
      <c r="C70" s="14"/>
      <c r="D70" s="11"/>
      <c r="E70" s="11"/>
      <c r="F70" s="11"/>
      <c r="H70" s="6"/>
      <c r="I70" s="6"/>
      <c r="J70" s="6"/>
      <c r="K70" s="6"/>
      <c r="L70" s="6"/>
      <c r="M70" s="6"/>
      <c r="N70" s="6"/>
    </row>
    <row r="71" spans="1:28">
      <c r="A71" s="7"/>
      <c r="B71" s="12"/>
      <c r="C71" s="14"/>
      <c r="D71" s="11"/>
      <c r="E71" s="11"/>
      <c r="F71" s="11"/>
      <c r="H71" s="6"/>
      <c r="I71" s="6"/>
      <c r="J71" s="6"/>
      <c r="K71" s="6"/>
      <c r="L71" s="6"/>
      <c r="M71" s="6"/>
      <c r="N71" s="6"/>
    </row>
    <row r="72" spans="1:28">
      <c r="A72" s="7"/>
      <c r="B72" s="12"/>
      <c r="C72" s="14"/>
      <c r="D72" s="11"/>
      <c r="E72" s="11"/>
      <c r="F72" s="11"/>
      <c r="H72" s="6"/>
      <c r="I72" s="6"/>
      <c r="J72" s="6"/>
      <c r="K72" s="6"/>
      <c r="L72" s="6"/>
      <c r="M72" s="6"/>
      <c r="N72" s="6"/>
    </row>
    <row r="73" spans="1:28">
      <c r="A73" s="664" t="s">
        <v>230</v>
      </c>
      <c r="B73" s="665"/>
      <c r="C73" s="665" t="s">
        <v>231</v>
      </c>
      <c r="D73" s="665" t="s">
        <v>374</v>
      </c>
      <c r="E73" s="670" t="s">
        <v>375</v>
      </c>
      <c r="F73" s="665" t="str">
        <f>'SolarPV Financial Analysis'!F75</f>
        <v>20X3</v>
      </c>
      <c r="G73" s="665" t="str">
        <f>'SolarPV Financial Analysis'!G75</f>
        <v>20X4</v>
      </c>
      <c r="H73" s="666" t="str">
        <f>'SolarPV Financial Analysis'!H75</f>
        <v>20X5</v>
      </c>
      <c r="I73" s="666" t="str">
        <f>'SolarPV Financial Analysis'!I75</f>
        <v>20X6</v>
      </c>
      <c r="J73" s="667" t="str">
        <f>'SolarPV Financial Analysis'!J75</f>
        <v>20X7</v>
      </c>
      <c r="K73" s="668" t="str">
        <f>'SolarPV Financial Analysis'!K75</f>
        <v>20X8</v>
      </c>
      <c r="L73" s="668" t="str">
        <f>'SolarPV Financial Analysis'!L75</f>
        <v>20X9</v>
      </c>
      <c r="M73" s="668" t="str">
        <f>'SolarPV Financial Analysis'!M75</f>
        <v>20X10</v>
      </c>
      <c r="N73" s="668" t="str">
        <f>'SolarPV Financial Analysis'!N75</f>
        <v>20X11</v>
      </c>
      <c r="O73" s="669" t="str">
        <f>'SolarPV Financial Analysis'!O75</f>
        <v>20X12</v>
      </c>
      <c r="P73" s="669" t="str">
        <f>'SolarPV Financial Analysis'!P75</f>
        <v>20X13</v>
      </c>
      <c r="Q73" s="669" t="str">
        <f>'SolarPV Financial Analysis'!Q75</f>
        <v>20X14</v>
      </c>
      <c r="R73" s="669" t="str">
        <f>'SolarPV Financial Analysis'!R75</f>
        <v>20X15</v>
      </c>
      <c r="S73" s="669" t="str">
        <f>'SolarPV Financial Analysis'!S75</f>
        <v>20X16</v>
      </c>
      <c r="T73" s="669" t="str">
        <f>'SolarPV Financial Analysis'!T75</f>
        <v>20X17</v>
      </c>
      <c r="U73" s="669" t="str">
        <f>'SolarPV Financial Analysis'!U75</f>
        <v>20X18</v>
      </c>
      <c r="V73" s="669" t="str">
        <f>'SolarPV Financial Analysis'!V75</f>
        <v>20X19</v>
      </c>
      <c r="W73" s="669" t="str">
        <f>'SolarPV Financial Analysis'!W75</f>
        <v>20X20</v>
      </c>
      <c r="X73" s="669" t="str">
        <f>'SolarPV Financial Analysis'!X75</f>
        <v>20X21</v>
      </c>
      <c r="Y73" s="669" t="str">
        <f>'SolarPV Financial Analysis'!Y75</f>
        <v>20X22</v>
      </c>
      <c r="Z73" s="669" t="str">
        <f>'SolarPV Financial Analysis'!Z75</f>
        <v>20X23</v>
      </c>
      <c r="AA73" s="669" t="str">
        <f>'SolarPV Financial Analysis'!AA75</f>
        <v>20X24</v>
      </c>
      <c r="AB73" s="669" t="str">
        <f>'SolarPV Financial Analysis'!AB75</f>
        <v>20X25</v>
      </c>
    </row>
    <row r="74" spans="1:28">
      <c r="A74" s="675"/>
      <c r="B74" s="676"/>
      <c r="C74" s="676" t="s">
        <v>257</v>
      </c>
      <c r="D74" s="676">
        <v>0</v>
      </c>
      <c r="E74" s="677">
        <v>1</v>
      </c>
      <c r="F74" s="676">
        <v>2</v>
      </c>
      <c r="G74" s="676">
        <v>3</v>
      </c>
      <c r="H74" s="677">
        <v>4</v>
      </c>
      <c r="I74" s="676">
        <v>5</v>
      </c>
      <c r="J74" s="676">
        <v>6</v>
      </c>
      <c r="K74" s="677">
        <v>7</v>
      </c>
      <c r="L74" s="676">
        <v>8</v>
      </c>
      <c r="M74" s="676">
        <v>9</v>
      </c>
      <c r="N74" s="677">
        <v>10</v>
      </c>
      <c r="O74" s="676">
        <v>11</v>
      </c>
      <c r="P74" s="676">
        <v>12</v>
      </c>
      <c r="Q74" s="677">
        <v>13</v>
      </c>
      <c r="R74" s="676">
        <v>14</v>
      </c>
      <c r="S74" s="676">
        <v>15</v>
      </c>
      <c r="T74" s="677">
        <v>16</v>
      </c>
      <c r="U74" s="676">
        <v>17</v>
      </c>
      <c r="V74" s="676">
        <v>18</v>
      </c>
      <c r="W74" s="677">
        <v>19</v>
      </c>
      <c r="X74" s="676">
        <v>20</v>
      </c>
      <c r="Y74" s="676">
        <v>21</v>
      </c>
      <c r="Z74" s="677">
        <v>22</v>
      </c>
      <c r="AA74" s="676">
        <v>23</v>
      </c>
      <c r="AB74" s="676">
        <v>24</v>
      </c>
    </row>
    <row r="75" spans="1:28">
      <c r="A75" s="5" t="s">
        <v>258</v>
      </c>
      <c r="B75" s="653">
        <f>TFCostBiodigester*B61</f>
        <v>2834118.7990384619</v>
      </c>
      <c r="C75" s="653"/>
      <c r="D75" s="653">
        <f>B75</f>
        <v>2834118.7990384619</v>
      </c>
      <c r="E75" s="654">
        <v>0</v>
      </c>
      <c r="F75" s="653">
        <v>0</v>
      </c>
      <c r="G75" s="653">
        <v>0</v>
      </c>
      <c r="H75" s="653">
        <v>0</v>
      </c>
      <c r="I75" s="653">
        <v>0</v>
      </c>
      <c r="J75" s="653">
        <v>0</v>
      </c>
      <c r="K75" s="653">
        <v>0</v>
      </c>
      <c r="L75" s="653">
        <v>0</v>
      </c>
      <c r="M75" s="653">
        <v>0</v>
      </c>
      <c r="N75" s="653">
        <v>0</v>
      </c>
      <c r="O75" s="653">
        <v>0</v>
      </c>
      <c r="P75" s="653">
        <v>0</v>
      </c>
      <c r="Q75" s="653">
        <v>0</v>
      </c>
      <c r="R75" s="653">
        <v>0</v>
      </c>
      <c r="S75" s="653">
        <v>0</v>
      </c>
      <c r="T75" s="653">
        <v>0</v>
      </c>
      <c r="U75" s="653">
        <v>0</v>
      </c>
      <c r="V75" s="653">
        <v>0</v>
      </c>
      <c r="W75" s="653">
        <v>0</v>
      </c>
      <c r="X75" s="653">
        <v>0</v>
      </c>
      <c r="Y75" s="653">
        <v>0</v>
      </c>
      <c r="Z75" s="653">
        <v>0</v>
      </c>
      <c r="AA75" s="653">
        <v>0</v>
      </c>
      <c r="AB75" s="653">
        <v>0</v>
      </c>
    </row>
    <row r="76" spans="1:28">
      <c r="A76" s="5" t="s">
        <v>259</v>
      </c>
      <c r="B76" s="653">
        <f>B75*0.05</f>
        <v>141705.93995192309</v>
      </c>
      <c r="C76" s="653"/>
      <c r="D76" s="653">
        <f>B76</f>
        <v>141705.93995192309</v>
      </c>
      <c r="E76" s="653">
        <v>284932.26917696296</v>
      </c>
      <c r="F76" s="653">
        <v>284932.26917696296</v>
      </c>
      <c r="G76" s="653">
        <v>284932.26917696296</v>
      </c>
      <c r="H76" s="653">
        <v>284932.26917696296</v>
      </c>
      <c r="I76" s="653">
        <v>284932.26917696296</v>
      </c>
      <c r="J76" s="653">
        <v>284932.26917696296</v>
      </c>
      <c r="K76" s="653">
        <v>284932.26917696296</v>
      </c>
      <c r="L76" s="653">
        <v>284932.26917696296</v>
      </c>
      <c r="M76" s="653">
        <v>284932.26917696296</v>
      </c>
      <c r="N76" s="653">
        <v>284932.26917696296</v>
      </c>
      <c r="O76" s="653">
        <v>284932.26917696296</v>
      </c>
      <c r="P76" s="653">
        <v>284932.26917696296</v>
      </c>
      <c r="Q76" s="653">
        <v>284932.26917696296</v>
      </c>
      <c r="R76" s="653">
        <v>284932.26917696296</v>
      </c>
      <c r="S76" s="653">
        <v>284932.26917696296</v>
      </c>
      <c r="T76" s="653">
        <v>284932.26917696296</v>
      </c>
      <c r="U76" s="653">
        <v>284932.26917696296</v>
      </c>
      <c r="V76" s="653">
        <v>284932.26917696296</v>
      </c>
      <c r="W76" s="653">
        <v>284932.26917696296</v>
      </c>
      <c r="X76" s="653">
        <v>284932.26917696296</v>
      </c>
      <c r="Y76" s="653">
        <v>284932.26917696296</v>
      </c>
      <c r="Z76" s="653">
        <v>284932.26917696296</v>
      </c>
      <c r="AA76" s="653">
        <v>284932.26917696296</v>
      </c>
      <c r="AB76" s="653">
        <v>284932.26917696296</v>
      </c>
    </row>
    <row r="77" spans="1:28">
      <c r="A77" s="7" t="s">
        <v>260</v>
      </c>
      <c r="B77" s="12">
        <f>SUM(B75:B76)</f>
        <v>2975824.7389903851</v>
      </c>
      <c r="C77" s="14"/>
      <c r="D77" s="14">
        <f>SUM(D75:D76)</f>
        <v>2975824.7389903851</v>
      </c>
      <c r="E77" s="14">
        <f t="shared" ref="E77:AB77" si="8">SUM(E75:E76)</f>
        <v>284932.26917696296</v>
      </c>
      <c r="F77" s="14">
        <f t="shared" si="8"/>
        <v>284932.26917696296</v>
      </c>
      <c r="G77" s="14">
        <f t="shared" si="8"/>
        <v>284932.26917696296</v>
      </c>
      <c r="H77" s="14">
        <f t="shared" si="8"/>
        <v>284932.26917696296</v>
      </c>
      <c r="I77" s="14">
        <f t="shared" si="8"/>
        <v>284932.26917696296</v>
      </c>
      <c r="J77" s="14">
        <f t="shared" si="8"/>
        <v>284932.26917696296</v>
      </c>
      <c r="K77" s="14">
        <f t="shared" si="8"/>
        <v>284932.26917696296</v>
      </c>
      <c r="L77" s="14">
        <f t="shared" si="8"/>
        <v>284932.26917696296</v>
      </c>
      <c r="M77" s="14">
        <f t="shared" si="8"/>
        <v>284932.26917696296</v>
      </c>
      <c r="N77" s="14">
        <f t="shared" si="8"/>
        <v>284932.26917696296</v>
      </c>
      <c r="O77" s="14">
        <f t="shared" si="8"/>
        <v>284932.26917696296</v>
      </c>
      <c r="P77" s="14">
        <f t="shared" si="8"/>
        <v>284932.26917696296</v>
      </c>
      <c r="Q77" s="14">
        <f t="shared" si="8"/>
        <v>284932.26917696296</v>
      </c>
      <c r="R77" s="14">
        <f t="shared" si="8"/>
        <v>284932.26917696296</v>
      </c>
      <c r="S77" s="14">
        <f t="shared" si="8"/>
        <v>284932.26917696296</v>
      </c>
      <c r="T77" s="14">
        <f t="shared" si="8"/>
        <v>284932.26917696296</v>
      </c>
      <c r="U77" s="14">
        <f t="shared" si="8"/>
        <v>284932.26917696296</v>
      </c>
      <c r="V77" s="14">
        <f t="shared" si="8"/>
        <v>284932.26917696296</v>
      </c>
      <c r="W77" s="14">
        <f t="shared" si="8"/>
        <v>284932.26917696296</v>
      </c>
      <c r="X77" s="14">
        <f t="shared" si="8"/>
        <v>284932.26917696296</v>
      </c>
      <c r="Y77" s="14">
        <f t="shared" si="8"/>
        <v>284932.26917696296</v>
      </c>
      <c r="Z77" s="14">
        <f t="shared" si="8"/>
        <v>284932.26917696296</v>
      </c>
      <c r="AA77" s="14">
        <f t="shared" si="8"/>
        <v>284932.26917696296</v>
      </c>
      <c r="AB77" s="14">
        <f t="shared" si="8"/>
        <v>284932.26917696296</v>
      </c>
    </row>
    <row r="78" spans="1:28">
      <c r="A78" s="7" t="s">
        <v>261</v>
      </c>
      <c r="C78" s="14"/>
      <c r="D78" s="678">
        <f t="shared" ref="D78:AB78" si="9">(D77)/(1+SocDiscountRate)^D74</f>
        <v>2975824.7389903851</v>
      </c>
      <c r="E78" s="678">
        <f t="shared" si="9"/>
        <v>254403.81176514548</v>
      </c>
      <c r="F78" s="678">
        <f t="shared" si="9"/>
        <v>227146.26050459416</v>
      </c>
      <c r="G78" s="678">
        <f t="shared" si="9"/>
        <v>202809.16116481618</v>
      </c>
      <c r="H78" s="678">
        <f t="shared" si="9"/>
        <v>181079.6081828716</v>
      </c>
      <c r="I78" s="678">
        <f t="shared" si="9"/>
        <v>161678.22159184964</v>
      </c>
      <c r="J78" s="678">
        <f t="shared" si="9"/>
        <v>144355.55499272287</v>
      </c>
      <c r="K78" s="678">
        <f t="shared" si="9"/>
        <v>128888.8883863597</v>
      </c>
      <c r="L78" s="678">
        <f t="shared" si="9"/>
        <v>115079.3646306783</v>
      </c>
      <c r="M78" s="660">
        <f t="shared" si="9"/>
        <v>102749.43270596277</v>
      </c>
      <c r="N78" s="660">
        <f t="shared" si="9"/>
        <v>91740.564916038173</v>
      </c>
      <c r="O78" s="660">
        <f t="shared" si="9"/>
        <v>81911.218675034077</v>
      </c>
      <c r="P78" s="660">
        <f t="shared" si="9"/>
        <v>73135.016674137572</v>
      </c>
      <c r="Q78" s="660">
        <f t="shared" si="9"/>
        <v>65299.122030479964</v>
      </c>
      <c r="R78" s="660">
        <f t="shared" si="9"/>
        <v>58302.787527214248</v>
      </c>
      <c r="S78" s="660">
        <f t="shared" si="9"/>
        <v>52056.060292155584</v>
      </c>
      <c r="T78" s="660">
        <f t="shared" si="9"/>
        <v>46478.625260853187</v>
      </c>
      <c r="U78" s="660">
        <f t="shared" si="9"/>
        <v>41498.772554333198</v>
      </c>
      <c r="V78" s="660">
        <f t="shared" si="9"/>
        <v>37052.47549494035</v>
      </c>
      <c r="W78" s="660">
        <f t="shared" si="9"/>
        <v>33082.567406196744</v>
      </c>
      <c r="X78" s="660">
        <f t="shared" si="9"/>
        <v>29538.006612675665</v>
      </c>
      <c r="Y78" s="660">
        <f t="shared" si="9"/>
        <v>26373.220189888983</v>
      </c>
      <c r="Z78" s="660">
        <f t="shared" si="9"/>
        <v>23547.51802668659</v>
      </c>
      <c r="AA78" s="660">
        <f t="shared" si="9"/>
        <v>21024.569666684456</v>
      </c>
      <c r="AB78" s="660">
        <f t="shared" si="9"/>
        <v>18771.937202396835</v>
      </c>
    </row>
    <row r="79" spans="1:28">
      <c r="A79" s="7" t="s">
        <v>262</v>
      </c>
      <c r="B79" s="12"/>
      <c r="C79" s="14"/>
      <c r="D79" s="678">
        <f t="shared" ref="D79:AB79" si="10">(D77)/(1+EscoDiscountRate)^D74</f>
        <v>2975824.7389903851</v>
      </c>
      <c r="E79" s="678">
        <f t="shared" si="10"/>
        <v>237443.55764746913</v>
      </c>
      <c r="F79" s="678">
        <f t="shared" si="10"/>
        <v>197869.63137289096</v>
      </c>
      <c r="G79" s="678">
        <f t="shared" si="10"/>
        <v>164891.35947740913</v>
      </c>
      <c r="H79" s="678">
        <f t="shared" si="10"/>
        <v>137409.46623117427</v>
      </c>
      <c r="I79" s="678">
        <f t="shared" si="10"/>
        <v>114507.88852597856</v>
      </c>
      <c r="J79" s="678">
        <f t="shared" si="10"/>
        <v>95423.240438315464</v>
      </c>
      <c r="K79" s="678">
        <f t="shared" si="10"/>
        <v>79519.367031929563</v>
      </c>
      <c r="L79" s="678">
        <f t="shared" si="10"/>
        <v>66266.139193274634</v>
      </c>
      <c r="M79" s="678">
        <f t="shared" si="10"/>
        <v>55221.782661062192</v>
      </c>
      <c r="N79" s="678">
        <f t="shared" si="10"/>
        <v>46018.152217551833</v>
      </c>
      <c r="O79" s="678">
        <f t="shared" si="10"/>
        <v>38348.460181293194</v>
      </c>
      <c r="P79" s="678">
        <f t="shared" si="10"/>
        <v>31957.050151077663</v>
      </c>
      <c r="Q79" s="678">
        <f t="shared" si="10"/>
        <v>26630.875125898052</v>
      </c>
      <c r="R79" s="678">
        <f t="shared" si="10"/>
        <v>22192.395938248377</v>
      </c>
      <c r="S79" s="678">
        <f t="shared" si="10"/>
        <v>18493.663281873647</v>
      </c>
      <c r="T79" s="678">
        <f t="shared" si="10"/>
        <v>15411.386068228043</v>
      </c>
      <c r="U79" s="678">
        <f t="shared" si="10"/>
        <v>12842.821723523368</v>
      </c>
      <c r="V79" s="678">
        <f t="shared" si="10"/>
        <v>10702.351436269473</v>
      </c>
      <c r="W79" s="678">
        <f t="shared" si="10"/>
        <v>8918.6261968912277</v>
      </c>
      <c r="X79" s="678">
        <f t="shared" si="10"/>
        <v>7432.1884974093564</v>
      </c>
      <c r="Y79" s="678">
        <f t="shared" si="10"/>
        <v>6193.4904145077971</v>
      </c>
      <c r="Z79" s="678">
        <f t="shared" si="10"/>
        <v>5161.2420120898314</v>
      </c>
      <c r="AA79" s="678">
        <f t="shared" si="10"/>
        <v>4301.0350100748601</v>
      </c>
      <c r="AB79" s="678">
        <f t="shared" si="10"/>
        <v>3584.1958417290498</v>
      </c>
    </row>
    <row r="80" spans="1:28">
      <c r="A80" s="7"/>
      <c r="B80" s="12"/>
      <c r="C80" s="14"/>
      <c r="D80" s="14"/>
      <c r="E80" s="14"/>
      <c r="F80" s="14"/>
      <c r="G80" s="14"/>
      <c r="H80" s="14"/>
      <c r="I80" s="14"/>
      <c r="J80" s="14"/>
      <c r="K80" s="14"/>
      <c r="L80" s="14"/>
      <c r="M80" s="14"/>
      <c r="N80" s="14"/>
      <c r="O80" s="14"/>
      <c r="P80" s="14"/>
      <c r="Q80" s="14"/>
      <c r="R80" s="14"/>
      <c r="S80" s="14"/>
      <c r="T80" s="14"/>
      <c r="U80" s="14"/>
      <c r="V80" s="14"/>
      <c r="W80" s="14"/>
      <c r="X80" s="14"/>
      <c r="Y80" s="14"/>
      <c r="Z80" s="14"/>
      <c r="AA80" s="14"/>
      <c r="AB80" s="14"/>
    </row>
    <row r="81" spans="1:30">
      <c r="A81" s="684" t="s">
        <v>263</v>
      </c>
      <c r="B81" s="685"/>
      <c r="C81" s="686"/>
      <c r="D81" s="686" t="s">
        <v>374</v>
      </c>
      <c r="E81" s="686" t="s">
        <v>375</v>
      </c>
      <c r="F81" s="686" t="s">
        <v>376</v>
      </c>
      <c r="G81" s="686" t="s">
        <v>377</v>
      </c>
      <c r="H81" s="686" t="s">
        <v>378</v>
      </c>
      <c r="I81" s="686" t="s">
        <v>379</v>
      </c>
      <c r="J81" s="686" t="s">
        <v>380</v>
      </c>
      <c r="K81" s="686" t="s">
        <v>381</v>
      </c>
      <c r="L81" s="686" t="s">
        <v>382</v>
      </c>
      <c r="M81" s="686" t="s">
        <v>383</v>
      </c>
      <c r="N81" s="686" t="s">
        <v>384</v>
      </c>
      <c r="O81" s="686" t="s">
        <v>385</v>
      </c>
      <c r="P81" s="686" t="s">
        <v>386</v>
      </c>
      <c r="Q81" s="686" t="s">
        <v>387</v>
      </c>
      <c r="R81" s="686" t="s">
        <v>388</v>
      </c>
      <c r="S81" s="686" t="s">
        <v>389</v>
      </c>
      <c r="T81" s="686" t="s">
        <v>390</v>
      </c>
      <c r="U81" s="686" t="s">
        <v>391</v>
      </c>
      <c r="V81" s="686" t="s">
        <v>392</v>
      </c>
      <c r="W81" s="686" t="s">
        <v>393</v>
      </c>
      <c r="X81" s="686" t="s">
        <v>394</v>
      </c>
      <c r="Y81" s="686" t="s">
        <v>395</v>
      </c>
      <c r="Z81" s="686" t="s">
        <v>396</v>
      </c>
      <c r="AA81" s="686" t="s">
        <v>397</v>
      </c>
      <c r="AB81" s="686" t="s">
        <v>398</v>
      </c>
    </row>
    <row r="82" spans="1:30">
      <c r="A82" s="7" t="s">
        <v>264</v>
      </c>
      <c r="B82" s="12">
        <f>E12*AvePrice_per_cubic_meter_of_methane*ValUncertainty_and_Market_Adjustment</f>
        <v>241022.11617963054</v>
      </c>
      <c r="C82" s="14"/>
      <c r="D82" s="14">
        <f>B82</f>
        <v>241022.11617963054</v>
      </c>
      <c r="E82" s="848">
        <v>484634.94934659731</v>
      </c>
      <c r="F82" s="848">
        <v>484634.94934659731</v>
      </c>
      <c r="G82" s="848">
        <v>484634.94934659731</v>
      </c>
      <c r="H82" s="848">
        <v>484634.94934659731</v>
      </c>
      <c r="I82" s="848">
        <v>484634.94934659731</v>
      </c>
      <c r="J82" s="848">
        <v>484634.94934659731</v>
      </c>
      <c r="K82" s="848">
        <v>484634.94934659731</v>
      </c>
      <c r="L82" s="848">
        <v>484634.94934659731</v>
      </c>
      <c r="M82" s="848">
        <v>484634.94934659731</v>
      </c>
      <c r="N82" s="848">
        <v>484634.94934659731</v>
      </c>
      <c r="O82" s="848">
        <v>484634.94934659731</v>
      </c>
      <c r="P82" s="848">
        <v>484634.94934659731</v>
      </c>
      <c r="Q82" s="848">
        <v>484634.94934659731</v>
      </c>
      <c r="R82" s="848">
        <v>484634.94934659731</v>
      </c>
      <c r="S82" s="848">
        <v>484634.94934659731</v>
      </c>
      <c r="T82" s="848">
        <v>484634.94934659731</v>
      </c>
      <c r="U82" s="848">
        <v>484634.94934659731</v>
      </c>
      <c r="V82" s="848">
        <v>484634.94934659731</v>
      </c>
      <c r="W82" s="848">
        <v>484634.94934659731</v>
      </c>
      <c r="X82" s="848">
        <v>484634.94934659731</v>
      </c>
      <c r="Y82" s="848">
        <v>484634.94934659731</v>
      </c>
      <c r="Z82" s="848">
        <v>484634.94934659731</v>
      </c>
      <c r="AA82" s="848">
        <v>484634.94934659731</v>
      </c>
      <c r="AB82" s="848">
        <v>484634.94934659731</v>
      </c>
    </row>
    <row r="83" spans="1:30">
      <c r="A83" s="7" t="s">
        <v>265</v>
      </c>
      <c r="B83" s="12">
        <f>B66*AvPrice_of_Urea*ValUncertainty_and_Market_Adjustment</f>
        <v>61092.078143952327</v>
      </c>
      <c r="C83" s="14"/>
      <c r="D83" s="14">
        <f>B83</f>
        <v>61092.078143952327</v>
      </c>
      <c r="E83" s="848">
        <v>122839.62450831934</v>
      </c>
      <c r="F83" s="848">
        <v>122839.62450831934</v>
      </c>
      <c r="G83" s="848">
        <v>122839.62450831934</v>
      </c>
      <c r="H83" s="848">
        <v>122839.62450831934</v>
      </c>
      <c r="I83" s="848">
        <v>122839.62450831934</v>
      </c>
      <c r="J83" s="848">
        <v>122839.62450831934</v>
      </c>
      <c r="K83" s="848">
        <v>122839.62450831934</v>
      </c>
      <c r="L83" s="848">
        <v>122839.62450831934</v>
      </c>
      <c r="M83" s="848">
        <v>122839.62450831934</v>
      </c>
      <c r="N83" s="848">
        <v>122839.62450831934</v>
      </c>
      <c r="O83" s="848">
        <v>122839.62450831934</v>
      </c>
      <c r="P83" s="848">
        <v>122839.62450831934</v>
      </c>
      <c r="Q83" s="848">
        <v>122839.62450831934</v>
      </c>
      <c r="R83" s="848">
        <v>122839.62450831934</v>
      </c>
      <c r="S83" s="848">
        <v>122839.62450831934</v>
      </c>
      <c r="T83" s="848">
        <v>122839.62450831934</v>
      </c>
      <c r="U83" s="848">
        <v>122839.62450831934</v>
      </c>
      <c r="V83" s="848">
        <v>122839.62450831934</v>
      </c>
      <c r="W83" s="848">
        <v>122839.62450831934</v>
      </c>
      <c r="X83" s="848">
        <v>122839.62450831934</v>
      </c>
      <c r="Y83" s="848">
        <v>122839.62450831934</v>
      </c>
      <c r="Z83" s="848">
        <v>122839.62450831934</v>
      </c>
      <c r="AA83" s="848">
        <v>122839.62450831934</v>
      </c>
      <c r="AB83" s="848">
        <v>122839.62450831934</v>
      </c>
    </row>
    <row r="84" spans="1:30">
      <c r="A84" s="7" t="s">
        <v>266</v>
      </c>
      <c r="B84" s="12">
        <f>SUM(B82:B83)</f>
        <v>302114.19432358287</v>
      </c>
      <c r="C84" s="14"/>
      <c r="D84" s="14">
        <f>SUM(D82:D83)</f>
        <v>302114.19432358287</v>
      </c>
      <c r="E84" s="14">
        <f t="shared" ref="E84:AB84" si="11">SUM(E82:E83)</f>
        <v>607474.57385491661</v>
      </c>
      <c r="F84" s="14">
        <f t="shared" si="11"/>
        <v>607474.57385491661</v>
      </c>
      <c r="G84" s="14">
        <f t="shared" si="11"/>
        <v>607474.57385491661</v>
      </c>
      <c r="H84" s="14">
        <f t="shared" si="11"/>
        <v>607474.57385491661</v>
      </c>
      <c r="I84" s="14">
        <f t="shared" si="11"/>
        <v>607474.57385491661</v>
      </c>
      <c r="J84" s="14">
        <f t="shared" si="11"/>
        <v>607474.57385491661</v>
      </c>
      <c r="K84" s="14">
        <f t="shared" si="11"/>
        <v>607474.57385491661</v>
      </c>
      <c r="L84" s="14">
        <f t="shared" si="11"/>
        <v>607474.57385491661</v>
      </c>
      <c r="M84" s="14">
        <f t="shared" si="11"/>
        <v>607474.57385491661</v>
      </c>
      <c r="N84" s="14">
        <f t="shared" si="11"/>
        <v>607474.57385491661</v>
      </c>
      <c r="O84" s="14">
        <f t="shared" si="11"/>
        <v>607474.57385491661</v>
      </c>
      <c r="P84" s="14">
        <f t="shared" si="11"/>
        <v>607474.57385491661</v>
      </c>
      <c r="Q84" s="14">
        <f t="shared" si="11"/>
        <v>607474.57385491661</v>
      </c>
      <c r="R84" s="14">
        <f t="shared" si="11"/>
        <v>607474.57385491661</v>
      </c>
      <c r="S84" s="14">
        <f t="shared" si="11"/>
        <v>607474.57385491661</v>
      </c>
      <c r="T84" s="14">
        <f t="shared" si="11"/>
        <v>607474.57385491661</v>
      </c>
      <c r="U84" s="14">
        <f t="shared" si="11"/>
        <v>607474.57385491661</v>
      </c>
      <c r="V84" s="14">
        <f t="shared" si="11"/>
        <v>607474.57385491661</v>
      </c>
      <c r="W84" s="14">
        <f t="shared" si="11"/>
        <v>607474.57385491661</v>
      </c>
      <c r="X84" s="14">
        <f t="shared" si="11"/>
        <v>607474.57385491661</v>
      </c>
      <c r="Y84" s="14">
        <f t="shared" si="11"/>
        <v>607474.57385491661</v>
      </c>
      <c r="Z84" s="14">
        <f t="shared" si="11"/>
        <v>607474.57385491661</v>
      </c>
      <c r="AA84" s="14">
        <f t="shared" si="11"/>
        <v>607474.57385491661</v>
      </c>
      <c r="AB84" s="14">
        <f t="shared" si="11"/>
        <v>607474.57385491661</v>
      </c>
    </row>
    <row r="85" spans="1:30">
      <c r="A85" s="7" t="s">
        <v>267</v>
      </c>
      <c r="B85" s="12"/>
      <c r="C85" s="14"/>
      <c r="D85" s="678">
        <f t="shared" ref="D85:AB85" si="12">(D84)/(1+SocDiscountRate)^D74</f>
        <v>302114.19432358287</v>
      </c>
      <c r="E85" s="678">
        <f t="shared" si="12"/>
        <v>542388.01237046125</v>
      </c>
      <c r="F85" s="678">
        <f t="shared" si="12"/>
        <v>484275.01104505465</v>
      </c>
      <c r="G85" s="678">
        <f t="shared" si="12"/>
        <v>432388.40271879872</v>
      </c>
      <c r="H85" s="678">
        <f t="shared" si="12"/>
        <v>386061.07385607029</v>
      </c>
      <c r="I85" s="678">
        <f t="shared" si="12"/>
        <v>344697.38737149129</v>
      </c>
      <c r="J85" s="678">
        <f t="shared" si="12"/>
        <v>307765.52443883149</v>
      </c>
      <c r="K85" s="678">
        <f t="shared" si="12"/>
        <v>274790.64682038524</v>
      </c>
      <c r="L85" s="678">
        <f t="shared" si="12"/>
        <v>245348.7918039154</v>
      </c>
      <c r="M85" s="678">
        <f t="shared" si="12"/>
        <v>219061.42125349588</v>
      </c>
      <c r="N85" s="678">
        <f t="shared" si="12"/>
        <v>195590.5546906213</v>
      </c>
      <c r="O85" s="678">
        <f t="shared" si="12"/>
        <v>174634.42383091184</v>
      </c>
      <c r="P85" s="678">
        <f t="shared" si="12"/>
        <v>155923.5927061713</v>
      </c>
      <c r="Q85" s="678">
        <f t="shared" si="12"/>
        <v>139217.49348765292</v>
      </c>
      <c r="R85" s="678">
        <f t="shared" si="12"/>
        <v>124301.33347111868</v>
      </c>
      <c r="S85" s="678">
        <f t="shared" si="12"/>
        <v>110983.33345635596</v>
      </c>
      <c r="T85" s="678">
        <f t="shared" si="12"/>
        <v>99092.262014603519</v>
      </c>
      <c r="U85" s="678">
        <f t="shared" si="12"/>
        <v>88475.233941610277</v>
      </c>
      <c r="V85" s="678">
        <f t="shared" si="12"/>
        <v>78995.744590723465</v>
      </c>
      <c r="W85" s="678">
        <f t="shared" si="12"/>
        <v>70531.914813145937</v>
      </c>
      <c r="X85" s="678">
        <f t="shared" si="12"/>
        <v>62974.923940308872</v>
      </c>
      <c r="Y85" s="678">
        <f t="shared" si="12"/>
        <v>56227.610660990067</v>
      </c>
      <c r="Z85" s="678">
        <f t="shared" si="12"/>
        <v>50203.223804455411</v>
      </c>
      <c r="AA85" s="678">
        <f t="shared" si="12"/>
        <v>44824.306968263758</v>
      </c>
      <c r="AB85" s="678">
        <f t="shared" si="12"/>
        <v>40021.702650235493</v>
      </c>
    </row>
    <row r="86" spans="1:30">
      <c r="A86" s="7" t="s">
        <v>268</v>
      </c>
      <c r="B86" s="12"/>
      <c r="C86" s="14"/>
      <c r="D86" s="678">
        <f t="shared" ref="D86:AB86" si="13">(D84)/(1+EscoDiscountRate)^D74</f>
        <v>302114.19432358287</v>
      </c>
      <c r="E86" s="678">
        <f t="shared" si="13"/>
        <v>506228.81154576386</v>
      </c>
      <c r="F86" s="678">
        <f t="shared" si="13"/>
        <v>421857.3429548032</v>
      </c>
      <c r="G86" s="678">
        <f t="shared" si="13"/>
        <v>351547.78579566936</v>
      </c>
      <c r="H86" s="678">
        <f t="shared" si="13"/>
        <v>292956.48816305777</v>
      </c>
      <c r="I86" s="678">
        <f t="shared" si="13"/>
        <v>244130.40680254815</v>
      </c>
      <c r="J86" s="678">
        <f t="shared" si="13"/>
        <v>203442.00566879014</v>
      </c>
      <c r="K86" s="678">
        <f t="shared" si="13"/>
        <v>169535.00472399179</v>
      </c>
      <c r="L86" s="678">
        <f t="shared" si="13"/>
        <v>141279.17060332649</v>
      </c>
      <c r="M86" s="678">
        <f t="shared" si="13"/>
        <v>117732.64216943874</v>
      </c>
      <c r="N86" s="678">
        <f t="shared" si="13"/>
        <v>98110.535141198954</v>
      </c>
      <c r="O86" s="678">
        <f t="shared" si="13"/>
        <v>81758.779284332471</v>
      </c>
      <c r="P86" s="678">
        <f t="shared" si="13"/>
        <v>68132.316070277055</v>
      </c>
      <c r="Q86" s="678">
        <f t="shared" si="13"/>
        <v>56776.930058564212</v>
      </c>
      <c r="R86" s="678">
        <f t="shared" si="13"/>
        <v>47314.108382136852</v>
      </c>
      <c r="S86" s="678">
        <f t="shared" si="13"/>
        <v>39428.423651780708</v>
      </c>
      <c r="T86" s="678">
        <f t="shared" si="13"/>
        <v>32857.019709817258</v>
      </c>
      <c r="U86" s="678">
        <f t="shared" si="13"/>
        <v>27380.849758181048</v>
      </c>
      <c r="V86" s="678">
        <f t="shared" si="13"/>
        <v>22817.374798484208</v>
      </c>
      <c r="W86" s="678">
        <f t="shared" si="13"/>
        <v>19014.478998736839</v>
      </c>
      <c r="X86" s="678">
        <f t="shared" si="13"/>
        <v>15845.399165614033</v>
      </c>
      <c r="Y86" s="678">
        <f t="shared" si="13"/>
        <v>13204.499304678362</v>
      </c>
      <c r="Z86" s="678">
        <f t="shared" si="13"/>
        <v>11003.749420565302</v>
      </c>
      <c r="AA86" s="678">
        <f t="shared" si="13"/>
        <v>9169.7911838044183</v>
      </c>
      <c r="AB86" s="678">
        <f t="shared" si="13"/>
        <v>7641.4926531703495</v>
      </c>
    </row>
    <row r="87" spans="1:30">
      <c r="A87" s="7"/>
      <c r="B87" s="12"/>
      <c r="C87" s="14"/>
      <c r="D87" s="678"/>
      <c r="E87" s="678"/>
      <c r="F87" s="678"/>
      <c r="G87" s="678"/>
      <c r="H87" s="678"/>
      <c r="I87" s="678"/>
      <c r="J87" s="678"/>
      <c r="K87" s="678"/>
      <c r="L87" s="678"/>
      <c r="M87" s="678"/>
      <c r="N87" s="678"/>
      <c r="O87" s="678"/>
      <c r="P87" s="678"/>
      <c r="Q87" s="678"/>
      <c r="R87" s="678"/>
      <c r="S87" s="678"/>
      <c r="T87" s="678"/>
      <c r="U87" s="678"/>
      <c r="V87" s="678"/>
      <c r="W87" s="678"/>
      <c r="X87" s="678"/>
      <c r="Y87" s="678"/>
      <c r="Z87" s="678"/>
      <c r="AA87" s="678"/>
      <c r="AB87" s="678"/>
    </row>
    <row r="88" spans="1:30" s="700" customFormat="1">
      <c r="A88" s="698" t="s">
        <v>269</v>
      </c>
      <c r="B88" s="696"/>
      <c r="C88" s="697"/>
      <c r="D88" s="699">
        <f t="shared" ref="D88:AB88" si="14">D84-D77</f>
        <v>-2673710.544666802</v>
      </c>
      <c r="E88" s="699">
        <f t="shared" si="14"/>
        <v>322542.30467795365</v>
      </c>
      <c r="F88" s="699">
        <f t="shared" si="14"/>
        <v>322542.30467795365</v>
      </c>
      <c r="G88" s="699">
        <f t="shared" si="14"/>
        <v>322542.30467795365</v>
      </c>
      <c r="H88" s="699">
        <f t="shared" si="14"/>
        <v>322542.30467795365</v>
      </c>
      <c r="I88" s="699">
        <f t="shared" si="14"/>
        <v>322542.30467795365</v>
      </c>
      <c r="J88" s="699">
        <f t="shared" si="14"/>
        <v>322542.30467795365</v>
      </c>
      <c r="K88" s="699">
        <f t="shared" si="14"/>
        <v>322542.30467795365</v>
      </c>
      <c r="L88" s="699">
        <f t="shared" si="14"/>
        <v>322542.30467795365</v>
      </c>
      <c r="M88" s="699">
        <f t="shared" si="14"/>
        <v>322542.30467795365</v>
      </c>
      <c r="N88" s="699">
        <f t="shared" si="14"/>
        <v>322542.30467795365</v>
      </c>
      <c r="O88" s="699">
        <f t="shared" si="14"/>
        <v>322542.30467795365</v>
      </c>
      <c r="P88" s="699">
        <f t="shared" si="14"/>
        <v>322542.30467795365</v>
      </c>
      <c r="Q88" s="699">
        <f t="shared" si="14"/>
        <v>322542.30467795365</v>
      </c>
      <c r="R88" s="699">
        <f t="shared" si="14"/>
        <v>322542.30467795365</v>
      </c>
      <c r="S88" s="699">
        <f t="shared" si="14"/>
        <v>322542.30467795365</v>
      </c>
      <c r="T88" s="699">
        <f t="shared" si="14"/>
        <v>322542.30467795365</v>
      </c>
      <c r="U88" s="699">
        <f t="shared" si="14"/>
        <v>322542.30467795365</v>
      </c>
      <c r="V88" s="699">
        <f t="shared" si="14"/>
        <v>322542.30467795365</v>
      </c>
      <c r="W88" s="699">
        <f t="shared" si="14"/>
        <v>322542.30467795365</v>
      </c>
      <c r="X88" s="699">
        <f t="shared" si="14"/>
        <v>322542.30467795365</v>
      </c>
      <c r="Y88" s="699">
        <f t="shared" si="14"/>
        <v>322542.30467795365</v>
      </c>
      <c r="Z88" s="699">
        <f t="shared" si="14"/>
        <v>322542.30467795365</v>
      </c>
      <c r="AA88" s="699">
        <f t="shared" si="14"/>
        <v>322542.30467795365</v>
      </c>
      <c r="AB88" s="699">
        <f t="shared" si="14"/>
        <v>322542.30467795365</v>
      </c>
    </row>
    <row r="89" spans="1:30">
      <c r="A89" s="7"/>
      <c r="B89" s="12"/>
      <c r="C89" s="14"/>
      <c r="D89" s="14"/>
      <c r="E89" s="14"/>
      <c r="F89" s="14"/>
      <c r="G89" s="14"/>
      <c r="H89" s="14"/>
      <c r="I89" s="14"/>
      <c r="J89" s="14"/>
      <c r="K89" s="14"/>
      <c r="L89" s="14"/>
      <c r="M89" s="14"/>
      <c r="N89" s="14"/>
      <c r="O89" s="14"/>
      <c r="P89" s="14"/>
      <c r="Q89" s="14"/>
      <c r="R89" s="14"/>
      <c r="S89" s="14"/>
      <c r="T89" s="14"/>
      <c r="U89" s="14"/>
      <c r="V89" s="14"/>
      <c r="W89" s="14"/>
      <c r="X89" s="14"/>
      <c r="Y89" s="14"/>
      <c r="Z89" s="14"/>
      <c r="AA89" s="14"/>
      <c r="AB89" s="14"/>
    </row>
    <row r="90" spans="1:30">
      <c r="A90" s="7"/>
      <c r="B90" s="12"/>
      <c r="C90" s="14"/>
      <c r="D90" s="14"/>
      <c r="E90" s="14"/>
      <c r="F90" s="14"/>
      <c r="G90" s="14"/>
      <c r="H90" s="14"/>
      <c r="I90" s="14"/>
      <c r="J90" s="14"/>
      <c r="K90" s="14"/>
      <c r="L90" s="14"/>
      <c r="M90" s="14"/>
      <c r="N90" s="14"/>
      <c r="O90" s="14"/>
      <c r="P90" s="14"/>
      <c r="Q90" s="14"/>
      <c r="R90" s="14"/>
      <c r="S90" s="14"/>
      <c r="T90" s="14"/>
      <c r="U90" s="14"/>
      <c r="V90" s="14"/>
      <c r="W90" s="14"/>
      <c r="X90" s="14"/>
      <c r="Y90" s="14"/>
      <c r="Z90" s="14"/>
      <c r="AA90" s="14"/>
      <c r="AB90" s="14"/>
    </row>
    <row r="91" spans="1:30">
      <c r="A91" s="664" t="s">
        <v>270</v>
      </c>
      <c r="B91" s="665"/>
      <c r="C91" s="665"/>
      <c r="D91" s="665" t="s">
        <v>374</v>
      </c>
      <c r="E91" s="670" t="s">
        <v>375</v>
      </c>
      <c r="F91" s="665" t="s">
        <v>376</v>
      </c>
      <c r="G91" s="665" t="s">
        <v>377</v>
      </c>
      <c r="H91" s="666" t="s">
        <v>378</v>
      </c>
      <c r="I91" s="666" t="s">
        <v>379</v>
      </c>
      <c r="J91" s="667" t="s">
        <v>380</v>
      </c>
      <c r="K91" s="668" t="s">
        <v>381</v>
      </c>
      <c r="L91" s="668" t="s">
        <v>382</v>
      </c>
      <c r="M91" s="668" t="s">
        <v>383</v>
      </c>
      <c r="N91" s="668" t="s">
        <v>384</v>
      </c>
      <c r="O91" s="669" t="s">
        <v>385</v>
      </c>
      <c r="P91" s="669" t="s">
        <v>386</v>
      </c>
      <c r="Q91" s="669" t="s">
        <v>387</v>
      </c>
      <c r="R91" s="669" t="s">
        <v>388</v>
      </c>
      <c r="S91" s="669" t="s">
        <v>389</v>
      </c>
      <c r="T91" s="669" t="s">
        <v>390</v>
      </c>
      <c r="U91" s="669" t="s">
        <v>391</v>
      </c>
      <c r="V91" s="669" t="s">
        <v>392</v>
      </c>
      <c r="W91" s="669" t="s">
        <v>393</v>
      </c>
      <c r="X91" s="669" t="s">
        <v>394</v>
      </c>
      <c r="Y91" s="669" t="s">
        <v>395</v>
      </c>
      <c r="Z91" s="669" t="s">
        <v>396</v>
      </c>
      <c r="AA91" s="669" t="s">
        <v>397</v>
      </c>
      <c r="AB91" s="669" t="s">
        <v>398</v>
      </c>
    </row>
    <row r="92" spans="1:30">
      <c r="A92" s="7" t="s">
        <v>271</v>
      </c>
      <c r="B92" s="12">
        <f>(B64)*AvePrice_per_liter_of_Kerosene*ValUncertainty_and_Market_Adjustment_for_Kerosene*ValQuality_and_Standards_Agjustment</f>
        <v>507546.56182431098</v>
      </c>
      <c r="C92" s="14"/>
      <c r="D92" s="848">
        <f>B92</f>
        <v>507546.56182431098</v>
      </c>
      <c r="E92" s="848">
        <v>1020538.6847060258</v>
      </c>
      <c r="F92" s="848">
        <v>1020538.6847060258</v>
      </c>
      <c r="G92" s="848">
        <v>1020538.6847060258</v>
      </c>
      <c r="H92" s="848">
        <v>1020538.6847060258</v>
      </c>
      <c r="I92" s="848">
        <v>1020538.6847060258</v>
      </c>
      <c r="J92" s="848">
        <v>1020538.6847060258</v>
      </c>
      <c r="K92" s="848">
        <v>1020538.6847060258</v>
      </c>
      <c r="L92" s="848">
        <v>1020538.6847060258</v>
      </c>
      <c r="M92" s="848">
        <v>1020538.6847060258</v>
      </c>
      <c r="N92" s="848">
        <v>1020538.6847060258</v>
      </c>
      <c r="O92" s="848">
        <v>1020538.6847060258</v>
      </c>
      <c r="P92" s="848">
        <v>1020538.6847060258</v>
      </c>
      <c r="Q92" s="848">
        <v>1020538.6847060258</v>
      </c>
      <c r="R92" s="848">
        <v>1020538.6847060258</v>
      </c>
      <c r="S92" s="848">
        <v>1020538.6847060258</v>
      </c>
      <c r="T92" s="848">
        <v>1020538.6847060258</v>
      </c>
      <c r="U92" s="848">
        <v>1020538.6847060258</v>
      </c>
      <c r="V92" s="848">
        <v>1020538.6847060258</v>
      </c>
      <c r="W92" s="848">
        <v>1020538.6847060258</v>
      </c>
      <c r="X92" s="848">
        <v>1020538.6847060258</v>
      </c>
      <c r="Y92" s="848">
        <v>1020538.6847060258</v>
      </c>
      <c r="Z92" s="848">
        <v>1020538.6847060258</v>
      </c>
      <c r="AA92" s="848">
        <v>1020538.6847060258</v>
      </c>
      <c r="AB92" s="848">
        <v>1020538.6847060258</v>
      </c>
      <c r="AC92" s="846"/>
      <c r="AD92" s="846"/>
    </row>
    <row r="93" spans="1:30">
      <c r="A93" s="7" t="s">
        <v>272</v>
      </c>
      <c r="B93" s="12">
        <f>(B65)*AvPriceWood_charcoal*ValQuality_and_Standards_Agjustment*ValUncertainty_and_Market_Adjustment_for_Kerosene</f>
        <v>67588.961789823734</v>
      </c>
      <c r="C93" s="14"/>
      <c r="D93" s="848">
        <f>B93</f>
        <v>67588.961789823734</v>
      </c>
      <c r="E93" s="848">
        <v>135903.09806789554</v>
      </c>
      <c r="F93" s="848">
        <v>135903.09806789554</v>
      </c>
      <c r="G93" s="848">
        <v>135903.09806789554</v>
      </c>
      <c r="H93" s="848">
        <v>135903.09806789554</v>
      </c>
      <c r="I93" s="848">
        <v>135903.09806789554</v>
      </c>
      <c r="J93" s="848">
        <v>135903.09806789554</v>
      </c>
      <c r="K93" s="848">
        <v>135903.09806789554</v>
      </c>
      <c r="L93" s="848">
        <v>135903.09806789554</v>
      </c>
      <c r="M93" s="848">
        <v>135903.09806789554</v>
      </c>
      <c r="N93" s="848">
        <v>135903.09806789554</v>
      </c>
      <c r="O93" s="848">
        <v>135903.09806789554</v>
      </c>
      <c r="P93" s="848">
        <v>135903.09806789554</v>
      </c>
      <c r="Q93" s="848">
        <v>135903.09806789554</v>
      </c>
      <c r="R93" s="848">
        <v>135903.09806789554</v>
      </c>
      <c r="S93" s="848">
        <v>135903.09806789554</v>
      </c>
      <c r="T93" s="848">
        <v>135903.09806789554</v>
      </c>
      <c r="U93" s="848">
        <v>135903.09806789554</v>
      </c>
      <c r="V93" s="848">
        <v>135903.09806789554</v>
      </c>
      <c r="W93" s="848">
        <v>135903.09806789554</v>
      </c>
      <c r="X93" s="848">
        <v>135903.09806789554</v>
      </c>
      <c r="Y93" s="848">
        <v>135903.09806789554</v>
      </c>
      <c r="Z93" s="848">
        <v>135903.09806789554</v>
      </c>
      <c r="AA93" s="848">
        <v>135903.09806789554</v>
      </c>
      <c r="AB93" s="848">
        <v>135903.09806789554</v>
      </c>
      <c r="AC93" s="846"/>
      <c r="AD93" s="846"/>
    </row>
    <row r="94" spans="1:30">
      <c r="A94" s="7" t="s">
        <v>273</v>
      </c>
      <c r="B94" s="12">
        <f>B83</f>
        <v>61092.078143952327</v>
      </c>
      <c r="C94" s="14"/>
      <c r="D94" s="848">
        <f>B94</f>
        <v>61092.078143952327</v>
      </c>
      <c r="E94" s="848">
        <v>122839.62450831934</v>
      </c>
      <c r="F94" s="848">
        <v>122839.62450831934</v>
      </c>
      <c r="G94" s="848">
        <v>122839.62450831934</v>
      </c>
      <c r="H94" s="848">
        <v>122839.62450831934</v>
      </c>
      <c r="I94" s="848">
        <v>122839.62450831934</v>
      </c>
      <c r="J94" s="848">
        <v>122839.62450831934</v>
      </c>
      <c r="K94" s="848">
        <v>122839.62450831934</v>
      </c>
      <c r="L94" s="848">
        <v>122839.62450831934</v>
      </c>
      <c r="M94" s="848">
        <v>122839.62450831934</v>
      </c>
      <c r="N94" s="848">
        <v>122839.62450831934</v>
      </c>
      <c r="O94" s="848">
        <v>122839.62450831934</v>
      </c>
      <c r="P94" s="848">
        <v>122839.62450831934</v>
      </c>
      <c r="Q94" s="848">
        <v>122839.62450831934</v>
      </c>
      <c r="R94" s="848">
        <v>122839.62450831934</v>
      </c>
      <c r="S94" s="848">
        <v>122839.62450831934</v>
      </c>
      <c r="T94" s="848">
        <v>122839.62450831934</v>
      </c>
      <c r="U94" s="848">
        <v>122839.62450831934</v>
      </c>
      <c r="V94" s="848">
        <v>122839.62450831934</v>
      </c>
      <c r="W94" s="848">
        <v>122839.62450831934</v>
      </c>
      <c r="X94" s="848">
        <v>122839.62450831934</v>
      </c>
      <c r="Y94" s="848">
        <v>122839.62450831934</v>
      </c>
      <c r="Z94" s="848">
        <v>122839.62450831934</v>
      </c>
      <c r="AA94" s="848">
        <v>122839.62450831934</v>
      </c>
      <c r="AB94" s="848">
        <v>122839.62450831934</v>
      </c>
      <c r="AC94" s="846"/>
      <c r="AD94" s="846"/>
    </row>
    <row r="95" spans="1:30">
      <c r="A95" s="7" t="s">
        <v>274</v>
      </c>
      <c r="B95" s="12">
        <f>SUM(B92:B94)</f>
        <v>636227.60175808705</v>
      </c>
      <c r="C95" s="14"/>
      <c r="D95" s="14">
        <f>SUM(D92:D94)</f>
        <v>636227.60175808705</v>
      </c>
      <c r="E95" s="14">
        <f t="shared" ref="E95:AB95" si="15">SUM(E92:E94)</f>
        <v>1279281.4072822407</v>
      </c>
      <c r="F95" s="14">
        <f t="shared" si="15"/>
        <v>1279281.4072822407</v>
      </c>
      <c r="G95" s="14">
        <f t="shared" si="15"/>
        <v>1279281.4072822407</v>
      </c>
      <c r="H95" s="14">
        <f t="shared" si="15"/>
        <v>1279281.4072822407</v>
      </c>
      <c r="I95" s="14">
        <f t="shared" si="15"/>
        <v>1279281.4072822407</v>
      </c>
      <c r="J95" s="14">
        <f t="shared" si="15"/>
        <v>1279281.4072822407</v>
      </c>
      <c r="K95" s="14">
        <f t="shared" si="15"/>
        <v>1279281.4072822407</v>
      </c>
      <c r="L95" s="14">
        <f t="shared" si="15"/>
        <v>1279281.4072822407</v>
      </c>
      <c r="M95" s="14">
        <f t="shared" si="15"/>
        <v>1279281.4072822407</v>
      </c>
      <c r="N95" s="14">
        <f t="shared" si="15"/>
        <v>1279281.4072822407</v>
      </c>
      <c r="O95" s="14">
        <f t="shared" si="15"/>
        <v>1279281.4072822407</v>
      </c>
      <c r="P95" s="14">
        <f t="shared" si="15"/>
        <v>1279281.4072822407</v>
      </c>
      <c r="Q95" s="14">
        <f t="shared" si="15"/>
        <v>1279281.4072822407</v>
      </c>
      <c r="R95" s="14">
        <f t="shared" si="15"/>
        <v>1279281.4072822407</v>
      </c>
      <c r="S95" s="14">
        <f t="shared" si="15"/>
        <v>1279281.4072822407</v>
      </c>
      <c r="T95" s="14">
        <f t="shared" si="15"/>
        <v>1279281.4072822407</v>
      </c>
      <c r="U95" s="14">
        <f t="shared" si="15"/>
        <v>1279281.4072822407</v>
      </c>
      <c r="V95" s="14">
        <f t="shared" si="15"/>
        <v>1279281.4072822407</v>
      </c>
      <c r="W95" s="14">
        <f t="shared" si="15"/>
        <v>1279281.4072822407</v>
      </c>
      <c r="X95" s="14">
        <f t="shared" si="15"/>
        <v>1279281.4072822407</v>
      </c>
      <c r="Y95" s="14">
        <f t="shared" si="15"/>
        <v>1279281.4072822407</v>
      </c>
      <c r="Z95" s="14">
        <f t="shared" si="15"/>
        <v>1279281.4072822407</v>
      </c>
      <c r="AA95" s="14">
        <f t="shared" si="15"/>
        <v>1279281.4072822407</v>
      </c>
      <c r="AB95" s="14">
        <f t="shared" si="15"/>
        <v>1279281.4072822407</v>
      </c>
    </row>
    <row r="96" spans="1:30">
      <c r="A96" s="7" t="s">
        <v>275</v>
      </c>
      <c r="B96" s="12"/>
      <c r="C96" s="14"/>
      <c r="D96" s="678">
        <f t="shared" ref="D96:AB96" si="16">(D95)/(1+SocDiscountRate)^D74</f>
        <v>636227.60175808705</v>
      </c>
      <c r="E96" s="678">
        <f t="shared" si="16"/>
        <v>1142215.5422162863</v>
      </c>
      <c r="F96" s="678">
        <f t="shared" si="16"/>
        <v>1019835.3055502555</v>
      </c>
      <c r="G96" s="678">
        <f t="shared" si="16"/>
        <v>910567.23709844227</v>
      </c>
      <c r="H96" s="678">
        <f t="shared" si="16"/>
        <v>813006.46169503778</v>
      </c>
      <c r="I96" s="678">
        <f t="shared" si="16"/>
        <v>725898.62651342654</v>
      </c>
      <c r="J96" s="678">
        <f t="shared" si="16"/>
        <v>648123.77367270226</v>
      </c>
      <c r="K96" s="678">
        <f t="shared" si="16"/>
        <v>578681.94077919843</v>
      </c>
      <c r="L96" s="678">
        <f t="shared" si="16"/>
        <v>516680.30426714139</v>
      </c>
      <c r="M96" s="678">
        <f t="shared" si="16"/>
        <v>461321.70023851906</v>
      </c>
      <c r="N96" s="678">
        <f t="shared" si="16"/>
        <v>411894.37521296344</v>
      </c>
      <c r="O96" s="678">
        <f t="shared" si="16"/>
        <v>367762.83501157444</v>
      </c>
      <c r="P96" s="678">
        <f t="shared" si="16"/>
        <v>328359.6741174772</v>
      </c>
      <c r="Q96" s="678">
        <f t="shared" si="16"/>
        <v>293178.28046203317</v>
      </c>
      <c r="R96" s="678">
        <f t="shared" si="16"/>
        <v>261766.32184110102</v>
      </c>
      <c r="S96" s="678">
        <f t="shared" si="16"/>
        <v>233719.93021526877</v>
      </c>
      <c r="T96" s="678">
        <f t="shared" si="16"/>
        <v>208678.50912077565</v>
      </c>
      <c r="U96" s="678">
        <f t="shared" si="16"/>
        <v>186320.09742926396</v>
      </c>
      <c r="V96" s="678">
        <f t="shared" si="16"/>
        <v>166357.22984755709</v>
      </c>
      <c r="W96" s="678">
        <f t="shared" si="16"/>
        <v>148533.24093531881</v>
      </c>
      <c r="X96" s="678">
        <f t="shared" si="16"/>
        <v>132618.96512082039</v>
      </c>
      <c r="Y96" s="678">
        <f t="shared" si="16"/>
        <v>118409.79028644676</v>
      </c>
      <c r="Z96" s="678">
        <f t="shared" si="16"/>
        <v>105723.0270414703</v>
      </c>
      <c r="AA96" s="678">
        <f t="shared" si="16"/>
        <v>94395.559858455628</v>
      </c>
      <c r="AB96" s="678">
        <f t="shared" si="16"/>
        <v>84281.749873621098</v>
      </c>
    </row>
    <row r="97" spans="1:28">
      <c r="A97" s="7" t="s">
        <v>276</v>
      </c>
      <c r="B97" s="12"/>
      <c r="C97" s="14"/>
      <c r="D97" s="678">
        <f t="shared" ref="D97:AB97" si="17">(D95)/(1+EscoDiscountRate)^D74</f>
        <v>636227.60175808705</v>
      </c>
      <c r="E97" s="678">
        <f t="shared" si="17"/>
        <v>1066067.8394018672</v>
      </c>
      <c r="F97" s="678">
        <f t="shared" si="17"/>
        <v>888389.86616822274</v>
      </c>
      <c r="G97" s="678">
        <f t="shared" si="17"/>
        <v>740324.88847351889</v>
      </c>
      <c r="H97" s="678">
        <f t="shared" si="17"/>
        <v>616937.40706126578</v>
      </c>
      <c r="I97" s="678">
        <f t="shared" si="17"/>
        <v>514114.50588438817</v>
      </c>
      <c r="J97" s="678">
        <f t="shared" si="17"/>
        <v>428428.75490365684</v>
      </c>
      <c r="K97" s="678">
        <f t="shared" si="17"/>
        <v>357023.96241971402</v>
      </c>
      <c r="L97" s="678">
        <f t="shared" si="17"/>
        <v>297519.96868309501</v>
      </c>
      <c r="M97" s="678">
        <f t="shared" si="17"/>
        <v>247933.30723591251</v>
      </c>
      <c r="N97" s="678">
        <f t="shared" si="17"/>
        <v>206611.08936326043</v>
      </c>
      <c r="O97" s="678">
        <f t="shared" si="17"/>
        <v>172175.90780271703</v>
      </c>
      <c r="P97" s="678">
        <f t="shared" si="17"/>
        <v>143479.92316893087</v>
      </c>
      <c r="Q97" s="678">
        <f t="shared" si="17"/>
        <v>119566.60264077572</v>
      </c>
      <c r="R97" s="678">
        <f t="shared" si="17"/>
        <v>99638.835533979771</v>
      </c>
      <c r="S97" s="678">
        <f t="shared" si="17"/>
        <v>83032.36294498315</v>
      </c>
      <c r="T97" s="678">
        <f t="shared" si="17"/>
        <v>69193.635787485968</v>
      </c>
      <c r="U97" s="678">
        <f t="shared" si="17"/>
        <v>57661.363156238302</v>
      </c>
      <c r="V97" s="678">
        <f t="shared" si="17"/>
        <v>48051.135963531917</v>
      </c>
      <c r="W97" s="678">
        <f t="shared" si="17"/>
        <v>40042.613302943268</v>
      </c>
      <c r="X97" s="678">
        <f t="shared" si="17"/>
        <v>33368.844419119385</v>
      </c>
      <c r="Y97" s="678">
        <f t="shared" si="17"/>
        <v>27807.370349266159</v>
      </c>
      <c r="Z97" s="678">
        <f t="shared" si="17"/>
        <v>23172.808624388468</v>
      </c>
      <c r="AA97" s="678">
        <f t="shared" si="17"/>
        <v>19310.673853657056</v>
      </c>
      <c r="AB97" s="678">
        <f t="shared" si="17"/>
        <v>16092.22821138088</v>
      </c>
    </row>
    <row r="98" spans="1:28">
      <c r="A98" s="7"/>
      <c r="B98" s="12"/>
      <c r="C98" s="14"/>
      <c r="D98" s="678"/>
      <c r="E98" s="678"/>
      <c r="F98" s="678"/>
      <c r="G98" s="678"/>
      <c r="H98" s="678"/>
      <c r="I98" s="678"/>
      <c r="J98" s="678"/>
      <c r="K98" s="678"/>
      <c r="L98" s="678"/>
      <c r="M98" s="678"/>
      <c r="N98" s="678"/>
      <c r="O98" s="678"/>
      <c r="P98" s="678"/>
      <c r="Q98" s="678"/>
      <c r="R98" s="678"/>
      <c r="S98" s="678"/>
      <c r="T98" s="678"/>
      <c r="U98" s="678"/>
      <c r="V98" s="678"/>
      <c r="W98" s="678"/>
      <c r="X98" s="678"/>
      <c r="Y98" s="678"/>
      <c r="Z98" s="678"/>
      <c r="AA98" s="678"/>
      <c r="AB98" s="678"/>
    </row>
    <row r="99" spans="1:28">
      <c r="A99" s="664" t="s">
        <v>277</v>
      </c>
      <c r="B99" s="685"/>
      <c r="C99" s="686"/>
      <c r="D99" s="695"/>
      <c r="E99" s="695"/>
      <c r="F99" s="695"/>
      <c r="G99" s="695"/>
      <c r="H99" s="695"/>
      <c r="I99" s="695"/>
      <c r="J99" s="695"/>
      <c r="K99" s="695"/>
      <c r="L99" s="695"/>
      <c r="M99" s="695"/>
      <c r="N99" s="695"/>
      <c r="O99" s="695"/>
      <c r="P99" s="695"/>
      <c r="Q99" s="695"/>
      <c r="R99" s="695"/>
      <c r="S99" s="695"/>
      <c r="T99" s="695"/>
      <c r="U99" s="695"/>
      <c r="V99" s="695"/>
      <c r="W99" s="695"/>
      <c r="X99" s="695"/>
      <c r="Y99" s="695"/>
      <c r="Z99" s="695"/>
      <c r="AA99" s="695"/>
      <c r="AB99" s="695"/>
    </row>
    <row r="100" spans="1:28">
      <c r="A100" s="5" t="s">
        <v>278</v>
      </c>
      <c r="B100" s="12">
        <f>B64*B47*ValUncertainty_and_Market_Adjustment_for_Kerosene</f>
        <v>31721660.114019431</v>
      </c>
      <c r="C100" s="14"/>
      <c r="D100" s="678">
        <f t="shared" ref="D100:D105" si="18">B100</f>
        <v>31721660.114019431</v>
      </c>
      <c r="E100" s="678">
        <v>63783667.794126607</v>
      </c>
      <c r="F100" s="678">
        <v>63783667.794126607</v>
      </c>
      <c r="G100" s="678">
        <v>63783667.794126607</v>
      </c>
      <c r="H100" s="678">
        <v>63783667.794126607</v>
      </c>
      <c r="I100" s="678">
        <v>63783667.794126607</v>
      </c>
      <c r="J100" s="678">
        <v>63783667.794126607</v>
      </c>
      <c r="K100" s="678">
        <v>63783667.794126607</v>
      </c>
      <c r="L100" s="678">
        <v>63783667.794126607</v>
      </c>
      <c r="M100" s="678">
        <v>63783667.794126607</v>
      </c>
      <c r="N100" s="678">
        <v>63783667.794126607</v>
      </c>
      <c r="O100" s="678">
        <v>63783667.794126607</v>
      </c>
      <c r="P100" s="678">
        <v>63783667.794126607</v>
      </c>
      <c r="Q100" s="678">
        <v>63783667.794126607</v>
      </c>
      <c r="R100" s="678">
        <v>63783667.794126607</v>
      </c>
      <c r="S100" s="678">
        <v>63783667.794126607</v>
      </c>
      <c r="T100" s="678">
        <v>63783667.794126607</v>
      </c>
      <c r="U100" s="678">
        <v>63783667.794126607</v>
      </c>
      <c r="V100" s="678">
        <v>63783667.794126607</v>
      </c>
      <c r="W100" s="678">
        <v>63783667.794126607</v>
      </c>
      <c r="X100" s="678">
        <v>63783667.794126607</v>
      </c>
      <c r="Y100" s="678">
        <v>63783667.794126607</v>
      </c>
      <c r="Z100" s="678">
        <v>63783667.794126607</v>
      </c>
      <c r="AA100" s="678">
        <v>63783667.794126607</v>
      </c>
      <c r="AB100" s="678">
        <v>63783667.794126607</v>
      </c>
    </row>
    <row r="101" spans="1:28">
      <c r="A101" s="7" t="s">
        <v>279</v>
      </c>
      <c r="B101" s="12">
        <f>B100*EValKerosene*EfficiencyValKerosene*(1/B45)</f>
        <v>22733856.415047262</v>
      </c>
      <c r="C101" s="14"/>
      <c r="D101" s="678">
        <f t="shared" si="18"/>
        <v>22733856.415047262</v>
      </c>
      <c r="E101" s="678">
        <v>45711628.585790738</v>
      </c>
      <c r="F101" s="678">
        <v>45711628.585790738</v>
      </c>
      <c r="G101" s="678">
        <v>45711628.585790738</v>
      </c>
      <c r="H101" s="678">
        <v>45711628.585790738</v>
      </c>
      <c r="I101" s="678">
        <v>45711628.585790738</v>
      </c>
      <c r="J101" s="678">
        <v>45711628.585790738</v>
      </c>
      <c r="K101" s="678">
        <v>45711628.585790738</v>
      </c>
      <c r="L101" s="678">
        <v>45711628.585790738</v>
      </c>
      <c r="M101" s="678">
        <v>45711628.585790738</v>
      </c>
      <c r="N101" s="678">
        <v>45711628.585790738</v>
      </c>
      <c r="O101" s="678">
        <v>45711628.585790738</v>
      </c>
      <c r="P101" s="678">
        <v>45711628.585790738</v>
      </c>
      <c r="Q101" s="678">
        <v>45711628.585790738</v>
      </c>
      <c r="R101" s="678">
        <v>45711628.585790738</v>
      </c>
      <c r="S101" s="678">
        <v>45711628.585790738</v>
      </c>
      <c r="T101" s="678">
        <v>45711628.585790738</v>
      </c>
      <c r="U101" s="678">
        <v>45711628.585790738</v>
      </c>
      <c r="V101" s="678">
        <v>45711628.585790738</v>
      </c>
      <c r="W101" s="678">
        <v>45711628.585790738</v>
      </c>
      <c r="X101" s="678">
        <v>45711628.585790738</v>
      </c>
      <c r="Y101" s="678">
        <v>45711628.585790738</v>
      </c>
      <c r="Z101" s="678">
        <v>45711628.585790738</v>
      </c>
      <c r="AA101" s="678">
        <v>45711628.585790738</v>
      </c>
      <c r="AB101" s="678">
        <v>45711628.585790738</v>
      </c>
    </row>
    <row r="102" spans="1:28" ht="24.95">
      <c r="A102" s="7" t="s">
        <v>280</v>
      </c>
      <c r="B102" s="12">
        <f>B101*GensetCapacityUtilFac</f>
        <v>12495221.73147128</v>
      </c>
      <c r="C102" s="14"/>
      <c r="D102" s="678">
        <f t="shared" si="18"/>
        <v>12495221.73147128</v>
      </c>
      <c r="E102" s="678">
        <v>25124507.010964543</v>
      </c>
      <c r="F102" s="678">
        <v>25124507.010964543</v>
      </c>
      <c r="G102" s="678">
        <v>25124507.010964543</v>
      </c>
      <c r="H102" s="678">
        <v>25124507.010964543</v>
      </c>
      <c r="I102" s="678">
        <v>25124507.010964543</v>
      </c>
      <c r="J102" s="678">
        <v>25124507.010964543</v>
      </c>
      <c r="K102" s="678">
        <v>25124507.010964543</v>
      </c>
      <c r="L102" s="678">
        <v>25124507.010964543</v>
      </c>
      <c r="M102" s="678">
        <v>25124507.010964543</v>
      </c>
      <c r="N102" s="678">
        <v>25124507.010964543</v>
      </c>
      <c r="O102" s="678">
        <v>25124507.010964543</v>
      </c>
      <c r="P102" s="678">
        <v>25124507.010964543</v>
      </c>
      <c r="Q102" s="678">
        <v>25124507.010964543</v>
      </c>
      <c r="R102" s="678">
        <v>25124507.010964543</v>
      </c>
      <c r="S102" s="678">
        <v>25124507.010964543</v>
      </c>
      <c r="T102" s="678">
        <v>25124507.010964543</v>
      </c>
      <c r="U102" s="678">
        <v>25124507.010964543</v>
      </c>
      <c r="V102" s="678">
        <v>25124507.010964543</v>
      </c>
      <c r="W102" s="678">
        <v>25124507.010964543</v>
      </c>
      <c r="X102" s="678">
        <v>25124507.010964543</v>
      </c>
      <c r="Y102" s="678">
        <v>25124507.010964543</v>
      </c>
      <c r="Z102" s="678">
        <v>25124507.010964543</v>
      </c>
      <c r="AA102" s="678">
        <v>25124507.010964543</v>
      </c>
      <c r="AB102" s="678">
        <v>25124507.010964543</v>
      </c>
    </row>
    <row r="103" spans="1:28">
      <c r="A103" s="5" t="s">
        <v>281</v>
      </c>
      <c r="B103" s="12">
        <f>B65*B48*ValUncertainty_and_Market_Adjustment_for_Kerosene</f>
        <v>24312576.183389828</v>
      </c>
      <c r="C103" s="14"/>
      <c r="D103" s="678">
        <f t="shared" si="18"/>
        <v>24312576.183389828</v>
      </c>
      <c r="E103" s="678">
        <v>48886006.499242991</v>
      </c>
      <c r="F103" s="678">
        <v>48886006.499242991</v>
      </c>
      <c r="G103" s="678">
        <v>48886006.499242991</v>
      </c>
      <c r="H103" s="678">
        <v>48886006.499242991</v>
      </c>
      <c r="I103" s="678">
        <v>48886006.499242991</v>
      </c>
      <c r="J103" s="678">
        <v>48886006.499242991</v>
      </c>
      <c r="K103" s="678">
        <v>48886006.499242991</v>
      </c>
      <c r="L103" s="678">
        <v>48886006.499242991</v>
      </c>
      <c r="M103" s="678">
        <v>48886006.499242991</v>
      </c>
      <c r="N103" s="678">
        <v>48886006.499242991</v>
      </c>
      <c r="O103" s="678">
        <v>48886006.499242991</v>
      </c>
      <c r="P103" s="678">
        <v>48886006.499242991</v>
      </c>
      <c r="Q103" s="678">
        <v>48886006.499242991</v>
      </c>
      <c r="R103" s="678">
        <v>48886006.499242991</v>
      </c>
      <c r="S103" s="678">
        <v>48886006.499242991</v>
      </c>
      <c r="T103" s="678">
        <v>48886006.499242991</v>
      </c>
      <c r="U103" s="678">
        <v>48886006.499242991</v>
      </c>
      <c r="V103" s="678">
        <v>48886006.499242991</v>
      </c>
      <c r="W103" s="678">
        <v>48886006.499242991</v>
      </c>
      <c r="X103" s="678">
        <v>48886006.499242991</v>
      </c>
      <c r="Y103" s="678">
        <v>48886006.499242991</v>
      </c>
      <c r="Z103" s="678">
        <v>48886006.499242991</v>
      </c>
      <c r="AA103" s="678">
        <v>48886006.499242991</v>
      </c>
      <c r="AB103" s="678">
        <v>48886006.499242991</v>
      </c>
    </row>
    <row r="104" spans="1:28">
      <c r="A104" s="846" t="s">
        <v>282</v>
      </c>
      <c r="B104" s="694">
        <f>B103*EvalFuelwood*EfficiencyValFuelwood*(1/B45)</f>
        <v>16208384.122259885</v>
      </c>
      <c r="C104" s="14"/>
      <c r="D104" s="678">
        <f t="shared" si="18"/>
        <v>16208384.122259885</v>
      </c>
      <c r="E104" s="678">
        <v>32590670.999495327</v>
      </c>
      <c r="F104" s="678">
        <v>32590670.999495327</v>
      </c>
      <c r="G104" s="678">
        <v>32590670.999495327</v>
      </c>
      <c r="H104" s="678">
        <v>32590670.999495327</v>
      </c>
      <c r="I104" s="678">
        <v>32590670.999495327</v>
      </c>
      <c r="J104" s="678">
        <v>32590670.999495327</v>
      </c>
      <c r="K104" s="678">
        <v>32590670.999495327</v>
      </c>
      <c r="L104" s="678">
        <v>32590670.999495327</v>
      </c>
      <c r="M104" s="678">
        <v>32590670.999495327</v>
      </c>
      <c r="N104" s="678">
        <v>32590670.999495327</v>
      </c>
      <c r="O104" s="678">
        <v>32590670.999495327</v>
      </c>
      <c r="P104" s="678">
        <v>32590670.999495327</v>
      </c>
      <c r="Q104" s="678">
        <v>32590670.999495327</v>
      </c>
      <c r="R104" s="678">
        <v>32590670.999495327</v>
      </c>
      <c r="S104" s="678">
        <v>32590670.999495327</v>
      </c>
      <c r="T104" s="678">
        <v>32590670.999495327</v>
      </c>
      <c r="U104" s="678">
        <v>32590670.999495327</v>
      </c>
      <c r="V104" s="678">
        <v>32590670.999495327</v>
      </c>
      <c r="W104" s="678">
        <v>32590670.999495327</v>
      </c>
      <c r="X104" s="678">
        <v>32590670.999495327</v>
      </c>
      <c r="Y104" s="678">
        <v>32590670.999495327</v>
      </c>
      <c r="Z104" s="678">
        <v>32590670.999495327</v>
      </c>
      <c r="AA104" s="678">
        <v>32590670.999495327</v>
      </c>
      <c r="AB104" s="678">
        <v>32590670.999495327</v>
      </c>
    </row>
    <row r="105" spans="1:28" ht="24.95">
      <c r="A105" s="7" t="s">
        <v>283</v>
      </c>
      <c r="B105" s="12">
        <f>B104*GensetCapacityUtilFac</f>
        <v>8908622.88469656</v>
      </c>
      <c r="C105" s="14"/>
      <c r="D105" s="678">
        <f t="shared" si="18"/>
        <v>8908622.88469656</v>
      </c>
      <c r="E105" s="678">
        <v>17912828.034164313</v>
      </c>
      <c r="F105" s="678">
        <v>17912828.034164313</v>
      </c>
      <c r="G105" s="678">
        <v>17912828.034164313</v>
      </c>
      <c r="H105" s="678">
        <v>17912828.034164313</v>
      </c>
      <c r="I105" s="678">
        <v>17912828.034164313</v>
      </c>
      <c r="J105" s="678">
        <v>17912828.034164313</v>
      </c>
      <c r="K105" s="678">
        <v>17912828.034164313</v>
      </c>
      <c r="L105" s="678">
        <v>17912828.034164313</v>
      </c>
      <c r="M105" s="678">
        <v>17912828.034164313</v>
      </c>
      <c r="N105" s="678">
        <v>17912828.034164313</v>
      </c>
      <c r="O105" s="678">
        <v>17912828.034164313</v>
      </c>
      <c r="P105" s="678">
        <v>17912828.034164313</v>
      </c>
      <c r="Q105" s="678">
        <v>17912828.034164313</v>
      </c>
      <c r="R105" s="678">
        <v>17912828.034164313</v>
      </c>
      <c r="S105" s="678">
        <v>17912828.034164313</v>
      </c>
      <c r="T105" s="678">
        <v>17912828.034164313</v>
      </c>
      <c r="U105" s="678">
        <v>17912828.034164313</v>
      </c>
      <c r="V105" s="678">
        <v>17912828.034164313</v>
      </c>
      <c r="W105" s="678">
        <v>17912828.034164313</v>
      </c>
      <c r="X105" s="678">
        <v>17912828.034164313</v>
      </c>
      <c r="Y105" s="678">
        <v>17912828.034164313</v>
      </c>
      <c r="Z105" s="678">
        <v>17912828.034164313</v>
      </c>
      <c r="AA105" s="678">
        <v>17912828.034164313</v>
      </c>
      <c r="AB105" s="678">
        <v>17912828.034164313</v>
      </c>
    </row>
    <row r="106" spans="1:28">
      <c r="A106" s="7"/>
      <c r="B106" s="12"/>
      <c r="C106" s="14"/>
      <c r="D106" s="678"/>
      <c r="E106" s="678"/>
      <c r="F106" s="678"/>
      <c r="G106" s="678"/>
      <c r="H106" s="678"/>
      <c r="I106" s="678"/>
      <c r="J106" s="678"/>
      <c r="K106" s="678"/>
      <c r="L106" s="678"/>
      <c r="M106" s="678"/>
      <c r="N106" s="678"/>
      <c r="O106" s="678"/>
      <c r="P106" s="678"/>
      <c r="Q106" s="678"/>
      <c r="R106" s="678"/>
      <c r="S106" s="678"/>
      <c r="T106" s="678"/>
      <c r="U106" s="678"/>
      <c r="V106" s="678"/>
      <c r="W106" s="678"/>
      <c r="X106" s="678"/>
      <c r="Y106" s="678"/>
      <c r="Z106" s="678"/>
      <c r="AA106" s="678"/>
      <c r="AB106" s="678"/>
    </row>
    <row r="107" spans="1:28">
      <c r="A107" s="7"/>
      <c r="B107" s="12"/>
      <c r="C107" s="14"/>
      <c r="D107" s="678"/>
      <c r="E107" s="678"/>
      <c r="F107" s="678"/>
      <c r="G107" s="678"/>
      <c r="H107" s="678"/>
      <c r="I107" s="678"/>
      <c r="J107" s="678"/>
      <c r="K107" s="678"/>
      <c r="L107" s="678"/>
      <c r="M107" s="678"/>
      <c r="N107" s="678"/>
      <c r="O107" s="678"/>
      <c r="P107" s="678"/>
      <c r="Q107" s="678"/>
      <c r="R107" s="678"/>
      <c r="S107" s="678"/>
      <c r="T107" s="678"/>
      <c r="U107" s="678"/>
      <c r="V107" s="678"/>
      <c r="W107" s="678"/>
      <c r="X107" s="678"/>
      <c r="Y107" s="678"/>
      <c r="Z107" s="678"/>
      <c r="AA107" s="678"/>
      <c r="AB107" s="678"/>
    </row>
    <row r="108" spans="1:28">
      <c r="A108" s="7" t="s">
        <v>284</v>
      </c>
      <c r="B108" s="12"/>
      <c r="C108" s="14"/>
      <c r="D108" s="678"/>
      <c r="E108" s="678"/>
      <c r="F108" s="678"/>
      <c r="G108" s="678"/>
      <c r="H108" s="678"/>
      <c r="I108" s="678"/>
      <c r="J108" s="678"/>
      <c r="K108" s="678"/>
      <c r="L108" s="678"/>
      <c r="M108" s="678"/>
      <c r="N108" s="678"/>
      <c r="O108" s="678"/>
      <c r="P108" s="678"/>
      <c r="Q108" s="678"/>
      <c r="R108" s="678"/>
      <c r="S108" s="678"/>
      <c r="T108" s="678"/>
      <c r="U108" s="678"/>
      <c r="V108" s="678"/>
      <c r="W108" s="678"/>
      <c r="X108" s="678"/>
      <c r="Y108" s="678"/>
      <c r="Z108" s="678"/>
      <c r="AA108" s="678"/>
      <c r="AB108" s="678"/>
    </row>
    <row r="109" spans="1:28" ht="24.95">
      <c r="A109" s="7" t="s">
        <v>88</v>
      </c>
      <c r="B109" s="12">
        <f>B95</f>
        <v>636227.60175808705</v>
      </c>
      <c r="C109" s="14"/>
      <c r="D109" s="678"/>
      <c r="E109" s="678"/>
      <c r="F109" s="678"/>
      <c r="G109" s="678"/>
      <c r="H109" s="678"/>
      <c r="I109" s="678"/>
      <c r="J109" s="678"/>
      <c r="K109" s="678"/>
      <c r="L109" s="678"/>
      <c r="M109" s="678"/>
      <c r="N109" s="678"/>
      <c r="O109" s="678"/>
      <c r="P109" s="678"/>
      <c r="Q109" s="678"/>
      <c r="R109" s="678"/>
      <c r="S109" s="678"/>
      <c r="T109" s="678"/>
      <c r="U109" s="678"/>
      <c r="V109" s="678"/>
      <c r="W109" s="678"/>
      <c r="X109" s="678"/>
      <c r="Y109" s="678"/>
      <c r="Z109" s="678"/>
      <c r="AA109" s="678"/>
      <c r="AB109" s="678"/>
    </row>
    <row r="110" spans="1:28" ht="37.5">
      <c r="A110" s="7" t="s">
        <v>89</v>
      </c>
      <c r="B110" s="12">
        <f>SUM(D96:AB96)</f>
        <v>10594558.080163244</v>
      </c>
      <c r="C110" s="14"/>
      <c r="D110" s="678"/>
      <c r="E110" s="678"/>
      <c r="F110" s="678"/>
      <c r="G110" s="678"/>
      <c r="H110" s="678"/>
      <c r="I110" s="678"/>
      <c r="J110" s="678"/>
      <c r="K110" s="678"/>
      <c r="L110" s="678"/>
      <c r="M110" s="678"/>
      <c r="N110" s="678"/>
      <c r="O110" s="678"/>
      <c r="P110" s="678"/>
      <c r="Q110" s="678"/>
      <c r="R110" s="678"/>
      <c r="S110" s="678"/>
      <c r="T110" s="678"/>
      <c r="U110" s="678"/>
      <c r="V110" s="678"/>
      <c r="W110" s="678"/>
      <c r="X110" s="678"/>
      <c r="Y110" s="678"/>
      <c r="Z110" s="678"/>
      <c r="AA110" s="678"/>
      <c r="AB110" s="678"/>
    </row>
    <row r="111" spans="1:28" ht="37.5">
      <c r="A111" s="7" t="s">
        <v>90</v>
      </c>
      <c r="B111" s="12">
        <f>SUM(D97:AB97)</f>
        <v>6952173.4971123859</v>
      </c>
      <c r="C111" s="14"/>
      <c r="D111" s="678"/>
      <c r="E111" s="678"/>
      <c r="F111" s="678"/>
      <c r="G111" s="678"/>
      <c r="H111" s="678"/>
      <c r="I111" s="678"/>
      <c r="J111" s="678"/>
      <c r="K111" s="678"/>
      <c r="L111" s="678"/>
      <c r="M111" s="678"/>
      <c r="N111" s="678"/>
      <c r="O111" s="678"/>
      <c r="P111" s="678"/>
      <c r="Q111" s="678"/>
      <c r="R111" s="678"/>
      <c r="S111" s="678"/>
      <c r="T111" s="678"/>
      <c r="U111" s="678"/>
      <c r="V111" s="678"/>
      <c r="W111" s="678"/>
      <c r="X111" s="678"/>
      <c r="Y111" s="678"/>
      <c r="Z111" s="678"/>
      <c r="AA111" s="678"/>
      <c r="AB111" s="678"/>
    </row>
    <row r="112" spans="1:28" ht="15" thickBot="1">
      <c r="A112" s="7"/>
      <c r="B112" s="12"/>
      <c r="C112" s="14"/>
      <c r="D112" s="678"/>
      <c r="E112" s="678"/>
      <c r="F112" s="678"/>
      <c r="G112" s="678"/>
      <c r="H112" s="678"/>
      <c r="I112" s="678"/>
      <c r="J112" s="678"/>
      <c r="K112" s="678"/>
      <c r="L112" s="678"/>
      <c r="M112" s="678"/>
      <c r="N112" s="678"/>
      <c r="O112" s="678"/>
      <c r="P112" s="678"/>
      <c r="Q112" s="678"/>
      <c r="R112" s="678"/>
      <c r="S112" s="678"/>
      <c r="T112" s="678"/>
      <c r="U112" s="678"/>
      <c r="V112" s="678"/>
      <c r="W112" s="678"/>
      <c r="X112" s="678"/>
      <c r="Y112" s="678"/>
      <c r="Z112" s="678"/>
      <c r="AA112" s="678"/>
      <c r="AB112" s="678"/>
    </row>
    <row r="113" spans="1:28" ht="15" thickBot="1">
      <c r="A113" s="679" t="s">
        <v>498</v>
      </c>
      <c r="B113" s="688">
        <f>IRR(D88:AB88)</f>
        <v>0.11098608898868867</v>
      </c>
      <c r="C113" s="680"/>
      <c r="D113" s="678"/>
      <c r="E113" s="678"/>
      <c r="F113" s="678"/>
      <c r="G113" s="678"/>
      <c r="H113" s="678"/>
      <c r="I113" s="678"/>
      <c r="J113" s="678"/>
      <c r="K113" s="678"/>
      <c r="L113" s="678"/>
      <c r="M113" s="678"/>
      <c r="N113" s="678"/>
      <c r="O113" s="678"/>
      <c r="P113" s="678"/>
      <c r="Q113" s="678"/>
      <c r="R113" s="678"/>
      <c r="S113" s="678"/>
      <c r="T113" s="678"/>
      <c r="U113" s="678"/>
      <c r="V113" s="678"/>
      <c r="W113" s="678"/>
      <c r="X113" s="678"/>
      <c r="Y113" s="678"/>
      <c r="Z113" s="678"/>
      <c r="AA113" s="678"/>
      <c r="AB113" s="678"/>
    </row>
    <row r="114" spans="1:28" ht="15" thickBot="1">
      <c r="A114" s="682" t="s">
        <v>609</v>
      </c>
      <c r="B114" s="683">
        <f>NPV(Cost_of_borrowing_from_GCF,D88:AB88)</f>
        <v>4353811.5115979016</v>
      </c>
      <c r="C114" s="680"/>
      <c r="D114" s="678"/>
      <c r="E114" s="678"/>
      <c r="F114" s="678"/>
      <c r="G114" s="678"/>
      <c r="H114" s="678"/>
      <c r="I114" s="678"/>
      <c r="J114" s="678"/>
      <c r="K114" s="678"/>
      <c r="L114" s="678"/>
      <c r="M114" s="678"/>
      <c r="N114" s="678"/>
      <c r="O114" s="678"/>
      <c r="P114" s="678"/>
      <c r="Q114" s="678"/>
      <c r="R114" s="678"/>
      <c r="S114" s="678"/>
      <c r="T114" s="678"/>
      <c r="U114" s="678"/>
      <c r="V114" s="678"/>
      <c r="W114" s="678"/>
      <c r="X114" s="678"/>
      <c r="Y114" s="678"/>
      <c r="Z114" s="678"/>
      <c r="AA114" s="678"/>
      <c r="AB114" s="678"/>
    </row>
    <row r="115" spans="1:28" ht="15" thickBot="1">
      <c r="A115" s="682" t="s">
        <v>610</v>
      </c>
      <c r="B115" s="683">
        <f>NPV(SocDiscountRate,D88:AB88)</f>
        <v>-145481.59322843383</v>
      </c>
      <c r="C115" s="681"/>
      <c r="D115" s="678"/>
      <c r="E115" s="678"/>
      <c r="F115" s="678"/>
      <c r="G115" s="678"/>
      <c r="H115" s="678"/>
      <c r="I115" s="678"/>
      <c r="J115" s="678"/>
      <c r="K115" s="678"/>
      <c r="L115" s="678"/>
      <c r="M115" s="678"/>
      <c r="N115" s="678"/>
      <c r="O115" s="678"/>
      <c r="P115" s="678"/>
      <c r="Q115" s="678"/>
      <c r="R115" s="678"/>
      <c r="S115" s="678"/>
      <c r="T115" s="678"/>
      <c r="U115" s="678"/>
      <c r="V115" s="678"/>
      <c r="W115" s="678"/>
      <c r="X115" s="678"/>
      <c r="Y115" s="678"/>
      <c r="Z115" s="678"/>
      <c r="AA115" s="678"/>
      <c r="AB115" s="678"/>
    </row>
    <row r="116" spans="1:28">
      <c r="A116" s="682" t="s">
        <v>611</v>
      </c>
      <c r="B116" s="683">
        <f>NPV(EscoDiscountRate,D88:AB88)</f>
        <v>-901071.25444519974</v>
      </c>
      <c r="C116" s="681"/>
      <c r="D116" s="678"/>
      <c r="E116" s="678"/>
      <c r="F116" s="678"/>
      <c r="G116" s="678"/>
      <c r="H116" s="678"/>
      <c r="I116" s="678"/>
      <c r="J116" s="678"/>
      <c r="K116" s="678"/>
      <c r="L116" s="678"/>
      <c r="M116" s="678"/>
      <c r="N116" s="678"/>
      <c r="O116" s="678"/>
      <c r="P116" s="678"/>
      <c r="Q116" s="678"/>
      <c r="R116" s="678"/>
      <c r="S116" s="678"/>
      <c r="T116" s="678"/>
      <c r="U116" s="678"/>
      <c r="V116" s="678"/>
      <c r="W116" s="678"/>
      <c r="X116" s="678"/>
      <c r="Y116" s="678"/>
      <c r="Z116" s="678"/>
      <c r="AA116" s="678"/>
      <c r="AB116" s="678"/>
    </row>
    <row r="117" spans="1:28">
      <c r="A117" s="7"/>
      <c r="B117" s="12"/>
      <c r="C117" s="14"/>
      <c r="D117" s="678"/>
      <c r="E117" s="678"/>
      <c r="F117" s="678"/>
      <c r="G117" s="678"/>
      <c r="H117" s="678"/>
      <c r="I117" s="678"/>
      <c r="J117" s="678"/>
      <c r="K117" s="678"/>
      <c r="L117" s="678"/>
      <c r="M117" s="678"/>
      <c r="N117" s="678"/>
      <c r="O117" s="678"/>
      <c r="P117" s="678"/>
      <c r="Q117" s="678"/>
      <c r="R117" s="678"/>
      <c r="S117" s="678"/>
      <c r="T117" s="678"/>
      <c r="U117" s="678"/>
      <c r="V117" s="678"/>
      <c r="W117" s="678"/>
      <c r="X117" s="678"/>
      <c r="Y117" s="678"/>
      <c r="Z117" s="678"/>
      <c r="AA117" s="678"/>
      <c r="AB117" s="678"/>
    </row>
    <row r="118" spans="1:28">
      <c r="A118" s="7"/>
      <c r="B118" s="12"/>
      <c r="C118" s="14"/>
      <c r="D118" s="678"/>
      <c r="E118" s="678"/>
      <c r="F118" s="678"/>
      <c r="G118" s="678"/>
      <c r="H118" s="678"/>
      <c r="I118" s="678"/>
      <c r="J118" s="678"/>
      <c r="K118" s="678"/>
      <c r="L118" s="678"/>
      <c r="M118" s="678"/>
      <c r="N118" s="678"/>
      <c r="O118" s="678"/>
      <c r="P118" s="678"/>
      <c r="Q118" s="678"/>
      <c r="R118" s="678"/>
      <c r="S118" s="678"/>
      <c r="T118" s="678"/>
      <c r="U118" s="678"/>
      <c r="V118" s="678"/>
      <c r="W118" s="678"/>
      <c r="X118" s="678"/>
      <c r="Y118" s="678"/>
      <c r="Z118" s="678"/>
      <c r="AA118" s="678"/>
      <c r="AB118" s="678"/>
    </row>
    <row r="119" spans="1:28">
      <c r="C119" s="14"/>
      <c r="D119" s="678"/>
      <c r="E119" s="678"/>
      <c r="F119" s="678"/>
      <c r="G119" s="678"/>
      <c r="H119" s="678"/>
      <c r="I119" s="678"/>
      <c r="J119" s="678"/>
      <c r="K119" s="678"/>
      <c r="L119" s="678"/>
      <c r="M119" s="678"/>
      <c r="N119" s="678"/>
      <c r="O119" s="678"/>
      <c r="P119" s="678"/>
      <c r="Q119" s="678"/>
      <c r="R119" s="678"/>
      <c r="S119" s="678"/>
      <c r="T119" s="678"/>
      <c r="U119" s="678"/>
      <c r="V119" s="678"/>
      <c r="W119" s="678"/>
      <c r="X119" s="678"/>
      <c r="Y119" s="678"/>
      <c r="Z119" s="678"/>
      <c r="AA119" s="678"/>
      <c r="AB119" s="678"/>
    </row>
    <row r="120" spans="1:28">
      <c r="C120" s="14"/>
      <c r="D120" s="678"/>
      <c r="E120" s="678"/>
      <c r="F120" s="678"/>
      <c r="G120" s="678"/>
      <c r="H120" s="678"/>
      <c r="I120" s="678"/>
      <c r="J120" s="678"/>
      <c r="K120" s="678"/>
      <c r="L120" s="678"/>
      <c r="M120" s="678"/>
      <c r="N120" s="678"/>
      <c r="O120" s="678"/>
      <c r="P120" s="678"/>
      <c r="Q120" s="678"/>
      <c r="R120" s="678"/>
      <c r="S120" s="678"/>
      <c r="T120" s="678"/>
      <c r="U120" s="678"/>
      <c r="V120" s="678"/>
      <c r="W120" s="678"/>
      <c r="X120" s="678"/>
      <c r="Y120" s="678"/>
      <c r="Z120" s="678"/>
      <c r="AA120" s="678"/>
      <c r="AB120" s="678"/>
    </row>
    <row r="121" spans="1:28">
      <c r="C121" s="14"/>
      <c r="D121" s="678"/>
      <c r="E121" s="678"/>
      <c r="F121" s="678"/>
      <c r="G121" s="678"/>
      <c r="H121" s="678"/>
      <c r="I121" s="678"/>
      <c r="J121" s="678"/>
      <c r="K121" s="678"/>
      <c r="L121" s="678"/>
      <c r="M121" s="678"/>
      <c r="N121" s="678"/>
      <c r="O121" s="678"/>
      <c r="P121" s="678"/>
      <c r="Q121" s="678"/>
      <c r="R121" s="678"/>
      <c r="S121" s="678"/>
      <c r="T121" s="678"/>
      <c r="U121" s="678"/>
      <c r="V121" s="678"/>
      <c r="W121" s="678"/>
      <c r="X121" s="678"/>
      <c r="Y121" s="678"/>
      <c r="Z121" s="678"/>
      <c r="AA121" s="678"/>
      <c r="AB121" s="678"/>
    </row>
    <row r="126" spans="1:28">
      <c r="A126" s="846"/>
    </row>
    <row r="127" spans="1:28">
      <c r="A127" s="849"/>
    </row>
    <row r="128" spans="1:28">
      <c r="A128" s="846"/>
    </row>
    <row r="129" spans="1:2">
      <c r="A129" s="846"/>
    </row>
    <row r="130" spans="1:2">
      <c r="A130" s="660"/>
    </row>
    <row r="131" spans="1:2">
      <c r="A131" s="846"/>
    </row>
    <row r="132" spans="1:2">
      <c r="A132" s="15"/>
      <c r="B132" s="846"/>
    </row>
  </sheetData>
  <mergeCells count="1">
    <mergeCell ref="A3:A4"/>
  </mergeCells>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FBF70A-31D2-400F-AFFF-102CD1C2933D}">
  <sheetPr>
    <tabColor rgb="FF7030A0"/>
  </sheetPr>
  <dimension ref="A1:AM162"/>
  <sheetViews>
    <sheetView showGridLines="0" topLeftCell="B1" zoomScale="80" zoomScaleNormal="80" workbookViewId="0">
      <selection activeCell="D119" sqref="D119"/>
    </sheetView>
  </sheetViews>
  <sheetFormatPr defaultColWidth="8.85546875" defaultRowHeight="12.6"/>
  <cols>
    <col min="1" max="1" width="7.42578125" style="215" customWidth="1"/>
    <col min="2" max="2" width="41" style="215" customWidth="1"/>
    <col min="3" max="3" width="16" style="215" customWidth="1"/>
    <col min="4" max="4" width="23" style="215" customWidth="1"/>
    <col min="5" max="7" width="16.140625" style="215" customWidth="1"/>
    <col min="8" max="9" width="14.42578125" style="215" customWidth="1"/>
    <col min="10" max="10" width="17.5703125" style="215" customWidth="1"/>
    <col min="11" max="11" width="13.5703125" style="215" bestFit="1" customWidth="1"/>
    <col min="12" max="12" width="14.5703125" style="215" bestFit="1" customWidth="1"/>
    <col min="13" max="13" width="14.85546875" style="215" bestFit="1" customWidth="1"/>
    <col min="14" max="14" width="17.140625" style="215" customWidth="1"/>
    <col min="15" max="15" width="16.42578125" style="215" bestFit="1" customWidth="1"/>
    <col min="16" max="16" width="17.140625" style="215" bestFit="1" customWidth="1"/>
    <col min="17" max="17" width="24.42578125" style="215" customWidth="1"/>
    <col min="18" max="18" width="18.42578125" style="215" bestFit="1" customWidth="1"/>
    <col min="19" max="19" width="18.5703125" style="215" bestFit="1" customWidth="1"/>
    <col min="20" max="20" width="19.42578125" style="215" bestFit="1" customWidth="1"/>
    <col min="21" max="21" width="20.42578125" style="215" bestFit="1" customWidth="1"/>
    <col min="22" max="22" width="20.85546875" style="215" bestFit="1" customWidth="1"/>
    <col min="23" max="23" width="21.42578125" style="215" bestFit="1" customWidth="1"/>
    <col min="24" max="25" width="22.42578125" style="215" bestFit="1" customWidth="1"/>
    <col min="26" max="27" width="23.85546875" style="215" bestFit="1" customWidth="1"/>
    <col min="28" max="29" width="24.85546875" style="215" bestFit="1" customWidth="1"/>
    <col min="30" max="34" width="11.42578125" style="215" bestFit="1" customWidth="1"/>
    <col min="35" max="39" width="12.42578125" style="215" bestFit="1" customWidth="1"/>
    <col min="40" max="40" width="12" style="215" bestFit="1" customWidth="1"/>
    <col min="41" max="256" width="8.85546875" style="215"/>
    <col min="257" max="257" width="7.42578125" style="215" customWidth="1"/>
    <col min="258" max="258" width="41" style="215" customWidth="1"/>
    <col min="259" max="259" width="16" style="215" customWidth="1"/>
    <col min="260" max="260" width="16.140625" style="215" bestFit="1" customWidth="1"/>
    <col min="261" max="261" width="11.85546875" style="215" customWidth="1"/>
    <col min="262" max="262" width="12.42578125" style="215" bestFit="1" customWidth="1"/>
    <col min="263" max="264" width="13" style="215" bestFit="1" customWidth="1"/>
    <col min="265" max="265" width="12.5703125" style="215" bestFit="1" customWidth="1"/>
    <col min="266" max="266" width="13.42578125" style="215" bestFit="1" customWidth="1"/>
    <col min="267" max="267" width="13.5703125" style="215" bestFit="1" customWidth="1"/>
    <col min="268" max="268" width="14.5703125" style="215" bestFit="1" customWidth="1"/>
    <col min="269" max="269" width="14.85546875" style="215" bestFit="1" customWidth="1"/>
    <col min="270" max="270" width="17.140625" style="215" customWidth="1"/>
    <col min="271" max="271" width="16.42578125" style="215" bestFit="1" customWidth="1"/>
    <col min="272" max="272" width="17.140625" style="215" bestFit="1" customWidth="1"/>
    <col min="273" max="273" width="24.42578125" style="215" customWidth="1"/>
    <col min="274" max="274" width="18.42578125" style="215" bestFit="1" customWidth="1"/>
    <col min="275" max="275" width="18.5703125" style="215" bestFit="1" customWidth="1"/>
    <col min="276" max="276" width="19.42578125" style="215" bestFit="1" customWidth="1"/>
    <col min="277" max="277" width="20.42578125" style="215" bestFit="1" customWidth="1"/>
    <col min="278" max="278" width="20.85546875" style="215" bestFit="1" customWidth="1"/>
    <col min="279" max="279" width="21.42578125" style="215" bestFit="1" customWidth="1"/>
    <col min="280" max="281" width="22.42578125" style="215" bestFit="1" customWidth="1"/>
    <col min="282" max="283" width="23.85546875" style="215" bestFit="1" customWidth="1"/>
    <col min="284" max="285" width="24.85546875" style="215" bestFit="1" customWidth="1"/>
    <col min="286" max="290" width="11.42578125" style="215" bestFit="1" customWidth="1"/>
    <col min="291" max="295" width="12.42578125" style="215" bestFit="1" customWidth="1"/>
    <col min="296" max="296" width="12" style="215" bestFit="1" customWidth="1"/>
    <col min="297" max="512" width="8.85546875" style="215"/>
    <col min="513" max="513" width="7.42578125" style="215" customWidth="1"/>
    <col min="514" max="514" width="41" style="215" customWidth="1"/>
    <col min="515" max="515" width="16" style="215" customWidth="1"/>
    <col min="516" max="516" width="16.140625" style="215" bestFit="1" customWidth="1"/>
    <col min="517" max="517" width="11.85546875" style="215" customWidth="1"/>
    <col min="518" max="518" width="12.42578125" style="215" bestFit="1" customWidth="1"/>
    <col min="519" max="520" width="13" style="215" bestFit="1" customWidth="1"/>
    <col min="521" max="521" width="12.5703125" style="215" bestFit="1" customWidth="1"/>
    <col min="522" max="522" width="13.42578125" style="215" bestFit="1" customWidth="1"/>
    <col min="523" max="523" width="13.5703125" style="215" bestFit="1" customWidth="1"/>
    <col min="524" max="524" width="14.5703125" style="215" bestFit="1" customWidth="1"/>
    <col min="525" max="525" width="14.85546875" style="215" bestFit="1" customWidth="1"/>
    <col min="526" max="526" width="17.140625" style="215" customWidth="1"/>
    <col min="527" max="527" width="16.42578125" style="215" bestFit="1" customWidth="1"/>
    <col min="528" max="528" width="17.140625" style="215" bestFit="1" customWidth="1"/>
    <col min="529" max="529" width="24.42578125" style="215" customWidth="1"/>
    <col min="530" max="530" width="18.42578125" style="215" bestFit="1" customWidth="1"/>
    <col min="531" max="531" width="18.5703125" style="215" bestFit="1" customWidth="1"/>
    <col min="532" max="532" width="19.42578125" style="215" bestFit="1" customWidth="1"/>
    <col min="533" max="533" width="20.42578125" style="215" bestFit="1" customWidth="1"/>
    <col min="534" max="534" width="20.85546875" style="215" bestFit="1" customWidth="1"/>
    <col min="535" max="535" width="21.42578125" style="215" bestFit="1" customWidth="1"/>
    <col min="536" max="537" width="22.42578125" style="215" bestFit="1" customWidth="1"/>
    <col min="538" max="539" width="23.85546875" style="215" bestFit="1" customWidth="1"/>
    <col min="540" max="541" width="24.85546875" style="215" bestFit="1" customWidth="1"/>
    <col min="542" max="546" width="11.42578125" style="215" bestFit="1" customWidth="1"/>
    <col min="547" max="551" width="12.42578125" style="215" bestFit="1" customWidth="1"/>
    <col min="552" max="552" width="12" style="215" bestFit="1" customWidth="1"/>
    <col min="553" max="768" width="8.85546875" style="215"/>
    <col min="769" max="769" width="7.42578125" style="215" customWidth="1"/>
    <col min="770" max="770" width="41" style="215" customWidth="1"/>
    <col min="771" max="771" width="16" style="215" customWidth="1"/>
    <col min="772" max="772" width="16.140625" style="215" bestFit="1" customWidth="1"/>
    <col min="773" max="773" width="11.85546875" style="215" customWidth="1"/>
    <col min="774" max="774" width="12.42578125" style="215" bestFit="1" customWidth="1"/>
    <col min="775" max="776" width="13" style="215" bestFit="1" customWidth="1"/>
    <col min="777" max="777" width="12.5703125" style="215" bestFit="1" customWidth="1"/>
    <col min="778" max="778" width="13.42578125" style="215" bestFit="1" customWidth="1"/>
    <col min="779" max="779" width="13.5703125" style="215" bestFit="1" customWidth="1"/>
    <col min="780" max="780" width="14.5703125" style="215" bestFit="1" customWidth="1"/>
    <col min="781" max="781" width="14.85546875" style="215" bestFit="1" customWidth="1"/>
    <col min="782" max="782" width="17.140625" style="215" customWidth="1"/>
    <col min="783" max="783" width="16.42578125" style="215" bestFit="1" customWidth="1"/>
    <col min="784" max="784" width="17.140625" style="215" bestFit="1" customWidth="1"/>
    <col min="785" max="785" width="24.42578125" style="215" customWidth="1"/>
    <col min="786" max="786" width="18.42578125" style="215" bestFit="1" customWidth="1"/>
    <col min="787" max="787" width="18.5703125" style="215" bestFit="1" customWidth="1"/>
    <col min="788" max="788" width="19.42578125" style="215" bestFit="1" customWidth="1"/>
    <col min="789" max="789" width="20.42578125" style="215" bestFit="1" customWidth="1"/>
    <col min="790" max="790" width="20.85546875" style="215" bestFit="1" customWidth="1"/>
    <col min="791" max="791" width="21.42578125" style="215" bestFit="1" customWidth="1"/>
    <col min="792" max="793" width="22.42578125" style="215" bestFit="1" customWidth="1"/>
    <col min="794" max="795" width="23.85546875" style="215" bestFit="1" customWidth="1"/>
    <col min="796" max="797" width="24.85546875" style="215" bestFit="1" customWidth="1"/>
    <col min="798" max="802" width="11.42578125" style="215" bestFit="1" customWidth="1"/>
    <col min="803" max="807" width="12.42578125" style="215" bestFit="1" customWidth="1"/>
    <col min="808" max="808" width="12" style="215" bestFit="1" customWidth="1"/>
    <col min="809" max="1024" width="8.85546875" style="215"/>
    <col min="1025" max="1025" width="7.42578125" style="215" customWidth="1"/>
    <col min="1026" max="1026" width="41" style="215" customWidth="1"/>
    <col min="1027" max="1027" width="16" style="215" customWidth="1"/>
    <col min="1028" max="1028" width="16.140625" style="215" bestFit="1" customWidth="1"/>
    <col min="1029" max="1029" width="11.85546875" style="215" customWidth="1"/>
    <col min="1030" max="1030" width="12.42578125" style="215" bestFit="1" customWidth="1"/>
    <col min="1031" max="1032" width="13" style="215" bestFit="1" customWidth="1"/>
    <col min="1033" max="1033" width="12.5703125" style="215" bestFit="1" customWidth="1"/>
    <col min="1034" max="1034" width="13.42578125" style="215" bestFit="1" customWidth="1"/>
    <col min="1035" max="1035" width="13.5703125" style="215" bestFit="1" customWidth="1"/>
    <col min="1036" max="1036" width="14.5703125" style="215" bestFit="1" customWidth="1"/>
    <col min="1037" max="1037" width="14.85546875" style="215" bestFit="1" customWidth="1"/>
    <col min="1038" max="1038" width="17.140625" style="215" customWidth="1"/>
    <col min="1039" max="1039" width="16.42578125" style="215" bestFit="1" customWidth="1"/>
    <col min="1040" max="1040" width="17.140625" style="215" bestFit="1" customWidth="1"/>
    <col min="1041" max="1041" width="24.42578125" style="215" customWidth="1"/>
    <col min="1042" max="1042" width="18.42578125" style="215" bestFit="1" customWidth="1"/>
    <col min="1043" max="1043" width="18.5703125" style="215" bestFit="1" customWidth="1"/>
    <col min="1044" max="1044" width="19.42578125" style="215" bestFit="1" customWidth="1"/>
    <col min="1045" max="1045" width="20.42578125" style="215" bestFit="1" customWidth="1"/>
    <col min="1046" max="1046" width="20.85546875" style="215" bestFit="1" customWidth="1"/>
    <col min="1047" max="1047" width="21.42578125" style="215" bestFit="1" customWidth="1"/>
    <col min="1048" max="1049" width="22.42578125" style="215" bestFit="1" customWidth="1"/>
    <col min="1050" max="1051" width="23.85546875" style="215" bestFit="1" customWidth="1"/>
    <col min="1052" max="1053" width="24.85546875" style="215" bestFit="1" customWidth="1"/>
    <col min="1054" max="1058" width="11.42578125" style="215" bestFit="1" customWidth="1"/>
    <col min="1059" max="1063" width="12.42578125" style="215" bestFit="1" customWidth="1"/>
    <col min="1064" max="1064" width="12" style="215" bestFit="1" customWidth="1"/>
    <col min="1065" max="1280" width="8.85546875" style="215"/>
    <col min="1281" max="1281" width="7.42578125" style="215" customWidth="1"/>
    <col min="1282" max="1282" width="41" style="215" customWidth="1"/>
    <col min="1283" max="1283" width="16" style="215" customWidth="1"/>
    <col min="1284" max="1284" width="16.140625" style="215" bestFit="1" customWidth="1"/>
    <col min="1285" max="1285" width="11.85546875" style="215" customWidth="1"/>
    <col min="1286" max="1286" width="12.42578125" style="215" bestFit="1" customWidth="1"/>
    <col min="1287" max="1288" width="13" style="215" bestFit="1" customWidth="1"/>
    <col min="1289" max="1289" width="12.5703125" style="215" bestFit="1" customWidth="1"/>
    <col min="1290" max="1290" width="13.42578125" style="215" bestFit="1" customWidth="1"/>
    <col min="1291" max="1291" width="13.5703125" style="215" bestFit="1" customWidth="1"/>
    <col min="1292" max="1292" width="14.5703125" style="215" bestFit="1" customWidth="1"/>
    <col min="1293" max="1293" width="14.85546875" style="215" bestFit="1" customWidth="1"/>
    <col min="1294" max="1294" width="17.140625" style="215" customWidth="1"/>
    <col min="1295" max="1295" width="16.42578125" style="215" bestFit="1" customWidth="1"/>
    <col min="1296" max="1296" width="17.140625" style="215" bestFit="1" customWidth="1"/>
    <col min="1297" max="1297" width="24.42578125" style="215" customWidth="1"/>
    <col min="1298" max="1298" width="18.42578125" style="215" bestFit="1" customWidth="1"/>
    <col min="1299" max="1299" width="18.5703125" style="215" bestFit="1" customWidth="1"/>
    <col min="1300" max="1300" width="19.42578125" style="215" bestFit="1" customWidth="1"/>
    <col min="1301" max="1301" width="20.42578125" style="215" bestFit="1" customWidth="1"/>
    <col min="1302" max="1302" width="20.85546875" style="215" bestFit="1" customWidth="1"/>
    <col min="1303" max="1303" width="21.42578125" style="215" bestFit="1" customWidth="1"/>
    <col min="1304" max="1305" width="22.42578125" style="215" bestFit="1" customWidth="1"/>
    <col min="1306" max="1307" width="23.85546875" style="215" bestFit="1" customWidth="1"/>
    <col min="1308" max="1309" width="24.85546875" style="215" bestFit="1" customWidth="1"/>
    <col min="1310" max="1314" width="11.42578125" style="215" bestFit="1" customWidth="1"/>
    <col min="1315" max="1319" width="12.42578125" style="215" bestFit="1" customWidth="1"/>
    <col min="1320" max="1320" width="12" style="215" bestFit="1" customWidth="1"/>
    <col min="1321" max="1536" width="8.85546875" style="215"/>
    <col min="1537" max="1537" width="7.42578125" style="215" customWidth="1"/>
    <col min="1538" max="1538" width="41" style="215" customWidth="1"/>
    <col min="1539" max="1539" width="16" style="215" customWidth="1"/>
    <col min="1540" max="1540" width="16.140625" style="215" bestFit="1" customWidth="1"/>
    <col min="1541" max="1541" width="11.85546875" style="215" customWidth="1"/>
    <col min="1542" max="1542" width="12.42578125" style="215" bestFit="1" customWidth="1"/>
    <col min="1543" max="1544" width="13" style="215" bestFit="1" customWidth="1"/>
    <col min="1545" max="1545" width="12.5703125" style="215" bestFit="1" customWidth="1"/>
    <col min="1546" max="1546" width="13.42578125" style="215" bestFit="1" customWidth="1"/>
    <col min="1547" max="1547" width="13.5703125" style="215" bestFit="1" customWidth="1"/>
    <col min="1548" max="1548" width="14.5703125" style="215" bestFit="1" customWidth="1"/>
    <col min="1549" max="1549" width="14.85546875" style="215" bestFit="1" customWidth="1"/>
    <col min="1550" max="1550" width="17.140625" style="215" customWidth="1"/>
    <col min="1551" max="1551" width="16.42578125" style="215" bestFit="1" customWidth="1"/>
    <col min="1552" max="1552" width="17.140625" style="215" bestFit="1" customWidth="1"/>
    <col min="1553" max="1553" width="24.42578125" style="215" customWidth="1"/>
    <col min="1554" max="1554" width="18.42578125" style="215" bestFit="1" customWidth="1"/>
    <col min="1555" max="1555" width="18.5703125" style="215" bestFit="1" customWidth="1"/>
    <col min="1556" max="1556" width="19.42578125" style="215" bestFit="1" customWidth="1"/>
    <col min="1557" max="1557" width="20.42578125" style="215" bestFit="1" customWidth="1"/>
    <col min="1558" max="1558" width="20.85546875" style="215" bestFit="1" customWidth="1"/>
    <col min="1559" max="1559" width="21.42578125" style="215" bestFit="1" customWidth="1"/>
    <col min="1560" max="1561" width="22.42578125" style="215" bestFit="1" customWidth="1"/>
    <col min="1562" max="1563" width="23.85546875" style="215" bestFit="1" customWidth="1"/>
    <col min="1564" max="1565" width="24.85546875" style="215" bestFit="1" customWidth="1"/>
    <col min="1566" max="1570" width="11.42578125" style="215" bestFit="1" customWidth="1"/>
    <col min="1571" max="1575" width="12.42578125" style="215" bestFit="1" customWidth="1"/>
    <col min="1576" max="1576" width="12" style="215" bestFit="1" customWidth="1"/>
    <col min="1577" max="1792" width="8.85546875" style="215"/>
    <col min="1793" max="1793" width="7.42578125" style="215" customWidth="1"/>
    <col min="1794" max="1794" width="41" style="215" customWidth="1"/>
    <col min="1795" max="1795" width="16" style="215" customWidth="1"/>
    <col min="1796" max="1796" width="16.140625" style="215" bestFit="1" customWidth="1"/>
    <col min="1797" max="1797" width="11.85546875" style="215" customWidth="1"/>
    <col min="1798" max="1798" width="12.42578125" style="215" bestFit="1" customWidth="1"/>
    <col min="1799" max="1800" width="13" style="215" bestFit="1" customWidth="1"/>
    <col min="1801" max="1801" width="12.5703125" style="215" bestFit="1" customWidth="1"/>
    <col min="1802" max="1802" width="13.42578125" style="215" bestFit="1" customWidth="1"/>
    <col min="1803" max="1803" width="13.5703125" style="215" bestFit="1" customWidth="1"/>
    <col min="1804" max="1804" width="14.5703125" style="215" bestFit="1" customWidth="1"/>
    <col min="1805" max="1805" width="14.85546875" style="215" bestFit="1" customWidth="1"/>
    <col min="1806" max="1806" width="17.140625" style="215" customWidth="1"/>
    <col min="1807" max="1807" width="16.42578125" style="215" bestFit="1" customWidth="1"/>
    <col min="1808" max="1808" width="17.140625" style="215" bestFit="1" customWidth="1"/>
    <col min="1809" max="1809" width="24.42578125" style="215" customWidth="1"/>
    <col min="1810" max="1810" width="18.42578125" style="215" bestFit="1" customWidth="1"/>
    <col min="1811" max="1811" width="18.5703125" style="215" bestFit="1" customWidth="1"/>
    <col min="1812" max="1812" width="19.42578125" style="215" bestFit="1" customWidth="1"/>
    <col min="1813" max="1813" width="20.42578125" style="215" bestFit="1" customWidth="1"/>
    <col min="1814" max="1814" width="20.85546875" style="215" bestFit="1" customWidth="1"/>
    <col min="1815" max="1815" width="21.42578125" style="215" bestFit="1" customWidth="1"/>
    <col min="1816" max="1817" width="22.42578125" style="215" bestFit="1" customWidth="1"/>
    <col min="1818" max="1819" width="23.85546875" style="215" bestFit="1" customWidth="1"/>
    <col min="1820" max="1821" width="24.85546875" style="215" bestFit="1" customWidth="1"/>
    <col min="1822" max="1826" width="11.42578125" style="215" bestFit="1" customWidth="1"/>
    <col min="1827" max="1831" width="12.42578125" style="215" bestFit="1" customWidth="1"/>
    <col min="1832" max="1832" width="12" style="215" bestFit="1" customWidth="1"/>
    <col min="1833" max="2048" width="8.85546875" style="215"/>
    <col min="2049" max="2049" width="7.42578125" style="215" customWidth="1"/>
    <col min="2050" max="2050" width="41" style="215" customWidth="1"/>
    <col min="2051" max="2051" width="16" style="215" customWidth="1"/>
    <col min="2052" max="2052" width="16.140625" style="215" bestFit="1" customWidth="1"/>
    <col min="2053" max="2053" width="11.85546875" style="215" customWidth="1"/>
    <col min="2054" max="2054" width="12.42578125" style="215" bestFit="1" customWidth="1"/>
    <col min="2055" max="2056" width="13" style="215" bestFit="1" customWidth="1"/>
    <col min="2057" max="2057" width="12.5703125" style="215" bestFit="1" customWidth="1"/>
    <col min="2058" max="2058" width="13.42578125" style="215" bestFit="1" customWidth="1"/>
    <col min="2059" max="2059" width="13.5703125" style="215" bestFit="1" customWidth="1"/>
    <col min="2060" max="2060" width="14.5703125" style="215" bestFit="1" customWidth="1"/>
    <col min="2061" max="2061" width="14.85546875" style="215" bestFit="1" customWidth="1"/>
    <col min="2062" max="2062" width="17.140625" style="215" customWidth="1"/>
    <col min="2063" max="2063" width="16.42578125" style="215" bestFit="1" customWidth="1"/>
    <col min="2064" max="2064" width="17.140625" style="215" bestFit="1" customWidth="1"/>
    <col min="2065" max="2065" width="24.42578125" style="215" customWidth="1"/>
    <col min="2066" max="2066" width="18.42578125" style="215" bestFit="1" customWidth="1"/>
    <col min="2067" max="2067" width="18.5703125" style="215" bestFit="1" customWidth="1"/>
    <col min="2068" max="2068" width="19.42578125" style="215" bestFit="1" customWidth="1"/>
    <col min="2069" max="2069" width="20.42578125" style="215" bestFit="1" customWidth="1"/>
    <col min="2070" max="2070" width="20.85546875" style="215" bestFit="1" customWidth="1"/>
    <col min="2071" max="2071" width="21.42578125" style="215" bestFit="1" customWidth="1"/>
    <col min="2072" max="2073" width="22.42578125" style="215" bestFit="1" customWidth="1"/>
    <col min="2074" max="2075" width="23.85546875" style="215" bestFit="1" customWidth="1"/>
    <col min="2076" max="2077" width="24.85546875" style="215" bestFit="1" customWidth="1"/>
    <col min="2078" max="2082" width="11.42578125" style="215" bestFit="1" customWidth="1"/>
    <col min="2083" max="2087" width="12.42578125" style="215" bestFit="1" customWidth="1"/>
    <col min="2088" max="2088" width="12" style="215" bestFit="1" customWidth="1"/>
    <col min="2089" max="2304" width="8.85546875" style="215"/>
    <col min="2305" max="2305" width="7.42578125" style="215" customWidth="1"/>
    <col min="2306" max="2306" width="41" style="215" customWidth="1"/>
    <col min="2307" max="2307" width="16" style="215" customWidth="1"/>
    <col min="2308" max="2308" width="16.140625" style="215" bestFit="1" customWidth="1"/>
    <col min="2309" max="2309" width="11.85546875" style="215" customWidth="1"/>
    <col min="2310" max="2310" width="12.42578125" style="215" bestFit="1" customWidth="1"/>
    <col min="2311" max="2312" width="13" style="215" bestFit="1" customWidth="1"/>
    <col min="2313" max="2313" width="12.5703125" style="215" bestFit="1" customWidth="1"/>
    <col min="2314" max="2314" width="13.42578125" style="215" bestFit="1" customWidth="1"/>
    <col min="2315" max="2315" width="13.5703125" style="215" bestFit="1" customWidth="1"/>
    <col min="2316" max="2316" width="14.5703125" style="215" bestFit="1" customWidth="1"/>
    <col min="2317" max="2317" width="14.85546875" style="215" bestFit="1" customWidth="1"/>
    <col min="2318" max="2318" width="17.140625" style="215" customWidth="1"/>
    <col min="2319" max="2319" width="16.42578125" style="215" bestFit="1" customWidth="1"/>
    <col min="2320" max="2320" width="17.140625" style="215" bestFit="1" customWidth="1"/>
    <col min="2321" max="2321" width="24.42578125" style="215" customWidth="1"/>
    <col min="2322" max="2322" width="18.42578125" style="215" bestFit="1" customWidth="1"/>
    <col min="2323" max="2323" width="18.5703125" style="215" bestFit="1" customWidth="1"/>
    <col min="2324" max="2324" width="19.42578125" style="215" bestFit="1" customWidth="1"/>
    <col min="2325" max="2325" width="20.42578125" style="215" bestFit="1" customWidth="1"/>
    <col min="2326" max="2326" width="20.85546875" style="215" bestFit="1" customWidth="1"/>
    <col min="2327" max="2327" width="21.42578125" style="215" bestFit="1" customWidth="1"/>
    <col min="2328" max="2329" width="22.42578125" style="215" bestFit="1" customWidth="1"/>
    <col min="2330" max="2331" width="23.85546875" style="215" bestFit="1" customWidth="1"/>
    <col min="2332" max="2333" width="24.85546875" style="215" bestFit="1" customWidth="1"/>
    <col min="2334" max="2338" width="11.42578125" style="215" bestFit="1" customWidth="1"/>
    <col min="2339" max="2343" width="12.42578125" style="215" bestFit="1" customWidth="1"/>
    <col min="2344" max="2344" width="12" style="215" bestFit="1" customWidth="1"/>
    <col min="2345" max="2560" width="8.85546875" style="215"/>
    <col min="2561" max="2561" width="7.42578125" style="215" customWidth="1"/>
    <col min="2562" max="2562" width="41" style="215" customWidth="1"/>
    <col min="2563" max="2563" width="16" style="215" customWidth="1"/>
    <col min="2564" max="2564" width="16.140625" style="215" bestFit="1" customWidth="1"/>
    <col min="2565" max="2565" width="11.85546875" style="215" customWidth="1"/>
    <col min="2566" max="2566" width="12.42578125" style="215" bestFit="1" customWidth="1"/>
    <col min="2567" max="2568" width="13" style="215" bestFit="1" customWidth="1"/>
    <col min="2569" max="2569" width="12.5703125" style="215" bestFit="1" customWidth="1"/>
    <col min="2570" max="2570" width="13.42578125" style="215" bestFit="1" customWidth="1"/>
    <col min="2571" max="2571" width="13.5703125" style="215" bestFit="1" customWidth="1"/>
    <col min="2572" max="2572" width="14.5703125" style="215" bestFit="1" customWidth="1"/>
    <col min="2573" max="2573" width="14.85546875" style="215" bestFit="1" customWidth="1"/>
    <col min="2574" max="2574" width="17.140625" style="215" customWidth="1"/>
    <col min="2575" max="2575" width="16.42578125" style="215" bestFit="1" customWidth="1"/>
    <col min="2576" max="2576" width="17.140625" style="215" bestFit="1" customWidth="1"/>
    <col min="2577" max="2577" width="24.42578125" style="215" customWidth="1"/>
    <col min="2578" max="2578" width="18.42578125" style="215" bestFit="1" customWidth="1"/>
    <col min="2579" max="2579" width="18.5703125" style="215" bestFit="1" customWidth="1"/>
    <col min="2580" max="2580" width="19.42578125" style="215" bestFit="1" customWidth="1"/>
    <col min="2581" max="2581" width="20.42578125" style="215" bestFit="1" customWidth="1"/>
    <col min="2582" max="2582" width="20.85546875" style="215" bestFit="1" customWidth="1"/>
    <col min="2583" max="2583" width="21.42578125" style="215" bestFit="1" customWidth="1"/>
    <col min="2584" max="2585" width="22.42578125" style="215" bestFit="1" customWidth="1"/>
    <col min="2586" max="2587" width="23.85546875" style="215" bestFit="1" customWidth="1"/>
    <col min="2588" max="2589" width="24.85546875" style="215" bestFit="1" customWidth="1"/>
    <col min="2590" max="2594" width="11.42578125" style="215" bestFit="1" customWidth="1"/>
    <col min="2595" max="2599" width="12.42578125" style="215" bestFit="1" customWidth="1"/>
    <col min="2600" max="2600" width="12" style="215" bestFit="1" customWidth="1"/>
    <col min="2601" max="2816" width="8.85546875" style="215"/>
    <col min="2817" max="2817" width="7.42578125" style="215" customWidth="1"/>
    <col min="2818" max="2818" width="41" style="215" customWidth="1"/>
    <col min="2819" max="2819" width="16" style="215" customWidth="1"/>
    <col min="2820" max="2820" width="16.140625" style="215" bestFit="1" customWidth="1"/>
    <col min="2821" max="2821" width="11.85546875" style="215" customWidth="1"/>
    <col min="2822" max="2822" width="12.42578125" style="215" bestFit="1" customWidth="1"/>
    <col min="2823" max="2824" width="13" style="215" bestFit="1" customWidth="1"/>
    <col min="2825" max="2825" width="12.5703125" style="215" bestFit="1" customWidth="1"/>
    <col min="2826" max="2826" width="13.42578125" style="215" bestFit="1" customWidth="1"/>
    <col min="2827" max="2827" width="13.5703125" style="215" bestFit="1" customWidth="1"/>
    <col min="2828" max="2828" width="14.5703125" style="215" bestFit="1" customWidth="1"/>
    <col min="2829" max="2829" width="14.85546875" style="215" bestFit="1" customWidth="1"/>
    <col min="2830" max="2830" width="17.140625" style="215" customWidth="1"/>
    <col min="2831" max="2831" width="16.42578125" style="215" bestFit="1" customWidth="1"/>
    <col min="2832" max="2832" width="17.140625" style="215" bestFit="1" customWidth="1"/>
    <col min="2833" max="2833" width="24.42578125" style="215" customWidth="1"/>
    <col min="2834" max="2834" width="18.42578125" style="215" bestFit="1" customWidth="1"/>
    <col min="2835" max="2835" width="18.5703125" style="215" bestFit="1" customWidth="1"/>
    <col min="2836" max="2836" width="19.42578125" style="215" bestFit="1" customWidth="1"/>
    <col min="2837" max="2837" width="20.42578125" style="215" bestFit="1" customWidth="1"/>
    <col min="2838" max="2838" width="20.85546875" style="215" bestFit="1" customWidth="1"/>
    <col min="2839" max="2839" width="21.42578125" style="215" bestFit="1" customWidth="1"/>
    <col min="2840" max="2841" width="22.42578125" style="215" bestFit="1" customWidth="1"/>
    <col min="2842" max="2843" width="23.85546875" style="215" bestFit="1" customWidth="1"/>
    <col min="2844" max="2845" width="24.85546875" style="215" bestFit="1" customWidth="1"/>
    <col min="2846" max="2850" width="11.42578125" style="215" bestFit="1" customWidth="1"/>
    <col min="2851" max="2855" width="12.42578125" style="215" bestFit="1" customWidth="1"/>
    <col min="2856" max="2856" width="12" style="215" bestFit="1" customWidth="1"/>
    <col min="2857" max="3072" width="8.85546875" style="215"/>
    <col min="3073" max="3073" width="7.42578125" style="215" customWidth="1"/>
    <col min="3074" max="3074" width="41" style="215" customWidth="1"/>
    <col min="3075" max="3075" width="16" style="215" customWidth="1"/>
    <col min="3076" max="3076" width="16.140625" style="215" bestFit="1" customWidth="1"/>
    <col min="3077" max="3077" width="11.85546875" style="215" customWidth="1"/>
    <col min="3078" max="3078" width="12.42578125" style="215" bestFit="1" customWidth="1"/>
    <col min="3079" max="3080" width="13" style="215" bestFit="1" customWidth="1"/>
    <col min="3081" max="3081" width="12.5703125" style="215" bestFit="1" customWidth="1"/>
    <col min="3082" max="3082" width="13.42578125" style="215" bestFit="1" customWidth="1"/>
    <col min="3083" max="3083" width="13.5703125" style="215" bestFit="1" customWidth="1"/>
    <col min="3084" max="3084" width="14.5703125" style="215" bestFit="1" customWidth="1"/>
    <col min="3085" max="3085" width="14.85546875" style="215" bestFit="1" customWidth="1"/>
    <col min="3086" max="3086" width="17.140625" style="215" customWidth="1"/>
    <col min="3087" max="3087" width="16.42578125" style="215" bestFit="1" customWidth="1"/>
    <col min="3088" max="3088" width="17.140625" style="215" bestFit="1" customWidth="1"/>
    <col min="3089" max="3089" width="24.42578125" style="215" customWidth="1"/>
    <col min="3090" max="3090" width="18.42578125" style="215" bestFit="1" customWidth="1"/>
    <col min="3091" max="3091" width="18.5703125" style="215" bestFit="1" customWidth="1"/>
    <col min="3092" max="3092" width="19.42578125" style="215" bestFit="1" customWidth="1"/>
    <col min="3093" max="3093" width="20.42578125" style="215" bestFit="1" customWidth="1"/>
    <col min="3094" max="3094" width="20.85546875" style="215" bestFit="1" customWidth="1"/>
    <col min="3095" max="3095" width="21.42578125" style="215" bestFit="1" customWidth="1"/>
    <col min="3096" max="3097" width="22.42578125" style="215" bestFit="1" customWidth="1"/>
    <col min="3098" max="3099" width="23.85546875" style="215" bestFit="1" customWidth="1"/>
    <col min="3100" max="3101" width="24.85546875" style="215" bestFit="1" customWidth="1"/>
    <col min="3102" max="3106" width="11.42578125" style="215" bestFit="1" customWidth="1"/>
    <col min="3107" max="3111" width="12.42578125" style="215" bestFit="1" customWidth="1"/>
    <col min="3112" max="3112" width="12" style="215" bestFit="1" customWidth="1"/>
    <col min="3113" max="3328" width="8.85546875" style="215"/>
    <col min="3329" max="3329" width="7.42578125" style="215" customWidth="1"/>
    <col min="3330" max="3330" width="41" style="215" customWidth="1"/>
    <col min="3331" max="3331" width="16" style="215" customWidth="1"/>
    <col min="3332" max="3332" width="16.140625" style="215" bestFit="1" customWidth="1"/>
    <col min="3333" max="3333" width="11.85546875" style="215" customWidth="1"/>
    <col min="3334" max="3334" width="12.42578125" style="215" bestFit="1" customWidth="1"/>
    <col min="3335" max="3336" width="13" style="215" bestFit="1" customWidth="1"/>
    <col min="3337" max="3337" width="12.5703125" style="215" bestFit="1" customWidth="1"/>
    <col min="3338" max="3338" width="13.42578125" style="215" bestFit="1" customWidth="1"/>
    <col min="3339" max="3339" width="13.5703125" style="215" bestFit="1" customWidth="1"/>
    <col min="3340" max="3340" width="14.5703125" style="215" bestFit="1" customWidth="1"/>
    <col min="3341" max="3341" width="14.85546875" style="215" bestFit="1" customWidth="1"/>
    <col min="3342" max="3342" width="17.140625" style="215" customWidth="1"/>
    <col min="3343" max="3343" width="16.42578125" style="215" bestFit="1" customWidth="1"/>
    <col min="3344" max="3344" width="17.140625" style="215" bestFit="1" customWidth="1"/>
    <col min="3345" max="3345" width="24.42578125" style="215" customWidth="1"/>
    <col min="3346" max="3346" width="18.42578125" style="215" bestFit="1" customWidth="1"/>
    <col min="3347" max="3347" width="18.5703125" style="215" bestFit="1" customWidth="1"/>
    <col min="3348" max="3348" width="19.42578125" style="215" bestFit="1" customWidth="1"/>
    <col min="3349" max="3349" width="20.42578125" style="215" bestFit="1" customWidth="1"/>
    <col min="3350" max="3350" width="20.85546875" style="215" bestFit="1" customWidth="1"/>
    <col min="3351" max="3351" width="21.42578125" style="215" bestFit="1" customWidth="1"/>
    <col min="3352" max="3353" width="22.42578125" style="215" bestFit="1" customWidth="1"/>
    <col min="3354" max="3355" width="23.85546875" style="215" bestFit="1" customWidth="1"/>
    <col min="3356" max="3357" width="24.85546875" style="215" bestFit="1" customWidth="1"/>
    <col min="3358" max="3362" width="11.42578125" style="215" bestFit="1" customWidth="1"/>
    <col min="3363" max="3367" width="12.42578125" style="215" bestFit="1" customWidth="1"/>
    <col min="3368" max="3368" width="12" style="215" bestFit="1" customWidth="1"/>
    <col min="3369" max="3584" width="8.85546875" style="215"/>
    <col min="3585" max="3585" width="7.42578125" style="215" customWidth="1"/>
    <col min="3586" max="3586" width="41" style="215" customWidth="1"/>
    <col min="3587" max="3587" width="16" style="215" customWidth="1"/>
    <col min="3588" max="3588" width="16.140625" style="215" bestFit="1" customWidth="1"/>
    <col min="3589" max="3589" width="11.85546875" style="215" customWidth="1"/>
    <col min="3590" max="3590" width="12.42578125" style="215" bestFit="1" customWidth="1"/>
    <col min="3591" max="3592" width="13" style="215" bestFit="1" customWidth="1"/>
    <col min="3593" max="3593" width="12.5703125" style="215" bestFit="1" customWidth="1"/>
    <col min="3594" max="3594" width="13.42578125" style="215" bestFit="1" customWidth="1"/>
    <col min="3595" max="3595" width="13.5703125" style="215" bestFit="1" customWidth="1"/>
    <col min="3596" max="3596" width="14.5703125" style="215" bestFit="1" customWidth="1"/>
    <col min="3597" max="3597" width="14.85546875" style="215" bestFit="1" customWidth="1"/>
    <col min="3598" max="3598" width="17.140625" style="215" customWidth="1"/>
    <col min="3599" max="3599" width="16.42578125" style="215" bestFit="1" customWidth="1"/>
    <col min="3600" max="3600" width="17.140625" style="215" bestFit="1" customWidth="1"/>
    <col min="3601" max="3601" width="24.42578125" style="215" customWidth="1"/>
    <col min="3602" max="3602" width="18.42578125" style="215" bestFit="1" customWidth="1"/>
    <col min="3603" max="3603" width="18.5703125" style="215" bestFit="1" customWidth="1"/>
    <col min="3604" max="3604" width="19.42578125" style="215" bestFit="1" customWidth="1"/>
    <col min="3605" max="3605" width="20.42578125" style="215" bestFit="1" customWidth="1"/>
    <col min="3606" max="3606" width="20.85546875" style="215" bestFit="1" customWidth="1"/>
    <col min="3607" max="3607" width="21.42578125" style="215" bestFit="1" customWidth="1"/>
    <col min="3608" max="3609" width="22.42578125" style="215" bestFit="1" customWidth="1"/>
    <col min="3610" max="3611" width="23.85546875" style="215" bestFit="1" customWidth="1"/>
    <col min="3612" max="3613" width="24.85546875" style="215" bestFit="1" customWidth="1"/>
    <col min="3614" max="3618" width="11.42578125" style="215" bestFit="1" customWidth="1"/>
    <col min="3619" max="3623" width="12.42578125" style="215" bestFit="1" customWidth="1"/>
    <col min="3624" max="3624" width="12" style="215" bestFit="1" customWidth="1"/>
    <col min="3625" max="3840" width="8.85546875" style="215"/>
    <col min="3841" max="3841" width="7.42578125" style="215" customWidth="1"/>
    <col min="3842" max="3842" width="41" style="215" customWidth="1"/>
    <col min="3843" max="3843" width="16" style="215" customWidth="1"/>
    <col min="3844" max="3844" width="16.140625" style="215" bestFit="1" customWidth="1"/>
    <col min="3845" max="3845" width="11.85546875" style="215" customWidth="1"/>
    <col min="3846" max="3846" width="12.42578125" style="215" bestFit="1" customWidth="1"/>
    <col min="3847" max="3848" width="13" style="215" bestFit="1" customWidth="1"/>
    <col min="3849" max="3849" width="12.5703125" style="215" bestFit="1" customWidth="1"/>
    <col min="3850" max="3850" width="13.42578125" style="215" bestFit="1" customWidth="1"/>
    <col min="3851" max="3851" width="13.5703125" style="215" bestFit="1" customWidth="1"/>
    <col min="3852" max="3852" width="14.5703125" style="215" bestFit="1" customWidth="1"/>
    <col min="3853" max="3853" width="14.85546875" style="215" bestFit="1" customWidth="1"/>
    <col min="3854" max="3854" width="17.140625" style="215" customWidth="1"/>
    <col min="3855" max="3855" width="16.42578125" style="215" bestFit="1" customWidth="1"/>
    <col min="3856" max="3856" width="17.140625" style="215" bestFit="1" customWidth="1"/>
    <col min="3857" max="3857" width="24.42578125" style="215" customWidth="1"/>
    <col min="3858" max="3858" width="18.42578125" style="215" bestFit="1" customWidth="1"/>
    <col min="3859" max="3859" width="18.5703125" style="215" bestFit="1" customWidth="1"/>
    <col min="3860" max="3860" width="19.42578125" style="215" bestFit="1" customWidth="1"/>
    <col min="3861" max="3861" width="20.42578125" style="215" bestFit="1" customWidth="1"/>
    <col min="3862" max="3862" width="20.85546875" style="215" bestFit="1" customWidth="1"/>
    <col min="3863" max="3863" width="21.42578125" style="215" bestFit="1" customWidth="1"/>
    <col min="3864" max="3865" width="22.42578125" style="215" bestFit="1" customWidth="1"/>
    <col min="3866" max="3867" width="23.85546875" style="215" bestFit="1" customWidth="1"/>
    <col min="3868" max="3869" width="24.85546875" style="215" bestFit="1" customWidth="1"/>
    <col min="3870" max="3874" width="11.42578125" style="215" bestFit="1" customWidth="1"/>
    <col min="3875" max="3879" width="12.42578125" style="215" bestFit="1" customWidth="1"/>
    <col min="3880" max="3880" width="12" style="215" bestFit="1" customWidth="1"/>
    <col min="3881" max="4096" width="8.85546875" style="215"/>
    <col min="4097" max="4097" width="7.42578125" style="215" customWidth="1"/>
    <col min="4098" max="4098" width="41" style="215" customWidth="1"/>
    <col min="4099" max="4099" width="16" style="215" customWidth="1"/>
    <col min="4100" max="4100" width="16.140625" style="215" bestFit="1" customWidth="1"/>
    <col min="4101" max="4101" width="11.85546875" style="215" customWidth="1"/>
    <col min="4102" max="4102" width="12.42578125" style="215" bestFit="1" customWidth="1"/>
    <col min="4103" max="4104" width="13" style="215" bestFit="1" customWidth="1"/>
    <col min="4105" max="4105" width="12.5703125" style="215" bestFit="1" customWidth="1"/>
    <col min="4106" max="4106" width="13.42578125" style="215" bestFit="1" customWidth="1"/>
    <col min="4107" max="4107" width="13.5703125" style="215" bestFit="1" customWidth="1"/>
    <col min="4108" max="4108" width="14.5703125" style="215" bestFit="1" customWidth="1"/>
    <col min="4109" max="4109" width="14.85546875" style="215" bestFit="1" customWidth="1"/>
    <col min="4110" max="4110" width="17.140625" style="215" customWidth="1"/>
    <col min="4111" max="4111" width="16.42578125" style="215" bestFit="1" customWidth="1"/>
    <col min="4112" max="4112" width="17.140625" style="215" bestFit="1" customWidth="1"/>
    <col min="4113" max="4113" width="24.42578125" style="215" customWidth="1"/>
    <col min="4114" max="4114" width="18.42578125" style="215" bestFit="1" customWidth="1"/>
    <col min="4115" max="4115" width="18.5703125" style="215" bestFit="1" customWidth="1"/>
    <col min="4116" max="4116" width="19.42578125" style="215" bestFit="1" customWidth="1"/>
    <col min="4117" max="4117" width="20.42578125" style="215" bestFit="1" customWidth="1"/>
    <col min="4118" max="4118" width="20.85546875" style="215" bestFit="1" customWidth="1"/>
    <col min="4119" max="4119" width="21.42578125" style="215" bestFit="1" customWidth="1"/>
    <col min="4120" max="4121" width="22.42578125" style="215" bestFit="1" customWidth="1"/>
    <col min="4122" max="4123" width="23.85546875" style="215" bestFit="1" customWidth="1"/>
    <col min="4124" max="4125" width="24.85546875" style="215" bestFit="1" customWidth="1"/>
    <col min="4126" max="4130" width="11.42578125" style="215" bestFit="1" customWidth="1"/>
    <col min="4131" max="4135" width="12.42578125" style="215" bestFit="1" customWidth="1"/>
    <col min="4136" max="4136" width="12" style="215" bestFit="1" customWidth="1"/>
    <col min="4137" max="4352" width="8.85546875" style="215"/>
    <col min="4353" max="4353" width="7.42578125" style="215" customWidth="1"/>
    <col min="4354" max="4354" width="41" style="215" customWidth="1"/>
    <col min="4355" max="4355" width="16" style="215" customWidth="1"/>
    <col min="4356" max="4356" width="16.140625" style="215" bestFit="1" customWidth="1"/>
    <col min="4357" max="4357" width="11.85546875" style="215" customWidth="1"/>
    <col min="4358" max="4358" width="12.42578125" style="215" bestFit="1" customWidth="1"/>
    <col min="4359" max="4360" width="13" style="215" bestFit="1" customWidth="1"/>
    <col min="4361" max="4361" width="12.5703125" style="215" bestFit="1" customWidth="1"/>
    <col min="4362" max="4362" width="13.42578125" style="215" bestFit="1" customWidth="1"/>
    <col min="4363" max="4363" width="13.5703125" style="215" bestFit="1" customWidth="1"/>
    <col min="4364" max="4364" width="14.5703125" style="215" bestFit="1" customWidth="1"/>
    <col min="4365" max="4365" width="14.85546875" style="215" bestFit="1" customWidth="1"/>
    <col min="4366" max="4366" width="17.140625" style="215" customWidth="1"/>
    <col min="4367" max="4367" width="16.42578125" style="215" bestFit="1" customWidth="1"/>
    <col min="4368" max="4368" width="17.140625" style="215" bestFit="1" customWidth="1"/>
    <col min="4369" max="4369" width="24.42578125" style="215" customWidth="1"/>
    <col min="4370" max="4370" width="18.42578125" style="215" bestFit="1" customWidth="1"/>
    <col min="4371" max="4371" width="18.5703125" style="215" bestFit="1" customWidth="1"/>
    <col min="4372" max="4372" width="19.42578125" style="215" bestFit="1" customWidth="1"/>
    <col min="4373" max="4373" width="20.42578125" style="215" bestFit="1" customWidth="1"/>
    <col min="4374" max="4374" width="20.85546875" style="215" bestFit="1" customWidth="1"/>
    <col min="4375" max="4375" width="21.42578125" style="215" bestFit="1" customWidth="1"/>
    <col min="4376" max="4377" width="22.42578125" style="215" bestFit="1" customWidth="1"/>
    <col min="4378" max="4379" width="23.85546875" style="215" bestFit="1" customWidth="1"/>
    <col min="4380" max="4381" width="24.85546875" style="215" bestFit="1" customWidth="1"/>
    <col min="4382" max="4386" width="11.42578125" style="215" bestFit="1" customWidth="1"/>
    <col min="4387" max="4391" width="12.42578125" style="215" bestFit="1" customWidth="1"/>
    <col min="4392" max="4392" width="12" style="215" bestFit="1" customWidth="1"/>
    <col min="4393" max="4608" width="8.85546875" style="215"/>
    <col min="4609" max="4609" width="7.42578125" style="215" customWidth="1"/>
    <col min="4610" max="4610" width="41" style="215" customWidth="1"/>
    <col min="4611" max="4611" width="16" style="215" customWidth="1"/>
    <col min="4612" max="4612" width="16.140625" style="215" bestFit="1" customWidth="1"/>
    <col min="4613" max="4613" width="11.85546875" style="215" customWidth="1"/>
    <col min="4614" max="4614" width="12.42578125" style="215" bestFit="1" customWidth="1"/>
    <col min="4615" max="4616" width="13" style="215" bestFit="1" customWidth="1"/>
    <col min="4617" max="4617" width="12.5703125" style="215" bestFit="1" customWidth="1"/>
    <col min="4618" max="4618" width="13.42578125" style="215" bestFit="1" customWidth="1"/>
    <col min="4619" max="4619" width="13.5703125" style="215" bestFit="1" customWidth="1"/>
    <col min="4620" max="4620" width="14.5703125" style="215" bestFit="1" customWidth="1"/>
    <col min="4621" max="4621" width="14.85546875" style="215" bestFit="1" customWidth="1"/>
    <col min="4622" max="4622" width="17.140625" style="215" customWidth="1"/>
    <col min="4623" max="4623" width="16.42578125" style="215" bestFit="1" customWidth="1"/>
    <col min="4624" max="4624" width="17.140625" style="215" bestFit="1" customWidth="1"/>
    <col min="4625" max="4625" width="24.42578125" style="215" customWidth="1"/>
    <col min="4626" max="4626" width="18.42578125" style="215" bestFit="1" customWidth="1"/>
    <col min="4627" max="4627" width="18.5703125" style="215" bestFit="1" customWidth="1"/>
    <col min="4628" max="4628" width="19.42578125" style="215" bestFit="1" customWidth="1"/>
    <col min="4629" max="4629" width="20.42578125" style="215" bestFit="1" customWidth="1"/>
    <col min="4630" max="4630" width="20.85546875" style="215" bestFit="1" customWidth="1"/>
    <col min="4631" max="4631" width="21.42578125" style="215" bestFit="1" customWidth="1"/>
    <col min="4632" max="4633" width="22.42578125" style="215" bestFit="1" customWidth="1"/>
    <col min="4634" max="4635" width="23.85546875" style="215" bestFit="1" customWidth="1"/>
    <col min="4636" max="4637" width="24.85546875" style="215" bestFit="1" customWidth="1"/>
    <col min="4638" max="4642" width="11.42578125" style="215" bestFit="1" customWidth="1"/>
    <col min="4643" max="4647" width="12.42578125" style="215" bestFit="1" customWidth="1"/>
    <col min="4648" max="4648" width="12" style="215" bestFit="1" customWidth="1"/>
    <col min="4649" max="4864" width="8.85546875" style="215"/>
    <col min="4865" max="4865" width="7.42578125" style="215" customWidth="1"/>
    <col min="4866" max="4866" width="41" style="215" customWidth="1"/>
    <col min="4867" max="4867" width="16" style="215" customWidth="1"/>
    <col min="4868" max="4868" width="16.140625" style="215" bestFit="1" customWidth="1"/>
    <col min="4869" max="4869" width="11.85546875" style="215" customWidth="1"/>
    <col min="4870" max="4870" width="12.42578125" style="215" bestFit="1" customWidth="1"/>
    <col min="4871" max="4872" width="13" style="215" bestFit="1" customWidth="1"/>
    <col min="4873" max="4873" width="12.5703125" style="215" bestFit="1" customWidth="1"/>
    <col min="4874" max="4874" width="13.42578125" style="215" bestFit="1" customWidth="1"/>
    <col min="4875" max="4875" width="13.5703125" style="215" bestFit="1" customWidth="1"/>
    <col min="4876" max="4876" width="14.5703125" style="215" bestFit="1" customWidth="1"/>
    <col min="4877" max="4877" width="14.85546875" style="215" bestFit="1" customWidth="1"/>
    <col min="4878" max="4878" width="17.140625" style="215" customWidth="1"/>
    <col min="4879" max="4879" width="16.42578125" style="215" bestFit="1" customWidth="1"/>
    <col min="4880" max="4880" width="17.140625" style="215" bestFit="1" customWidth="1"/>
    <col min="4881" max="4881" width="24.42578125" style="215" customWidth="1"/>
    <col min="4882" max="4882" width="18.42578125" style="215" bestFit="1" customWidth="1"/>
    <col min="4883" max="4883" width="18.5703125" style="215" bestFit="1" customWidth="1"/>
    <col min="4884" max="4884" width="19.42578125" style="215" bestFit="1" customWidth="1"/>
    <col min="4885" max="4885" width="20.42578125" style="215" bestFit="1" customWidth="1"/>
    <col min="4886" max="4886" width="20.85546875" style="215" bestFit="1" customWidth="1"/>
    <col min="4887" max="4887" width="21.42578125" style="215" bestFit="1" customWidth="1"/>
    <col min="4888" max="4889" width="22.42578125" style="215" bestFit="1" customWidth="1"/>
    <col min="4890" max="4891" width="23.85546875" style="215" bestFit="1" customWidth="1"/>
    <col min="4892" max="4893" width="24.85546875" style="215" bestFit="1" customWidth="1"/>
    <col min="4894" max="4898" width="11.42578125" style="215" bestFit="1" customWidth="1"/>
    <col min="4899" max="4903" width="12.42578125" style="215" bestFit="1" customWidth="1"/>
    <col min="4904" max="4904" width="12" style="215" bestFit="1" customWidth="1"/>
    <col min="4905" max="5120" width="8.85546875" style="215"/>
    <col min="5121" max="5121" width="7.42578125" style="215" customWidth="1"/>
    <col min="5122" max="5122" width="41" style="215" customWidth="1"/>
    <col min="5123" max="5123" width="16" style="215" customWidth="1"/>
    <col min="5124" max="5124" width="16.140625" style="215" bestFit="1" customWidth="1"/>
    <col min="5125" max="5125" width="11.85546875" style="215" customWidth="1"/>
    <col min="5126" max="5126" width="12.42578125" style="215" bestFit="1" customWidth="1"/>
    <col min="5127" max="5128" width="13" style="215" bestFit="1" customWidth="1"/>
    <col min="5129" max="5129" width="12.5703125" style="215" bestFit="1" customWidth="1"/>
    <col min="5130" max="5130" width="13.42578125" style="215" bestFit="1" customWidth="1"/>
    <col min="5131" max="5131" width="13.5703125" style="215" bestFit="1" customWidth="1"/>
    <col min="5132" max="5132" width="14.5703125" style="215" bestFit="1" customWidth="1"/>
    <col min="5133" max="5133" width="14.85546875" style="215" bestFit="1" customWidth="1"/>
    <col min="5134" max="5134" width="17.140625" style="215" customWidth="1"/>
    <col min="5135" max="5135" width="16.42578125" style="215" bestFit="1" customWidth="1"/>
    <col min="5136" max="5136" width="17.140625" style="215" bestFit="1" customWidth="1"/>
    <col min="5137" max="5137" width="24.42578125" style="215" customWidth="1"/>
    <col min="5138" max="5138" width="18.42578125" style="215" bestFit="1" customWidth="1"/>
    <col min="5139" max="5139" width="18.5703125" style="215" bestFit="1" customWidth="1"/>
    <col min="5140" max="5140" width="19.42578125" style="215" bestFit="1" customWidth="1"/>
    <col min="5141" max="5141" width="20.42578125" style="215" bestFit="1" customWidth="1"/>
    <col min="5142" max="5142" width="20.85546875" style="215" bestFit="1" customWidth="1"/>
    <col min="5143" max="5143" width="21.42578125" style="215" bestFit="1" customWidth="1"/>
    <col min="5144" max="5145" width="22.42578125" style="215" bestFit="1" customWidth="1"/>
    <col min="5146" max="5147" width="23.85546875" style="215" bestFit="1" customWidth="1"/>
    <col min="5148" max="5149" width="24.85546875" style="215" bestFit="1" customWidth="1"/>
    <col min="5150" max="5154" width="11.42578125" style="215" bestFit="1" customWidth="1"/>
    <col min="5155" max="5159" width="12.42578125" style="215" bestFit="1" customWidth="1"/>
    <col min="5160" max="5160" width="12" style="215" bestFit="1" customWidth="1"/>
    <col min="5161" max="5376" width="8.85546875" style="215"/>
    <col min="5377" max="5377" width="7.42578125" style="215" customWidth="1"/>
    <col min="5378" max="5378" width="41" style="215" customWidth="1"/>
    <col min="5379" max="5379" width="16" style="215" customWidth="1"/>
    <col min="5380" max="5380" width="16.140625" style="215" bestFit="1" customWidth="1"/>
    <col min="5381" max="5381" width="11.85546875" style="215" customWidth="1"/>
    <col min="5382" max="5382" width="12.42578125" style="215" bestFit="1" customWidth="1"/>
    <col min="5383" max="5384" width="13" style="215" bestFit="1" customWidth="1"/>
    <col min="5385" max="5385" width="12.5703125" style="215" bestFit="1" customWidth="1"/>
    <col min="5386" max="5386" width="13.42578125" style="215" bestFit="1" customWidth="1"/>
    <col min="5387" max="5387" width="13.5703125" style="215" bestFit="1" customWidth="1"/>
    <col min="5388" max="5388" width="14.5703125" style="215" bestFit="1" customWidth="1"/>
    <col min="5389" max="5389" width="14.85546875" style="215" bestFit="1" customWidth="1"/>
    <col min="5390" max="5390" width="17.140625" style="215" customWidth="1"/>
    <col min="5391" max="5391" width="16.42578125" style="215" bestFit="1" customWidth="1"/>
    <col min="5392" max="5392" width="17.140625" style="215" bestFit="1" customWidth="1"/>
    <col min="5393" max="5393" width="24.42578125" style="215" customWidth="1"/>
    <col min="5394" max="5394" width="18.42578125" style="215" bestFit="1" customWidth="1"/>
    <col min="5395" max="5395" width="18.5703125" style="215" bestFit="1" customWidth="1"/>
    <col min="5396" max="5396" width="19.42578125" style="215" bestFit="1" customWidth="1"/>
    <col min="5397" max="5397" width="20.42578125" style="215" bestFit="1" customWidth="1"/>
    <col min="5398" max="5398" width="20.85546875" style="215" bestFit="1" customWidth="1"/>
    <col min="5399" max="5399" width="21.42578125" style="215" bestFit="1" customWidth="1"/>
    <col min="5400" max="5401" width="22.42578125" style="215" bestFit="1" customWidth="1"/>
    <col min="5402" max="5403" width="23.85546875" style="215" bestFit="1" customWidth="1"/>
    <col min="5404" max="5405" width="24.85546875" style="215" bestFit="1" customWidth="1"/>
    <col min="5406" max="5410" width="11.42578125" style="215" bestFit="1" customWidth="1"/>
    <col min="5411" max="5415" width="12.42578125" style="215" bestFit="1" customWidth="1"/>
    <col min="5416" max="5416" width="12" style="215" bestFit="1" customWidth="1"/>
    <col min="5417" max="5632" width="8.85546875" style="215"/>
    <col min="5633" max="5633" width="7.42578125" style="215" customWidth="1"/>
    <col min="5634" max="5634" width="41" style="215" customWidth="1"/>
    <col min="5635" max="5635" width="16" style="215" customWidth="1"/>
    <col min="5636" max="5636" width="16.140625" style="215" bestFit="1" customWidth="1"/>
    <col min="5637" max="5637" width="11.85546875" style="215" customWidth="1"/>
    <col min="5638" max="5638" width="12.42578125" style="215" bestFit="1" customWidth="1"/>
    <col min="5639" max="5640" width="13" style="215" bestFit="1" customWidth="1"/>
    <col min="5641" max="5641" width="12.5703125" style="215" bestFit="1" customWidth="1"/>
    <col min="5642" max="5642" width="13.42578125" style="215" bestFit="1" customWidth="1"/>
    <col min="5643" max="5643" width="13.5703125" style="215" bestFit="1" customWidth="1"/>
    <col min="5644" max="5644" width="14.5703125" style="215" bestFit="1" customWidth="1"/>
    <col min="5645" max="5645" width="14.85546875" style="215" bestFit="1" customWidth="1"/>
    <col min="5646" max="5646" width="17.140625" style="215" customWidth="1"/>
    <col min="5647" max="5647" width="16.42578125" style="215" bestFit="1" customWidth="1"/>
    <col min="5648" max="5648" width="17.140625" style="215" bestFit="1" customWidth="1"/>
    <col min="5649" max="5649" width="24.42578125" style="215" customWidth="1"/>
    <col min="5650" max="5650" width="18.42578125" style="215" bestFit="1" customWidth="1"/>
    <col min="5651" max="5651" width="18.5703125" style="215" bestFit="1" customWidth="1"/>
    <col min="5652" max="5652" width="19.42578125" style="215" bestFit="1" customWidth="1"/>
    <col min="5653" max="5653" width="20.42578125" style="215" bestFit="1" customWidth="1"/>
    <col min="5654" max="5654" width="20.85546875" style="215" bestFit="1" customWidth="1"/>
    <col min="5655" max="5655" width="21.42578125" style="215" bestFit="1" customWidth="1"/>
    <col min="5656" max="5657" width="22.42578125" style="215" bestFit="1" customWidth="1"/>
    <col min="5658" max="5659" width="23.85546875" style="215" bestFit="1" customWidth="1"/>
    <col min="5660" max="5661" width="24.85546875" style="215" bestFit="1" customWidth="1"/>
    <col min="5662" max="5666" width="11.42578125" style="215" bestFit="1" customWidth="1"/>
    <col min="5667" max="5671" width="12.42578125" style="215" bestFit="1" customWidth="1"/>
    <col min="5672" max="5672" width="12" style="215" bestFit="1" customWidth="1"/>
    <col min="5673" max="5888" width="8.85546875" style="215"/>
    <col min="5889" max="5889" width="7.42578125" style="215" customWidth="1"/>
    <col min="5890" max="5890" width="41" style="215" customWidth="1"/>
    <col min="5891" max="5891" width="16" style="215" customWidth="1"/>
    <col min="5892" max="5892" width="16.140625" style="215" bestFit="1" customWidth="1"/>
    <col min="5893" max="5893" width="11.85546875" style="215" customWidth="1"/>
    <col min="5894" max="5894" width="12.42578125" style="215" bestFit="1" customWidth="1"/>
    <col min="5895" max="5896" width="13" style="215" bestFit="1" customWidth="1"/>
    <col min="5897" max="5897" width="12.5703125" style="215" bestFit="1" customWidth="1"/>
    <col min="5898" max="5898" width="13.42578125" style="215" bestFit="1" customWidth="1"/>
    <col min="5899" max="5899" width="13.5703125" style="215" bestFit="1" customWidth="1"/>
    <col min="5900" max="5900" width="14.5703125" style="215" bestFit="1" customWidth="1"/>
    <col min="5901" max="5901" width="14.85546875" style="215" bestFit="1" customWidth="1"/>
    <col min="5902" max="5902" width="17.140625" style="215" customWidth="1"/>
    <col min="5903" max="5903" width="16.42578125" style="215" bestFit="1" customWidth="1"/>
    <col min="5904" max="5904" width="17.140625" style="215" bestFit="1" customWidth="1"/>
    <col min="5905" max="5905" width="24.42578125" style="215" customWidth="1"/>
    <col min="5906" max="5906" width="18.42578125" style="215" bestFit="1" customWidth="1"/>
    <col min="5907" max="5907" width="18.5703125" style="215" bestFit="1" customWidth="1"/>
    <col min="5908" max="5908" width="19.42578125" style="215" bestFit="1" customWidth="1"/>
    <col min="5909" max="5909" width="20.42578125" style="215" bestFit="1" customWidth="1"/>
    <col min="5910" max="5910" width="20.85546875" style="215" bestFit="1" customWidth="1"/>
    <col min="5911" max="5911" width="21.42578125" style="215" bestFit="1" customWidth="1"/>
    <col min="5912" max="5913" width="22.42578125" style="215" bestFit="1" customWidth="1"/>
    <col min="5914" max="5915" width="23.85546875" style="215" bestFit="1" customWidth="1"/>
    <col min="5916" max="5917" width="24.85546875" style="215" bestFit="1" customWidth="1"/>
    <col min="5918" max="5922" width="11.42578125" style="215" bestFit="1" customWidth="1"/>
    <col min="5923" max="5927" width="12.42578125" style="215" bestFit="1" customWidth="1"/>
    <col min="5928" max="5928" width="12" style="215" bestFit="1" customWidth="1"/>
    <col min="5929" max="6144" width="8.85546875" style="215"/>
    <col min="6145" max="6145" width="7.42578125" style="215" customWidth="1"/>
    <col min="6146" max="6146" width="41" style="215" customWidth="1"/>
    <col min="6147" max="6147" width="16" style="215" customWidth="1"/>
    <col min="6148" max="6148" width="16.140625" style="215" bestFit="1" customWidth="1"/>
    <col min="6149" max="6149" width="11.85546875" style="215" customWidth="1"/>
    <col min="6150" max="6150" width="12.42578125" style="215" bestFit="1" customWidth="1"/>
    <col min="6151" max="6152" width="13" style="215" bestFit="1" customWidth="1"/>
    <col min="6153" max="6153" width="12.5703125" style="215" bestFit="1" customWidth="1"/>
    <col min="6154" max="6154" width="13.42578125" style="215" bestFit="1" customWidth="1"/>
    <col min="6155" max="6155" width="13.5703125" style="215" bestFit="1" customWidth="1"/>
    <col min="6156" max="6156" width="14.5703125" style="215" bestFit="1" customWidth="1"/>
    <col min="6157" max="6157" width="14.85546875" style="215" bestFit="1" customWidth="1"/>
    <col min="6158" max="6158" width="17.140625" style="215" customWidth="1"/>
    <col min="6159" max="6159" width="16.42578125" style="215" bestFit="1" customWidth="1"/>
    <col min="6160" max="6160" width="17.140625" style="215" bestFit="1" customWidth="1"/>
    <col min="6161" max="6161" width="24.42578125" style="215" customWidth="1"/>
    <col min="6162" max="6162" width="18.42578125" style="215" bestFit="1" customWidth="1"/>
    <col min="6163" max="6163" width="18.5703125" style="215" bestFit="1" customWidth="1"/>
    <col min="6164" max="6164" width="19.42578125" style="215" bestFit="1" customWidth="1"/>
    <col min="6165" max="6165" width="20.42578125" style="215" bestFit="1" customWidth="1"/>
    <col min="6166" max="6166" width="20.85546875" style="215" bestFit="1" customWidth="1"/>
    <col min="6167" max="6167" width="21.42578125" style="215" bestFit="1" customWidth="1"/>
    <col min="6168" max="6169" width="22.42578125" style="215" bestFit="1" customWidth="1"/>
    <col min="6170" max="6171" width="23.85546875" style="215" bestFit="1" customWidth="1"/>
    <col min="6172" max="6173" width="24.85546875" style="215" bestFit="1" customWidth="1"/>
    <col min="6174" max="6178" width="11.42578125" style="215" bestFit="1" customWidth="1"/>
    <col min="6179" max="6183" width="12.42578125" style="215" bestFit="1" customWidth="1"/>
    <col min="6184" max="6184" width="12" style="215" bestFit="1" customWidth="1"/>
    <col min="6185" max="6400" width="8.85546875" style="215"/>
    <col min="6401" max="6401" width="7.42578125" style="215" customWidth="1"/>
    <col min="6402" max="6402" width="41" style="215" customWidth="1"/>
    <col min="6403" max="6403" width="16" style="215" customWidth="1"/>
    <col min="6404" max="6404" width="16.140625" style="215" bestFit="1" customWidth="1"/>
    <col min="6405" max="6405" width="11.85546875" style="215" customWidth="1"/>
    <col min="6406" max="6406" width="12.42578125" style="215" bestFit="1" customWidth="1"/>
    <col min="6407" max="6408" width="13" style="215" bestFit="1" customWidth="1"/>
    <col min="6409" max="6409" width="12.5703125" style="215" bestFit="1" customWidth="1"/>
    <col min="6410" max="6410" width="13.42578125" style="215" bestFit="1" customWidth="1"/>
    <col min="6411" max="6411" width="13.5703125" style="215" bestFit="1" customWidth="1"/>
    <col min="6412" max="6412" width="14.5703125" style="215" bestFit="1" customWidth="1"/>
    <col min="6413" max="6413" width="14.85546875" style="215" bestFit="1" customWidth="1"/>
    <col min="6414" max="6414" width="17.140625" style="215" customWidth="1"/>
    <col min="6415" max="6415" width="16.42578125" style="215" bestFit="1" customWidth="1"/>
    <col min="6416" max="6416" width="17.140625" style="215" bestFit="1" customWidth="1"/>
    <col min="6417" max="6417" width="24.42578125" style="215" customWidth="1"/>
    <col min="6418" max="6418" width="18.42578125" style="215" bestFit="1" customWidth="1"/>
    <col min="6419" max="6419" width="18.5703125" style="215" bestFit="1" customWidth="1"/>
    <col min="6420" max="6420" width="19.42578125" style="215" bestFit="1" customWidth="1"/>
    <col min="6421" max="6421" width="20.42578125" style="215" bestFit="1" customWidth="1"/>
    <col min="6422" max="6422" width="20.85546875" style="215" bestFit="1" customWidth="1"/>
    <col min="6423" max="6423" width="21.42578125" style="215" bestFit="1" customWidth="1"/>
    <col min="6424" max="6425" width="22.42578125" style="215" bestFit="1" customWidth="1"/>
    <col min="6426" max="6427" width="23.85546875" style="215" bestFit="1" customWidth="1"/>
    <col min="6428" max="6429" width="24.85546875" style="215" bestFit="1" customWidth="1"/>
    <col min="6430" max="6434" width="11.42578125" style="215" bestFit="1" customWidth="1"/>
    <col min="6435" max="6439" width="12.42578125" style="215" bestFit="1" customWidth="1"/>
    <col min="6440" max="6440" width="12" style="215" bestFit="1" customWidth="1"/>
    <col min="6441" max="6656" width="8.85546875" style="215"/>
    <col min="6657" max="6657" width="7.42578125" style="215" customWidth="1"/>
    <col min="6658" max="6658" width="41" style="215" customWidth="1"/>
    <col min="6659" max="6659" width="16" style="215" customWidth="1"/>
    <col min="6660" max="6660" width="16.140625" style="215" bestFit="1" customWidth="1"/>
    <col min="6661" max="6661" width="11.85546875" style="215" customWidth="1"/>
    <col min="6662" max="6662" width="12.42578125" style="215" bestFit="1" customWidth="1"/>
    <col min="6663" max="6664" width="13" style="215" bestFit="1" customWidth="1"/>
    <col min="6665" max="6665" width="12.5703125" style="215" bestFit="1" customWidth="1"/>
    <col min="6666" max="6666" width="13.42578125" style="215" bestFit="1" customWidth="1"/>
    <col min="6667" max="6667" width="13.5703125" style="215" bestFit="1" customWidth="1"/>
    <col min="6668" max="6668" width="14.5703125" style="215" bestFit="1" customWidth="1"/>
    <col min="6669" max="6669" width="14.85546875" style="215" bestFit="1" customWidth="1"/>
    <col min="6670" max="6670" width="17.140625" style="215" customWidth="1"/>
    <col min="6671" max="6671" width="16.42578125" style="215" bestFit="1" customWidth="1"/>
    <col min="6672" max="6672" width="17.140625" style="215" bestFit="1" customWidth="1"/>
    <col min="6673" max="6673" width="24.42578125" style="215" customWidth="1"/>
    <col min="6674" max="6674" width="18.42578125" style="215" bestFit="1" customWidth="1"/>
    <col min="6675" max="6675" width="18.5703125" style="215" bestFit="1" customWidth="1"/>
    <col min="6676" max="6676" width="19.42578125" style="215" bestFit="1" customWidth="1"/>
    <col min="6677" max="6677" width="20.42578125" style="215" bestFit="1" customWidth="1"/>
    <col min="6678" max="6678" width="20.85546875" style="215" bestFit="1" customWidth="1"/>
    <col min="6679" max="6679" width="21.42578125" style="215" bestFit="1" customWidth="1"/>
    <col min="6680" max="6681" width="22.42578125" style="215" bestFit="1" customWidth="1"/>
    <col min="6682" max="6683" width="23.85546875" style="215" bestFit="1" customWidth="1"/>
    <col min="6684" max="6685" width="24.85546875" style="215" bestFit="1" customWidth="1"/>
    <col min="6686" max="6690" width="11.42578125" style="215" bestFit="1" customWidth="1"/>
    <col min="6691" max="6695" width="12.42578125" style="215" bestFit="1" customWidth="1"/>
    <col min="6696" max="6696" width="12" style="215" bestFit="1" customWidth="1"/>
    <col min="6697" max="6912" width="8.85546875" style="215"/>
    <col min="6913" max="6913" width="7.42578125" style="215" customWidth="1"/>
    <col min="6914" max="6914" width="41" style="215" customWidth="1"/>
    <col min="6915" max="6915" width="16" style="215" customWidth="1"/>
    <col min="6916" max="6916" width="16.140625" style="215" bestFit="1" customWidth="1"/>
    <col min="6917" max="6917" width="11.85546875" style="215" customWidth="1"/>
    <col min="6918" max="6918" width="12.42578125" style="215" bestFit="1" customWidth="1"/>
    <col min="6919" max="6920" width="13" style="215" bestFit="1" customWidth="1"/>
    <col min="6921" max="6921" width="12.5703125" style="215" bestFit="1" customWidth="1"/>
    <col min="6922" max="6922" width="13.42578125" style="215" bestFit="1" customWidth="1"/>
    <col min="6923" max="6923" width="13.5703125" style="215" bestFit="1" customWidth="1"/>
    <col min="6924" max="6924" width="14.5703125" style="215" bestFit="1" customWidth="1"/>
    <col min="6925" max="6925" width="14.85546875" style="215" bestFit="1" customWidth="1"/>
    <col min="6926" max="6926" width="17.140625" style="215" customWidth="1"/>
    <col min="6927" max="6927" width="16.42578125" style="215" bestFit="1" customWidth="1"/>
    <col min="6928" max="6928" width="17.140625" style="215" bestFit="1" customWidth="1"/>
    <col min="6929" max="6929" width="24.42578125" style="215" customWidth="1"/>
    <col min="6930" max="6930" width="18.42578125" style="215" bestFit="1" customWidth="1"/>
    <col min="6931" max="6931" width="18.5703125" style="215" bestFit="1" customWidth="1"/>
    <col min="6932" max="6932" width="19.42578125" style="215" bestFit="1" customWidth="1"/>
    <col min="6933" max="6933" width="20.42578125" style="215" bestFit="1" customWidth="1"/>
    <col min="6934" max="6934" width="20.85546875" style="215" bestFit="1" customWidth="1"/>
    <col min="6935" max="6935" width="21.42578125" style="215" bestFit="1" customWidth="1"/>
    <col min="6936" max="6937" width="22.42578125" style="215" bestFit="1" customWidth="1"/>
    <col min="6938" max="6939" width="23.85546875" style="215" bestFit="1" customWidth="1"/>
    <col min="6940" max="6941" width="24.85546875" style="215" bestFit="1" customWidth="1"/>
    <col min="6942" max="6946" width="11.42578125" style="215" bestFit="1" customWidth="1"/>
    <col min="6947" max="6951" width="12.42578125" style="215" bestFit="1" customWidth="1"/>
    <col min="6952" max="6952" width="12" style="215" bestFit="1" customWidth="1"/>
    <col min="6953" max="7168" width="8.85546875" style="215"/>
    <col min="7169" max="7169" width="7.42578125" style="215" customWidth="1"/>
    <col min="7170" max="7170" width="41" style="215" customWidth="1"/>
    <col min="7171" max="7171" width="16" style="215" customWidth="1"/>
    <col min="7172" max="7172" width="16.140625" style="215" bestFit="1" customWidth="1"/>
    <col min="7173" max="7173" width="11.85546875" style="215" customWidth="1"/>
    <col min="7174" max="7174" width="12.42578125" style="215" bestFit="1" customWidth="1"/>
    <col min="7175" max="7176" width="13" style="215" bestFit="1" customWidth="1"/>
    <col min="7177" max="7177" width="12.5703125" style="215" bestFit="1" customWidth="1"/>
    <col min="7178" max="7178" width="13.42578125" style="215" bestFit="1" customWidth="1"/>
    <col min="7179" max="7179" width="13.5703125" style="215" bestFit="1" customWidth="1"/>
    <col min="7180" max="7180" width="14.5703125" style="215" bestFit="1" customWidth="1"/>
    <col min="7181" max="7181" width="14.85546875" style="215" bestFit="1" customWidth="1"/>
    <col min="7182" max="7182" width="17.140625" style="215" customWidth="1"/>
    <col min="7183" max="7183" width="16.42578125" style="215" bestFit="1" customWidth="1"/>
    <col min="7184" max="7184" width="17.140625" style="215" bestFit="1" customWidth="1"/>
    <col min="7185" max="7185" width="24.42578125" style="215" customWidth="1"/>
    <col min="7186" max="7186" width="18.42578125" style="215" bestFit="1" customWidth="1"/>
    <col min="7187" max="7187" width="18.5703125" style="215" bestFit="1" customWidth="1"/>
    <col min="7188" max="7188" width="19.42578125" style="215" bestFit="1" customWidth="1"/>
    <col min="7189" max="7189" width="20.42578125" style="215" bestFit="1" customWidth="1"/>
    <col min="7190" max="7190" width="20.85546875" style="215" bestFit="1" customWidth="1"/>
    <col min="7191" max="7191" width="21.42578125" style="215" bestFit="1" customWidth="1"/>
    <col min="7192" max="7193" width="22.42578125" style="215" bestFit="1" customWidth="1"/>
    <col min="7194" max="7195" width="23.85546875" style="215" bestFit="1" customWidth="1"/>
    <col min="7196" max="7197" width="24.85546875" style="215" bestFit="1" customWidth="1"/>
    <col min="7198" max="7202" width="11.42578125" style="215" bestFit="1" customWidth="1"/>
    <col min="7203" max="7207" width="12.42578125" style="215" bestFit="1" customWidth="1"/>
    <col min="7208" max="7208" width="12" style="215" bestFit="1" customWidth="1"/>
    <col min="7209" max="7424" width="8.85546875" style="215"/>
    <col min="7425" max="7425" width="7.42578125" style="215" customWidth="1"/>
    <col min="7426" max="7426" width="41" style="215" customWidth="1"/>
    <col min="7427" max="7427" width="16" style="215" customWidth="1"/>
    <col min="7428" max="7428" width="16.140625" style="215" bestFit="1" customWidth="1"/>
    <col min="7429" max="7429" width="11.85546875" style="215" customWidth="1"/>
    <col min="7430" max="7430" width="12.42578125" style="215" bestFit="1" customWidth="1"/>
    <col min="7431" max="7432" width="13" style="215" bestFit="1" customWidth="1"/>
    <col min="7433" max="7433" width="12.5703125" style="215" bestFit="1" customWidth="1"/>
    <col min="7434" max="7434" width="13.42578125" style="215" bestFit="1" customWidth="1"/>
    <col min="7435" max="7435" width="13.5703125" style="215" bestFit="1" customWidth="1"/>
    <col min="7436" max="7436" width="14.5703125" style="215" bestFit="1" customWidth="1"/>
    <col min="7437" max="7437" width="14.85546875" style="215" bestFit="1" customWidth="1"/>
    <col min="7438" max="7438" width="17.140625" style="215" customWidth="1"/>
    <col min="7439" max="7439" width="16.42578125" style="215" bestFit="1" customWidth="1"/>
    <col min="7440" max="7440" width="17.140625" style="215" bestFit="1" customWidth="1"/>
    <col min="7441" max="7441" width="24.42578125" style="215" customWidth="1"/>
    <col min="7442" max="7442" width="18.42578125" style="215" bestFit="1" customWidth="1"/>
    <col min="7443" max="7443" width="18.5703125" style="215" bestFit="1" customWidth="1"/>
    <col min="7444" max="7444" width="19.42578125" style="215" bestFit="1" customWidth="1"/>
    <col min="7445" max="7445" width="20.42578125" style="215" bestFit="1" customWidth="1"/>
    <col min="7446" max="7446" width="20.85546875" style="215" bestFit="1" customWidth="1"/>
    <col min="7447" max="7447" width="21.42578125" style="215" bestFit="1" customWidth="1"/>
    <col min="7448" max="7449" width="22.42578125" style="215" bestFit="1" customWidth="1"/>
    <col min="7450" max="7451" width="23.85546875" style="215" bestFit="1" customWidth="1"/>
    <col min="7452" max="7453" width="24.85546875" style="215" bestFit="1" customWidth="1"/>
    <col min="7454" max="7458" width="11.42578125" style="215" bestFit="1" customWidth="1"/>
    <col min="7459" max="7463" width="12.42578125" style="215" bestFit="1" customWidth="1"/>
    <col min="7464" max="7464" width="12" style="215" bestFit="1" customWidth="1"/>
    <col min="7465" max="7680" width="8.85546875" style="215"/>
    <col min="7681" max="7681" width="7.42578125" style="215" customWidth="1"/>
    <col min="7682" max="7682" width="41" style="215" customWidth="1"/>
    <col min="7683" max="7683" width="16" style="215" customWidth="1"/>
    <col min="7684" max="7684" width="16.140625" style="215" bestFit="1" customWidth="1"/>
    <col min="7685" max="7685" width="11.85546875" style="215" customWidth="1"/>
    <col min="7686" max="7686" width="12.42578125" style="215" bestFit="1" customWidth="1"/>
    <col min="7687" max="7688" width="13" style="215" bestFit="1" customWidth="1"/>
    <col min="7689" max="7689" width="12.5703125" style="215" bestFit="1" customWidth="1"/>
    <col min="7690" max="7690" width="13.42578125" style="215" bestFit="1" customWidth="1"/>
    <col min="7691" max="7691" width="13.5703125" style="215" bestFit="1" customWidth="1"/>
    <col min="7692" max="7692" width="14.5703125" style="215" bestFit="1" customWidth="1"/>
    <col min="7693" max="7693" width="14.85546875" style="215" bestFit="1" customWidth="1"/>
    <col min="7694" max="7694" width="17.140625" style="215" customWidth="1"/>
    <col min="7695" max="7695" width="16.42578125" style="215" bestFit="1" customWidth="1"/>
    <col min="7696" max="7696" width="17.140625" style="215" bestFit="1" customWidth="1"/>
    <col min="7697" max="7697" width="24.42578125" style="215" customWidth="1"/>
    <col min="7698" max="7698" width="18.42578125" style="215" bestFit="1" customWidth="1"/>
    <col min="7699" max="7699" width="18.5703125" style="215" bestFit="1" customWidth="1"/>
    <col min="7700" max="7700" width="19.42578125" style="215" bestFit="1" customWidth="1"/>
    <col min="7701" max="7701" width="20.42578125" style="215" bestFit="1" customWidth="1"/>
    <col min="7702" max="7702" width="20.85546875" style="215" bestFit="1" customWidth="1"/>
    <col min="7703" max="7703" width="21.42578125" style="215" bestFit="1" customWidth="1"/>
    <col min="7704" max="7705" width="22.42578125" style="215" bestFit="1" customWidth="1"/>
    <col min="7706" max="7707" width="23.85546875" style="215" bestFit="1" customWidth="1"/>
    <col min="7708" max="7709" width="24.85546875" style="215" bestFit="1" customWidth="1"/>
    <col min="7710" max="7714" width="11.42578125" style="215" bestFit="1" customWidth="1"/>
    <col min="7715" max="7719" width="12.42578125" style="215" bestFit="1" customWidth="1"/>
    <col min="7720" max="7720" width="12" style="215" bestFit="1" customWidth="1"/>
    <col min="7721" max="7936" width="8.85546875" style="215"/>
    <col min="7937" max="7937" width="7.42578125" style="215" customWidth="1"/>
    <col min="7938" max="7938" width="41" style="215" customWidth="1"/>
    <col min="7939" max="7939" width="16" style="215" customWidth="1"/>
    <col min="7940" max="7940" width="16.140625" style="215" bestFit="1" customWidth="1"/>
    <col min="7941" max="7941" width="11.85546875" style="215" customWidth="1"/>
    <col min="7942" max="7942" width="12.42578125" style="215" bestFit="1" customWidth="1"/>
    <col min="7943" max="7944" width="13" style="215" bestFit="1" customWidth="1"/>
    <col min="7945" max="7945" width="12.5703125" style="215" bestFit="1" customWidth="1"/>
    <col min="7946" max="7946" width="13.42578125" style="215" bestFit="1" customWidth="1"/>
    <col min="7947" max="7947" width="13.5703125" style="215" bestFit="1" customWidth="1"/>
    <col min="7948" max="7948" width="14.5703125" style="215" bestFit="1" customWidth="1"/>
    <col min="7949" max="7949" width="14.85546875" style="215" bestFit="1" customWidth="1"/>
    <col min="7950" max="7950" width="17.140625" style="215" customWidth="1"/>
    <col min="7951" max="7951" width="16.42578125" style="215" bestFit="1" customWidth="1"/>
    <col min="7952" max="7952" width="17.140625" style="215" bestFit="1" customWidth="1"/>
    <col min="7953" max="7953" width="24.42578125" style="215" customWidth="1"/>
    <col min="7954" max="7954" width="18.42578125" style="215" bestFit="1" customWidth="1"/>
    <col min="7955" max="7955" width="18.5703125" style="215" bestFit="1" customWidth="1"/>
    <col min="7956" max="7956" width="19.42578125" style="215" bestFit="1" customWidth="1"/>
    <col min="7957" max="7957" width="20.42578125" style="215" bestFit="1" customWidth="1"/>
    <col min="7958" max="7958" width="20.85546875" style="215" bestFit="1" customWidth="1"/>
    <col min="7959" max="7959" width="21.42578125" style="215" bestFit="1" customWidth="1"/>
    <col min="7960" max="7961" width="22.42578125" style="215" bestFit="1" customWidth="1"/>
    <col min="7962" max="7963" width="23.85546875" style="215" bestFit="1" customWidth="1"/>
    <col min="7964" max="7965" width="24.85546875" style="215" bestFit="1" customWidth="1"/>
    <col min="7966" max="7970" width="11.42578125" style="215" bestFit="1" customWidth="1"/>
    <col min="7971" max="7975" width="12.42578125" style="215" bestFit="1" customWidth="1"/>
    <col min="7976" max="7976" width="12" style="215" bestFit="1" customWidth="1"/>
    <col min="7977" max="8192" width="8.85546875" style="215"/>
    <col min="8193" max="8193" width="7.42578125" style="215" customWidth="1"/>
    <col min="8194" max="8194" width="41" style="215" customWidth="1"/>
    <col min="8195" max="8195" width="16" style="215" customWidth="1"/>
    <col min="8196" max="8196" width="16.140625" style="215" bestFit="1" customWidth="1"/>
    <col min="8197" max="8197" width="11.85546875" style="215" customWidth="1"/>
    <col min="8198" max="8198" width="12.42578125" style="215" bestFit="1" customWidth="1"/>
    <col min="8199" max="8200" width="13" style="215" bestFit="1" customWidth="1"/>
    <col min="8201" max="8201" width="12.5703125" style="215" bestFit="1" customWidth="1"/>
    <col min="8202" max="8202" width="13.42578125" style="215" bestFit="1" customWidth="1"/>
    <col min="8203" max="8203" width="13.5703125" style="215" bestFit="1" customWidth="1"/>
    <col min="8204" max="8204" width="14.5703125" style="215" bestFit="1" customWidth="1"/>
    <col min="8205" max="8205" width="14.85546875" style="215" bestFit="1" customWidth="1"/>
    <col min="8206" max="8206" width="17.140625" style="215" customWidth="1"/>
    <col min="8207" max="8207" width="16.42578125" style="215" bestFit="1" customWidth="1"/>
    <col min="8208" max="8208" width="17.140625" style="215" bestFit="1" customWidth="1"/>
    <col min="8209" max="8209" width="24.42578125" style="215" customWidth="1"/>
    <col min="8210" max="8210" width="18.42578125" style="215" bestFit="1" customWidth="1"/>
    <col min="8211" max="8211" width="18.5703125" style="215" bestFit="1" customWidth="1"/>
    <col min="8212" max="8212" width="19.42578125" style="215" bestFit="1" customWidth="1"/>
    <col min="8213" max="8213" width="20.42578125" style="215" bestFit="1" customWidth="1"/>
    <col min="8214" max="8214" width="20.85546875" style="215" bestFit="1" customWidth="1"/>
    <col min="8215" max="8215" width="21.42578125" style="215" bestFit="1" customWidth="1"/>
    <col min="8216" max="8217" width="22.42578125" style="215" bestFit="1" customWidth="1"/>
    <col min="8218" max="8219" width="23.85546875" style="215" bestFit="1" customWidth="1"/>
    <col min="8220" max="8221" width="24.85546875" style="215" bestFit="1" customWidth="1"/>
    <col min="8222" max="8226" width="11.42578125" style="215" bestFit="1" customWidth="1"/>
    <col min="8227" max="8231" width="12.42578125" style="215" bestFit="1" customWidth="1"/>
    <col min="8232" max="8232" width="12" style="215" bestFit="1" customWidth="1"/>
    <col min="8233" max="8448" width="8.85546875" style="215"/>
    <col min="8449" max="8449" width="7.42578125" style="215" customWidth="1"/>
    <col min="8450" max="8450" width="41" style="215" customWidth="1"/>
    <col min="8451" max="8451" width="16" style="215" customWidth="1"/>
    <col min="8452" max="8452" width="16.140625" style="215" bestFit="1" customWidth="1"/>
    <col min="8453" max="8453" width="11.85546875" style="215" customWidth="1"/>
    <col min="8454" max="8454" width="12.42578125" style="215" bestFit="1" customWidth="1"/>
    <col min="8455" max="8456" width="13" style="215" bestFit="1" customWidth="1"/>
    <col min="8457" max="8457" width="12.5703125" style="215" bestFit="1" customWidth="1"/>
    <col min="8458" max="8458" width="13.42578125" style="215" bestFit="1" customWidth="1"/>
    <col min="8459" max="8459" width="13.5703125" style="215" bestFit="1" customWidth="1"/>
    <col min="8460" max="8460" width="14.5703125" style="215" bestFit="1" customWidth="1"/>
    <col min="8461" max="8461" width="14.85546875" style="215" bestFit="1" customWidth="1"/>
    <col min="8462" max="8462" width="17.140625" style="215" customWidth="1"/>
    <col min="8463" max="8463" width="16.42578125" style="215" bestFit="1" customWidth="1"/>
    <col min="8464" max="8464" width="17.140625" style="215" bestFit="1" customWidth="1"/>
    <col min="8465" max="8465" width="24.42578125" style="215" customWidth="1"/>
    <col min="8466" max="8466" width="18.42578125" style="215" bestFit="1" customWidth="1"/>
    <col min="8467" max="8467" width="18.5703125" style="215" bestFit="1" customWidth="1"/>
    <col min="8468" max="8468" width="19.42578125" style="215" bestFit="1" customWidth="1"/>
    <col min="8469" max="8469" width="20.42578125" style="215" bestFit="1" customWidth="1"/>
    <col min="8470" max="8470" width="20.85546875" style="215" bestFit="1" customWidth="1"/>
    <col min="8471" max="8471" width="21.42578125" style="215" bestFit="1" customWidth="1"/>
    <col min="8472" max="8473" width="22.42578125" style="215" bestFit="1" customWidth="1"/>
    <col min="8474" max="8475" width="23.85546875" style="215" bestFit="1" customWidth="1"/>
    <col min="8476" max="8477" width="24.85546875" style="215" bestFit="1" customWidth="1"/>
    <col min="8478" max="8482" width="11.42578125" style="215" bestFit="1" customWidth="1"/>
    <col min="8483" max="8487" width="12.42578125" style="215" bestFit="1" customWidth="1"/>
    <col min="8488" max="8488" width="12" style="215" bestFit="1" customWidth="1"/>
    <col min="8489" max="8704" width="8.85546875" style="215"/>
    <col min="8705" max="8705" width="7.42578125" style="215" customWidth="1"/>
    <col min="8706" max="8706" width="41" style="215" customWidth="1"/>
    <col min="8707" max="8707" width="16" style="215" customWidth="1"/>
    <col min="8708" max="8708" width="16.140625" style="215" bestFit="1" customWidth="1"/>
    <col min="8709" max="8709" width="11.85546875" style="215" customWidth="1"/>
    <col min="8710" max="8710" width="12.42578125" style="215" bestFit="1" customWidth="1"/>
    <col min="8711" max="8712" width="13" style="215" bestFit="1" customWidth="1"/>
    <col min="8713" max="8713" width="12.5703125" style="215" bestFit="1" customWidth="1"/>
    <col min="8714" max="8714" width="13.42578125" style="215" bestFit="1" customWidth="1"/>
    <col min="8715" max="8715" width="13.5703125" style="215" bestFit="1" customWidth="1"/>
    <col min="8716" max="8716" width="14.5703125" style="215" bestFit="1" customWidth="1"/>
    <col min="8717" max="8717" width="14.85546875" style="215" bestFit="1" customWidth="1"/>
    <col min="8718" max="8718" width="17.140625" style="215" customWidth="1"/>
    <col min="8719" max="8719" width="16.42578125" style="215" bestFit="1" customWidth="1"/>
    <col min="8720" max="8720" width="17.140625" style="215" bestFit="1" customWidth="1"/>
    <col min="8721" max="8721" width="24.42578125" style="215" customWidth="1"/>
    <col min="8722" max="8722" width="18.42578125" style="215" bestFit="1" customWidth="1"/>
    <col min="8723" max="8723" width="18.5703125" style="215" bestFit="1" customWidth="1"/>
    <col min="8724" max="8724" width="19.42578125" style="215" bestFit="1" customWidth="1"/>
    <col min="8725" max="8725" width="20.42578125" style="215" bestFit="1" customWidth="1"/>
    <col min="8726" max="8726" width="20.85546875" style="215" bestFit="1" customWidth="1"/>
    <col min="8727" max="8727" width="21.42578125" style="215" bestFit="1" customWidth="1"/>
    <col min="8728" max="8729" width="22.42578125" style="215" bestFit="1" customWidth="1"/>
    <col min="8730" max="8731" width="23.85546875" style="215" bestFit="1" customWidth="1"/>
    <col min="8732" max="8733" width="24.85546875" style="215" bestFit="1" customWidth="1"/>
    <col min="8734" max="8738" width="11.42578125" style="215" bestFit="1" customWidth="1"/>
    <col min="8739" max="8743" width="12.42578125" style="215" bestFit="1" customWidth="1"/>
    <col min="8744" max="8744" width="12" style="215" bestFit="1" customWidth="1"/>
    <col min="8745" max="8960" width="8.85546875" style="215"/>
    <col min="8961" max="8961" width="7.42578125" style="215" customWidth="1"/>
    <col min="8962" max="8962" width="41" style="215" customWidth="1"/>
    <col min="8963" max="8963" width="16" style="215" customWidth="1"/>
    <col min="8964" max="8964" width="16.140625" style="215" bestFit="1" customWidth="1"/>
    <col min="8965" max="8965" width="11.85546875" style="215" customWidth="1"/>
    <col min="8966" max="8966" width="12.42578125" style="215" bestFit="1" customWidth="1"/>
    <col min="8967" max="8968" width="13" style="215" bestFit="1" customWidth="1"/>
    <col min="8969" max="8969" width="12.5703125" style="215" bestFit="1" customWidth="1"/>
    <col min="8970" max="8970" width="13.42578125" style="215" bestFit="1" customWidth="1"/>
    <col min="8971" max="8971" width="13.5703125" style="215" bestFit="1" customWidth="1"/>
    <col min="8972" max="8972" width="14.5703125" style="215" bestFit="1" customWidth="1"/>
    <col min="8973" max="8973" width="14.85546875" style="215" bestFit="1" customWidth="1"/>
    <col min="8974" max="8974" width="17.140625" style="215" customWidth="1"/>
    <col min="8975" max="8975" width="16.42578125" style="215" bestFit="1" customWidth="1"/>
    <col min="8976" max="8976" width="17.140625" style="215" bestFit="1" customWidth="1"/>
    <col min="8977" max="8977" width="24.42578125" style="215" customWidth="1"/>
    <col min="8978" max="8978" width="18.42578125" style="215" bestFit="1" customWidth="1"/>
    <col min="8979" max="8979" width="18.5703125" style="215" bestFit="1" customWidth="1"/>
    <col min="8980" max="8980" width="19.42578125" style="215" bestFit="1" customWidth="1"/>
    <col min="8981" max="8981" width="20.42578125" style="215" bestFit="1" customWidth="1"/>
    <col min="8982" max="8982" width="20.85546875" style="215" bestFit="1" customWidth="1"/>
    <col min="8983" max="8983" width="21.42578125" style="215" bestFit="1" customWidth="1"/>
    <col min="8984" max="8985" width="22.42578125" style="215" bestFit="1" customWidth="1"/>
    <col min="8986" max="8987" width="23.85546875" style="215" bestFit="1" customWidth="1"/>
    <col min="8988" max="8989" width="24.85546875" style="215" bestFit="1" customWidth="1"/>
    <col min="8990" max="8994" width="11.42578125" style="215" bestFit="1" customWidth="1"/>
    <col min="8995" max="8999" width="12.42578125" style="215" bestFit="1" customWidth="1"/>
    <col min="9000" max="9000" width="12" style="215" bestFit="1" customWidth="1"/>
    <col min="9001" max="9216" width="8.85546875" style="215"/>
    <col min="9217" max="9217" width="7.42578125" style="215" customWidth="1"/>
    <col min="9218" max="9218" width="41" style="215" customWidth="1"/>
    <col min="9219" max="9219" width="16" style="215" customWidth="1"/>
    <col min="9220" max="9220" width="16.140625" style="215" bestFit="1" customWidth="1"/>
    <col min="9221" max="9221" width="11.85546875" style="215" customWidth="1"/>
    <col min="9222" max="9222" width="12.42578125" style="215" bestFit="1" customWidth="1"/>
    <col min="9223" max="9224" width="13" style="215" bestFit="1" customWidth="1"/>
    <col min="9225" max="9225" width="12.5703125" style="215" bestFit="1" customWidth="1"/>
    <col min="9226" max="9226" width="13.42578125" style="215" bestFit="1" customWidth="1"/>
    <col min="9227" max="9227" width="13.5703125" style="215" bestFit="1" customWidth="1"/>
    <col min="9228" max="9228" width="14.5703125" style="215" bestFit="1" customWidth="1"/>
    <col min="9229" max="9229" width="14.85546875" style="215" bestFit="1" customWidth="1"/>
    <col min="9230" max="9230" width="17.140625" style="215" customWidth="1"/>
    <col min="9231" max="9231" width="16.42578125" style="215" bestFit="1" customWidth="1"/>
    <col min="9232" max="9232" width="17.140625" style="215" bestFit="1" customWidth="1"/>
    <col min="9233" max="9233" width="24.42578125" style="215" customWidth="1"/>
    <col min="9234" max="9234" width="18.42578125" style="215" bestFit="1" customWidth="1"/>
    <col min="9235" max="9235" width="18.5703125" style="215" bestFit="1" customWidth="1"/>
    <col min="9236" max="9236" width="19.42578125" style="215" bestFit="1" customWidth="1"/>
    <col min="9237" max="9237" width="20.42578125" style="215" bestFit="1" customWidth="1"/>
    <col min="9238" max="9238" width="20.85546875" style="215" bestFit="1" customWidth="1"/>
    <col min="9239" max="9239" width="21.42578125" style="215" bestFit="1" customWidth="1"/>
    <col min="9240" max="9241" width="22.42578125" style="215" bestFit="1" customWidth="1"/>
    <col min="9242" max="9243" width="23.85546875" style="215" bestFit="1" customWidth="1"/>
    <col min="9244" max="9245" width="24.85546875" style="215" bestFit="1" customWidth="1"/>
    <col min="9246" max="9250" width="11.42578125" style="215" bestFit="1" customWidth="1"/>
    <col min="9251" max="9255" width="12.42578125" style="215" bestFit="1" customWidth="1"/>
    <col min="9256" max="9256" width="12" style="215" bestFit="1" customWidth="1"/>
    <col min="9257" max="9472" width="8.85546875" style="215"/>
    <col min="9473" max="9473" width="7.42578125" style="215" customWidth="1"/>
    <col min="9474" max="9474" width="41" style="215" customWidth="1"/>
    <col min="9475" max="9475" width="16" style="215" customWidth="1"/>
    <col min="9476" max="9476" width="16.140625" style="215" bestFit="1" customWidth="1"/>
    <col min="9477" max="9477" width="11.85546875" style="215" customWidth="1"/>
    <col min="9478" max="9478" width="12.42578125" style="215" bestFit="1" customWidth="1"/>
    <col min="9479" max="9480" width="13" style="215" bestFit="1" customWidth="1"/>
    <col min="9481" max="9481" width="12.5703125" style="215" bestFit="1" customWidth="1"/>
    <col min="9482" max="9482" width="13.42578125" style="215" bestFit="1" customWidth="1"/>
    <col min="9483" max="9483" width="13.5703125" style="215" bestFit="1" customWidth="1"/>
    <col min="9484" max="9484" width="14.5703125" style="215" bestFit="1" customWidth="1"/>
    <col min="9485" max="9485" width="14.85546875" style="215" bestFit="1" customWidth="1"/>
    <col min="9486" max="9486" width="17.140625" style="215" customWidth="1"/>
    <col min="9487" max="9487" width="16.42578125" style="215" bestFit="1" customWidth="1"/>
    <col min="9488" max="9488" width="17.140625" style="215" bestFit="1" customWidth="1"/>
    <col min="9489" max="9489" width="24.42578125" style="215" customWidth="1"/>
    <col min="9490" max="9490" width="18.42578125" style="215" bestFit="1" customWidth="1"/>
    <col min="9491" max="9491" width="18.5703125" style="215" bestFit="1" customWidth="1"/>
    <col min="9492" max="9492" width="19.42578125" style="215" bestFit="1" customWidth="1"/>
    <col min="9493" max="9493" width="20.42578125" style="215" bestFit="1" customWidth="1"/>
    <col min="9494" max="9494" width="20.85546875" style="215" bestFit="1" customWidth="1"/>
    <col min="9495" max="9495" width="21.42578125" style="215" bestFit="1" customWidth="1"/>
    <col min="9496" max="9497" width="22.42578125" style="215" bestFit="1" customWidth="1"/>
    <col min="9498" max="9499" width="23.85546875" style="215" bestFit="1" customWidth="1"/>
    <col min="9500" max="9501" width="24.85546875" style="215" bestFit="1" customWidth="1"/>
    <col min="9502" max="9506" width="11.42578125" style="215" bestFit="1" customWidth="1"/>
    <col min="9507" max="9511" width="12.42578125" style="215" bestFit="1" customWidth="1"/>
    <col min="9512" max="9512" width="12" style="215" bestFit="1" customWidth="1"/>
    <col min="9513" max="9728" width="8.85546875" style="215"/>
    <col min="9729" max="9729" width="7.42578125" style="215" customWidth="1"/>
    <col min="9730" max="9730" width="41" style="215" customWidth="1"/>
    <col min="9731" max="9731" width="16" style="215" customWidth="1"/>
    <col min="9732" max="9732" width="16.140625" style="215" bestFit="1" customWidth="1"/>
    <col min="9733" max="9733" width="11.85546875" style="215" customWidth="1"/>
    <col min="9734" max="9734" width="12.42578125" style="215" bestFit="1" customWidth="1"/>
    <col min="9735" max="9736" width="13" style="215" bestFit="1" customWidth="1"/>
    <col min="9737" max="9737" width="12.5703125" style="215" bestFit="1" customWidth="1"/>
    <col min="9738" max="9738" width="13.42578125" style="215" bestFit="1" customWidth="1"/>
    <col min="9739" max="9739" width="13.5703125" style="215" bestFit="1" customWidth="1"/>
    <col min="9740" max="9740" width="14.5703125" style="215" bestFit="1" customWidth="1"/>
    <col min="9741" max="9741" width="14.85546875" style="215" bestFit="1" customWidth="1"/>
    <col min="9742" max="9742" width="17.140625" style="215" customWidth="1"/>
    <col min="9743" max="9743" width="16.42578125" style="215" bestFit="1" customWidth="1"/>
    <col min="9744" max="9744" width="17.140625" style="215" bestFit="1" customWidth="1"/>
    <col min="9745" max="9745" width="24.42578125" style="215" customWidth="1"/>
    <col min="9746" max="9746" width="18.42578125" style="215" bestFit="1" customWidth="1"/>
    <col min="9747" max="9747" width="18.5703125" style="215" bestFit="1" customWidth="1"/>
    <col min="9748" max="9748" width="19.42578125" style="215" bestFit="1" customWidth="1"/>
    <col min="9749" max="9749" width="20.42578125" style="215" bestFit="1" customWidth="1"/>
    <col min="9750" max="9750" width="20.85546875" style="215" bestFit="1" customWidth="1"/>
    <col min="9751" max="9751" width="21.42578125" style="215" bestFit="1" customWidth="1"/>
    <col min="9752" max="9753" width="22.42578125" style="215" bestFit="1" customWidth="1"/>
    <col min="9754" max="9755" width="23.85546875" style="215" bestFit="1" customWidth="1"/>
    <col min="9756" max="9757" width="24.85546875" style="215" bestFit="1" customWidth="1"/>
    <col min="9758" max="9762" width="11.42578125" style="215" bestFit="1" customWidth="1"/>
    <col min="9763" max="9767" width="12.42578125" style="215" bestFit="1" customWidth="1"/>
    <col min="9768" max="9768" width="12" style="215" bestFit="1" customWidth="1"/>
    <col min="9769" max="9984" width="8.85546875" style="215"/>
    <col min="9985" max="9985" width="7.42578125" style="215" customWidth="1"/>
    <col min="9986" max="9986" width="41" style="215" customWidth="1"/>
    <col min="9987" max="9987" width="16" style="215" customWidth="1"/>
    <col min="9988" max="9988" width="16.140625" style="215" bestFit="1" customWidth="1"/>
    <col min="9989" max="9989" width="11.85546875" style="215" customWidth="1"/>
    <col min="9990" max="9990" width="12.42578125" style="215" bestFit="1" customWidth="1"/>
    <col min="9991" max="9992" width="13" style="215" bestFit="1" customWidth="1"/>
    <col min="9993" max="9993" width="12.5703125" style="215" bestFit="1" customWidth="1"/>
    <col min="9994" max="9994" width="13.42578125" style="215" bestFit="1" customWidth="1"/>
    <col min="9995" max="9995" width="13.5703125" style="215" bestFit="1" customWidth="1"/>
    <col min="9996" max="9996" width="14.5703125" style="215" bestFit="1" customWidth="1"/>
    <col min="9997" max="9997" width="14.85546875" style="215" bestFit="1" customWidth="1"/>
    <col min="9998" max="9998" width="17.140625" style="215" customWidth="1"/>
    <col min="9999" max="9999" width="16.42578125" style="215" bestFit="1" customWidth="1"/>
    <col min="10000" max="10000" width="17.140625" style="215" bestFit="1" customWidth="1"/>
    <col min="10001" max="10001" width="24.42578125" style="215" customWidth="1"/>
    <col min="10002" max="10002" width="18.42578125" style="215" bestFit="1" customWidth="1"/>
    <col min="10003" max="10003" width="18.5703125" style="215" bestFit="1" customWidth="1"/>
    <col min="10004" max="10004" width="19.42578125" style="215" bestFit="1" customWidth="1"/>
    <col min="10005" max="10005" width="20.42578125" style="215" bestFit="1" customWidth="1"/>
    <col min="10006" max="10006" width="20.85546875" style="215" bestFit="1" customWidth="1"/>
    <col min="10007" max="10007" width="21.42578125" style="215" bestFit="1" customWidth="1"/>
    <col min="10008" max="10009" width="22.42578125" style="215" bestFit="1" customWidth="1"/>
    <col min="10010" max="10011" width="23.85546875" style="215" bestFit="1" customWidth="1"/>
    <col min="10012" max="10013" width="24.85546875" style="215" bestFit="1" customWidth="1"/>
    <col min="10014" max="10018" width="11.42578125" style="215" bestFit="1" customWidth="1"/>
    <col min="10019" max="10023" width="12.42578125" style="215" bestFit="1" customWidth="1"/>
    <col min="10024" max="10024" width="12" style="215" bestFit="1" customWidth="1"/>
    <col min="10025" max="10240" width="8.85546875" style="215"/>
    <col min="10241" max="10241" width="7.42578125" style="215" customWidth="1"/>
    <col min="10242" max="10242" width="41" style="215" customWidth="1"/>
    <col min="10243" max="10243" width="16" style="215" customWidth="1"/>
    <col min="10244" max="10244" width="16.140625" style="215" bestFit="1" customWidth="1"/>
    <col min="10245" max="10245" width="11.85546875" style="215" customWidth="1"/>
    <col min="10246" max="10246" width="12.42578125" style="215" bestFit="1" customWidth="1"/>
    <col min="10247" max="10248" width="13" style="215" bestFit="1" customWidth="1"/>
    <col min="10249" max="10249" width="12.5703125" style="215" bestFit="1" customWidth="1"/>
    <col min="10250" max="10250" width="13.42578125" style="215" bestFit="1" customWidth="1"/>
    <col min="10251" max="10251" width="13.5703125" style="215" bestFit="1" customWidth="1"/>
    <col min="10252" max="10252" width="14.5703125" style="215" bestFit="1" customWidth="1"/>
    <col min="10253" max="10253" width="14.85546875" style="215" bestFit="1" customWidth="1"/>
    <col min="10254" max="10254" width="17.140625" style="215" customWidth="1"/>
    <col min="10255" max="10255" width="16.42578125" style="215" bestFit="1" customWidth="1"/>
    <col min="10256" max="10256" width="17.140625" style="215" bestFit="1" customWidth="1"/>
    <col min="10257" max="10257" width="24.42578125" style="215" customWidth="1"/>
    <col min="10258" max="10258" width="18.42578125" style="215" bestFit="1" customWidth="1"/>
    <col min="10259" max="10259" width="18.5703125" style="215" bestFit="1" customWidth="1"/>
    <col min="10260" max="10260" width="19.42578125" style="215" bestFit="1" customWidth="1"/>
    <col min="10261" max="10261" width="20.42578125" style="215" bestFit="1" customWidth="1"/>
    <col min="10262" max="10262" width="20.85546875" style="215" bestFit="1" customWidth="1"/>
    <col min="10263" max="10263" width="21.42578125" style="215" bestFit="1" customWidth="1"/>
    <col min="10264" max="10265" width="22.42578125" style="215" bestFit="1" customWidth="1"/>
    <col min="10266" max="10267" width="23.85546875" style="215" bestFit="1" customWidth="1"/>
    <col min="10268" max="10269" width="24.85546875" style="215" bestFit="1" customWidth="1"/>
    <col min="10270" max="10274" width="11.42578125" style="215" bestFit="1" customWidth="1"/>
    <col min="10275" max="10279" width="12.42578125" style="215" bestFit="1" customWidth="1"/>
    <col min="10280" max="10280" width="12" style="215" bestFit="1" customWidth="1"/>
    <col min="10281" max="10496" width="8.85546875" style="215"/>
    <col min="10497" max="10497" width="7.42578125" style="215" customWidth="1"/>
    <col min="10498" max="10498" width="41" style="215" customWidth="1"/>
    <col min="10499" max="10499" width="16" style="215" customWidth="1"/>
    <col min="10500" max="10500" width="16.140625" style="215" bestFit="1" customWidth="1"/>
    <col min="10501" max="10501" width="11.85546875" style="215" customWidth="1"/>
    <col min="10502" max="10502" width="12.42578125" style="215" bestFit="1" customWidth="1"/>
    <col min="10503" max="10504" width="13" style="215" bestFit="1" customWidth="1"/>
    <col min="10505" max="10505" width="12.5703125" style="215" bestFit="1" customWidth="1"/>
    <col min="10506" max="10506" width="13.42578125" style="215" bestFit="1" customWidth="1"/>
    <col min="10507" max="10507" width="13.5703125" style="215" bestFit="1" customWidth="1"/>
    <col min="10508" max="10508" width="14.5703125" style="215" bestFit="1" customWidth="1"/>
    <col min="10509" max="10509" width="14.85546875" style="215" bestFit="1" customWidth="1"/>
    <col min="10510" max="10510" width="17.140625" style="215" customWidth="1"/>
    <col min="10511" max="10511" width="16.42578125" style="215" bestFit="1" customWidth="1"/>
    <col min="10512" max="10512" width="17.140625" style="215" bestFit="1" customWidth="1"/>
    <col min="10513" max="10513" width="24.42578125" style="215" customWidth="1"/>
    <col min="10514" max="10514" width="18.42578125" style="215" bestFit="1" customWidth="1"/>
    <col min="10515" max="10515" width="18.5703125" style="215" bestFit="1" customWidth="1"/>
    <col min="10516" max="10516" width="19.42578125" style="215" bestFit="1" customWidth="1"/>
    <col min="10517" max="10517" width="20.42578125" style="215" bestFit="1" customWidth="1"/>
    <col min="10518" max="10518" width="20.85546875" style="215" bestFit="1" customWidth="1"/>
    <col min="10519" max="10519" width="21.42578125" style="215" bestFit="1" customWidth="1"/>
    <col min="10520" max="10521" width="22.42578125" style="215" bestFit="1" customWidth="1"/>
    <col min="10522" max="10523" width="23.85546875" style="215" bestFit="1" customWidth="1"/>
    <col min="10524" max="10525" width="24.85546875" style="215" bestFit="1" customWidth="1"/>
    <col min="10526" max="10530" width="11.42578125" style="215" bestFit="1" customWidth="1"/>
    <col min="10531" max="10535" width="12.42578125" style="215" bestFit="1" customWidth="1"/>
    <col min="10536" max="10536" width="12" style="215" bestFit="1" customWidth="1"/>
    <col min="10537" max="10752" width="8.85546875" style="215"/>
    <col min="10753" max="10753" width="7.42578125" style="215" customWidth="1"/>
    <col min="10754" max="10754" width="41" style="215" customWidth="1"/>
    <col min="10755" max="10755" width="16" style="215" customWidth="1"/>
    <col min="10756" max="10756" width="16.140625" style="215" bestFit="1" customWidth="1"/>
    <col min="10757" max="10757" width="11.85546875" style="215" customWidth="1"/>
    <col min="10758" max="10758" width="12.42578125" style="215" bestFit="1" customWidth="1"/>
    <col min="10759" max="10760" width="13" style="215" bestFit="1" customWidth="1"/>
    <col min="10761" max="10761" width="12.5703125" style="215" bestFit="1" customWidth="1"/>
    <col min="10762" max="10762" width="13.42578125" style="215" bestFit="1" customWidth="1"/>
    <col min="10763" max="10763" width="13.5703125" style="215" bestFit="1" customWidth="1"/>
    <col min="10764" max="10764" width="14.5703125" style="215" bestFit="1" customWidth="1"/>
    <col min="10765" max="10765" width="14.85546875" style="215" bestFit="1" customWidth="1"/>
    <col min="10766" max="10766" width="17.140625" style="215" customWidth="1"/>
    <col min="10767" max="10767" width="16.42578125" style="215" bestFit="1" customWidth="1"/>
    <col min="10768" max="10768" width="17.140625" style="215" bestFit="1" customWidth="1"/>
    <col min="10769" max="10769" width="24.42578125" style="215" customWidth="1"/>
    <col min="10770" max="10770" width="18.42578125" style="215" bestFit="1" customWidth="1"/>
    <col min="10771" max="10771" width="18.5703125" style="215" bestFit="1" customWidth="1"/>
    <col min="10772" max="10772" width="19.42578125" style="215" bestFit="1" customWidth="1"/>
    <col min="10773" max="10773" width="20.42578125" style="215" bestFit="1" customWidth="1"/>
    <col min="10774" max="10774" width="20.85546875" style="215" bestFit="1" customWidth="1"/>
    <col min="10775" max="10775" width="21.42578125" style="215" bestFit="1" customWidth="1"/>
    <col min="10776" max="10777" width="22.42578125" style="215" bestFit="1" customWidth="1"/>
    <col min="10778" max="10779" width="23.85546875" style="215" bestFit="1" customWidth="1"/>
    <col min="10780" max="10781" width="24.85546875" style="215" bestFit="1" customWidth="1"/>
    <col min="10782" max="10786" width="11.42578125" style="215" bestFit="1" customWidth="1"/>
    <col min="10787" max="10791" width="12.42578125" style="215" bestFit="1" customWidth="1"/>
    <col min="10792" max="10792" width="12" style="215" bestFit="1" customWidth="1"/>
    <col min="10793" max="11008" width="8.85546875" style="215"/>
    <col min="11009" max="11009" width="7.42578125" style="215" customWidth="1"/>
    <col min="11010" max="11010" width="41" style="215" customWidth="1"/>
    <col min="11011" max="11011" width="16" style="215" customWidth="1"/>
    <col min="11012" max="11012" width="16.140625" style="215" bestFit="1" customWidth="1"/>
    <col min="11013" max="11013" width="11.85546875" style="215" customWidth="1"/>
    <col min="11014" max="11014" width="12.42578125" style="215" bestFit="1" customWidth="1"/>
    <col min="11015" max="11016" width="13" style="215" bestFit="1" customWidth="1"/>
    <col min="11017" max="11017" width="12.5703125" style="215" bestFit="1" customWidth="1"/>
    <col min="11018" max="11018" width="13.42578125" style="215" bestFit="1" customWidth="1"/>
    <col min="11019" max="11019" width="13.5703125" style="215" bestFit="1" customWidth="1"/>
    <col min="11020" max="11020" width="14.5703125" style="215" bestFit="1" customWidth="1"/>
    <col min="11021" max="11021" width="14.85546875" style="215" bestFit="1" customWidth="1"/>
    <col min="11022" max="11022" width="17.140625" style="215" customWidth="1"/>
    <col min="11023" max="11023" width="16.42578125" style="215" bestFit="1" customWidth="1"/>
    <col min="11024" max="11024" width="17.140625" style="215" bestFit="1" customWidth="1"/>
    <col min="11025" max="11025" width="24.42578125" style="215" customWidth="1"/>
    <col min="11026" max="11026" width="18.42578125" style="215" bestFit="1" customWidth="1"/>
    <col min="11027" max="11027" width="18.5703125" style="215" bestFit="1" customWidth="1"/>
    <col min="11028" max="11028" width="19.42578125" style="215" bestFit="1" customWidth="1"/>
    <col min="11029" max="11029" width="20.42578125" style="215" bestFit="1" customWidth="1"/>
    <col min="11030" max="11030" width="20.85546875" style="215" bestFit="1" customWidth="1"/>
    <col min="11031" max="11031" width="21.42578125" style="215" bestFit="1" customWidth="1"/>
    <col min="11032" max="11033" width="22.42578125" style="215" bestFit="1" customWidth="1"/>
    <col min="11034" max="11035" width="23.85546875" style="215" bestFit="1" customWidth="1"/>
    <col min="11036" max="11037" width="24.85546875" style="215" bestFit="1" customWidth="1"/>
    <col min="11038" max="11042" width="11.42578125" style="215" bestFit="1" customWidth="1"/>
    <col min="11043" max="11047" width="12.42578125" style="215" bestFit="1" customWidth="1"/>
    <col min="11048" max="11048" width="12" style="215" bestFit="1" customWidth="1"/>
    <col min="11049" max="11264" width="8.85546875" style="215"/>
    <col min="11265" max="11265" width="7.42578125" style="215" customWidth="1"/>
    <col min="11266" max="11266" width="41" style="215" customWidth="1"/>
    <col min="11267" max="11267" width="16" style="215" customWidth="1"/>
    <col min="11268" max="11268" width="16.140625" style="215" bestFit="1" customWidth="1"/>
    <col min="11269" max="11269" width="11.85546875" style="215" customWidth="1"/>
    <col min="11270" max="11270" width="12.42578125" style="215" bestFit="1" customWidth="1"/>
    <col min="11271" max="11272" width="13" style="215" bestFit="1" customWidth="1"/>
    <col min="11273" max="11273" width="12.5703125" style="215" bestFit="1" customWidth="1"/>
    <col min="11274" max="11274" width="13.42578125" style="215" bestFit="1" customWidth="1"/>
    <col min="11275" max="11275" width="13.5703125" style="215" bestFit="1" customWidth="1"/>
    <col min="11276" max="11276" width="14.5703125" style="215" bestFit="1" customWidth="1"/>
    <col min="11277" max="11277" width="14.85546875" style="215" bestFit="1" customWidth="1"/>
    <col min="11278" max="11278" width="17.140625" style="215" customWidth="1"/>
    <col min="11279" max="11279" width="16.42578125" style="215" bestFit="1" customWidth="1"/>
    <col min="11280" max="11280" width="17.140625" style="215" bestFit="1" customWidth="1"/>
    <col min="11281" max="11281" width="24.42578125" style="215" customWidth="1"/>
    <col min="11282" max="11282" width="18.42578125" style="215" bestFit="1" customWidth="1"/>
    <col min="11283" max="11283" width="18.5703125" style="215" bestFit="1" customWidth="1"/>
    <col min="11284" max="11284" width="19.42578125" style="215" bestFit="1" customWidth="1"/>
    <col min="11285" max="11285" width="20.42578125" style="215" bestFit="1" customWidth="1"/>
    <col min="11286" max="11286" width="20.85546875" style="215" bestFit="1" customWidth="1"/>
    <col min="11287" max="11287" width="21.42578125" style="215" bestFit="1" customWidth="1"/>
    <col min="11288" max="11289" width="22.42578125" style="215" bestFit="1" customWidth="1"/>
    <col min="11290" max="11291" width="23.85546875" style="215" bestFit="1" customWidth="1"/>
    <col min="11292" max="11293" width="24.85546875" style="215" bestFit="1" customWidth="1"/>
    <col min="11294" max="11298" width="11.42578125" style="215" bestFit="1" customWidth="1"/>
    <col min="11299" max="11303" width="12.42578125" style="215" bestFit="1" customWidth="1"/>
    <col min="11304" max="11304" width="12" style="215" bestFit="1" customWidth="1"/>
    <col min="11305" max="11520" width="8.85546875" style="215"/>
    <col min="11521" max="11521" width="7.42578125" style="215" customWidth="1"/>
    <col min="11522" max="11522" width="41" style="215" customWidth="1"/>
    <col min="11523" max="11523" width="16" style="215" customWidth="1"/>
    <col min="11524" max="11524" width="16.140625" style="215" bestFit="1" customWidth="1"/>
    <col min="11525" max="11525" width="11.85546875" style="215" customWidth="1"/>
    <col min="11526" max="11526" width="12.42578125" style="215" bestFit="1" customWidth="1"/>
    <col min="11527" max="11528" width="13" style="215" bestFit="1" customWidth="1"/>
    <col min="11529" max="11529" width="12.5703125" style="215" bestFit="1" customWidth="1"/>
    <col min="11530" max="11530" width="13.42578125" style="215" bestFit="1" customWidth="1"/>
    <col min="11531" max="11531" width="13.5703125" style="215" bestFit="1" customWidth="1"/>
    <col min="11532" max="11532" width="14.5703125" style="215" bestFit="1" customWidth="1"/>
    <col min="11533" max="11533" width="14.85546875" style="215" bestFit="1" customWidth="1"/>
    <col min="11534" max="11534" width="17.140625" style="215" customWidth="1"/>
    <col min="11535" max="11535" width="16.42578125" style="215" bestFit="1" customWidth="1"/>
    <col min="11536" max="11536" width="17.140625" style="215" bestFit="1" customWidth="1"/>
    <col min="11537" max="11537" width="24.42578125" style="215" customWidth="1"/>
    <col min="11538" max="11538" width="18.42578125" style="215" bestFit="1" customWidth="1"/>
    <col min="11539" max="11539" width="18.5703125" style="215" bestFit="1" customWidth="1"/>
    <col min="11540" max="11540" width="19.42578125" style="215" bestFit="1" customWidth="1"/>
    <col min="11541" max="11541" width="20.42578125" style="215" bestFit="1" customWidth="1"/>
    <col min="11542" max="11542" width="20.85546875" style="215" bestFit="1" customWidth="1"/>
    <col min="11543" max="11543" width="21.42578125" style="215" bestFit="1" customWidth="1"/>
    <col min="11544" max="11545" width="22.42578125" style="215" bestFit="1" customWidth="1"/>
    <col min="11546" max="11547" width="23.85546875" style="215" bestFit="1" customWidth="1"/>
    <col min="11548" max="11549" width="24.85546875" style="215" bestFit="1" customWidth="1"/>
    <col min="11550" max="11554" width="11.42578125" style="215" bestFit="1" customWidth="1"/>
    <col min="11555" max="11559" width="12.42578125" style="215" bestFit="1" customWidth="1"/>
    <col min="11560" max="11560" width="12" style="215" bestFit="1" customWidth="1"/>
    <col min="11561" max="11776" width="8.85546875" style="215"/>
    <col min="11777" max="11777" width="7.42578125" style="215" customWidth="1"/>
    <col min="11778" max="11778" width="41" style="215" customWidth="1"/>
    <col min="11779" max="11779" width="16" style="215" customWidth="1"/>
    <col min="11780" max="11780" width="16.140625" style="215" bestFit="1" customWidth="1"/>
    <col min="11781" max="11781" width="11.85546875" style="215" customWidth="1"/>
    <col min="11782" max="11782" width="12.42578125" style="215" bestFit="1" customWidth="1"/>
    <col min="11783" max="11784" width="13" style="215" bestFit="1" customWidth="1"/>
    <col min="11785" max="11785" width="12.5703125" style="215" bestFit="1" customWidth="1"/>
    <col min="11786" max="11786" width="13.42578125" style="215" bestFit="1" customWidth="1"/>
    <col min="11787" max="11787" width="13.5703125" style="215" bestFit="1" customWidth="1"/>
    <col min="11788" max="11788" width="14.5703125" style="215" bestFit="1" customWidth="1"/>
    <col min="11789" max="11789" width="14.85546875" style="215" bestFit="1" customWidth="1"/>
    <col min="11790" max="11790" width="17.140625" style="215" customWidth="1"/>
    <col min="11791" max="11791" width="16.42578125" style="215" bestFit="1" customWidth="1"/>
    <col min="11792" max="11792" width="17.140625" style="215" bestFit="1" customWidth="1"/>
    <col min="11793" max="11793" width="24.42578125" style="215" customWidth="1"/>
    <col min="11794" max="11794" width="18.42578125" style="215" bestFit="1" customWidth="1"/>
    <col min="11795" max="11795" width="18.5703125" style="215" bestFit="1" customWidth="1"/>
    <col min="11796" max="11796" width="19.42578125" style="215" bestFit="1" customWidth="1"/>
    <col min="11797" max="11797" width="20.42578125" style="215" bestFit="1" customWidth="1"/>
    <col min="11798" max="11798" width="20.85546875" style="215" bestFit="1" customWidth="1"/>
    <col min="11799" max="11799" width="21.42578125" style="215" bestFit="1" customWidth="1"/>
    <col min="11800" max="11801" width="22.42578125" style="215" bestFit="1" customWidth="1"/>
    <col min="11802" max="11803" width="23.85546875" style="215" bestFit="1" customWidth="1"/>
    <col min="11804" max="11805" width="24.85546875" style="215" bestFit="1" customWidth="1"/>
    <col min="11806" max="11810" width="11.42578125" style="215" bestFit="1" customWidth="1"/>
    <col min="11811" max="11815" width="12.42578125" style="215" bestFit="1" customWidth="1"/>
    <col min="11816" max="11816" width="12" style="215" bestFit="1" customWidth="1"/>
    <col min="11817" max="12032" width="8.85546875" style="215"/>
    <col min="12033" max="12033" width="7.42578125" style="215" customWidth="1"/>
    <col min="12034" max="12034" width="41" style="215" customWidth="1"/>
    <col min="12035" max="12035" width="16" style="215" customWidth="1"/>
    <col min="12036" max="12036" width="16.140625" style="215" bestFit="1" customWidth="1"/>
    <col min="12037" max="12037" width="11.85546875" style="215" customWidth="1"/>
    <col min="12038" max="12038" width="12.42578125" style="215" bestFit="1" customWidth="1"/>
    <col min="12039" max="12040" width="13" style="215" bestFit="1" customWidth="1"/>
    <col min="12041" max="12041" width="12.5703125" style="215" bestFit="1" customWidth="1"/>
    <col min="12042" max="12042" width="13.42578125" style="215" bestFit="1" customWidth="1"/>
    <col min="12043" max="12043" width="13.5703125" style="215" bestFit="1" customWidth="1"/>
    <col min="12044" max="12044" width="14.5703125" style="215" bestFit="1" customWidth="1"/>
    <col min="12045" max="12045" width="14.85546875" style="215" bestFit="1" customWidth="1"/>
    <col min="12046" max="12046" width="17.140625" style="215" customWidth="1"/>
    <col min="12047" max="12047" width="16.42578125" style="215" bestFit="1" customWidth="1"/>
    <col min="12048" max="12048" width="17.140625" style="215" bestFit="1" customWidth="1"/>
    <col min="12049" max="12049" width="24.42578125" style="215" customWidth="1"/>
    <col min="12050" max="12050" width="18.42578125" style="215" bestFit="1" customWidth="1"/>
    <col min="12051" max="12051" width="18.5703125" style="215" bestFit="1" customWidth="1"/>
    <col min="12052" max="12052" width="19.42578125" style="215" bestFit="1" customWidth="1"/>
    <col min="12053" max="12053" width="20.42578125" style="215" bestFit="1" customWidth="1"/>
    <col min="12054" max="12054" width="20.85546875" style="215" bestFit="1" customWidth="1"/>
    <col min="12055" max="12055" width="21.42578125" style="215" bestFit="1" customWidth="1"/>
    <col min="12056" max="12057" width="22.42578125" style="215" bestFit="1" customWidth="1"/>
    <col min="12058" max="12059" width="23.85546875" style="215" bestFit="1" customWidth="1"/>
    <col min="12060" max="12061" width="24.85546875" style="215" bestFit="1" customWidth="1"/>
    <col min="12062" max="12066" width="11.42578125" style="215" bestFit="1" customWidth="1"/>
    <col min="12067" max="12071" width="12.42578125" style="215" bestFit="1" customWidth="1"/>
    <col min="12072" max="12072" width="12" style="215" bestFit="1" customWidth="1"/>
    <col min="12073" max="12288" width="8.85546875" style="215"/>
    <col min="12289" max="12289" width="7.42578125" style="215" customWidth="1"/>
    <col min="12290" max="12290" width="41" style="215" customWidth="1"/>
    <col min="12291" max="12291" width="16" style="215" customWidth="1"/>
    <col min="12292" max="12292" width="16.140625" style="215" bestFit="1" customWidth="1"/>
    <col min="12293" max="12293" width="11.85546875" style="215" customWidth="1"/>
    <col min="12294" max="12294" width="12.42578125" style="215" bestFit="1" customWidth="1"/>
    <col min="12295" max="12296" width="13" style="215" bestFit="1" customWidth="1"/>
    <col min="12297" max="12297" width="12.5703125" style="215" bestFit="1" customWidth="1"/>
    <col min="12298" max="12298" width="13.42578125" style="215" bestFit="1" customWidth="1"/>
    <col min="12299" max="12299" width="13.5703125" style="215" bestFit="1" customWidth="1"/>
    <col min="12300" max="12300" width="14.5703125" style="215" bestFit="1" customWidth="1"/>
    <col min="12301" max="12301" width="14.85546875" style="215" bestFit="1" customWidth="1"/>
    <col min="12302" max="12302" width="17.140625" style="215" customWidth="1"/>
    <col min="12303" max="12303" width="16.42578125" style="215" bestFit="1" customWidth="1"/>
    <col min="12304" max="12304" width="17.140625" style="215" bestFit="1" customWidth="1"/>
    <col min="12305" max="12305" width="24.42578125" style="215" customWidth="1"/>
    <col min="12306" max="12306" width="18.42578125" style="215" bestFit="1" customWidth="1"/>
    <col min="12307" max="12307" width="18.5703125" style="215" bestFit="1" customWidth="1"/>
    <col min="12308" max="12308" width="19.42578125" style="215" bestFit="1" customWidth="1"/>
    <col min="12309" max="12309" width="20.42578125" style="215" bestFit="1" customWidth="1"/>
    <col min="12310" max="12310" width="20.85546875" style="215" bestFit="1" customWidth="1"/>
    <col min="12311" max="12311" width="21.42578125" style="215" bestFit="1" customWidth="1"/>
    <col min="12312" max="12313" width="22.42578125" style="215" bestFit="1" customWidth="1"/>
    <col min="12314" max="12315" width="23.85546875" style="215" bestFit="1" customWidth="1"/>
    <col min="12316" max="12317" width="24.85546875" style="215" bestFit="1" customWidth="1"/>
    <col min="12318" max="12322" width="11.42578125" style="215" bestFit="1" customWidth="1"/>
    <col min="12323" max="12327" width="12.42578125" style="215" bestFit="1" customWidth="1"/>
    <col min="12328" max="12328" width="12" style="215" bestFit="1" customWidth="1"/>
    <col min="12329" max="12544" width="8.85546875" style="215"/>
    <col min="12545" max="12545" width="7.42578125" style="215" customWidth="1"/>
    <col min="12546" max="12546" width="41" style="215" customWidth="1"/>
    <col min="12547" max="12547" width="16" style="215" customWidth="1"/>
    <col min="12548" max="12548" width="16.140625" style="215" bestFit="1" customWidth="1"/>
    <col min="12549" max="12549" width="11.85546875" style="215" customWidth="1"/>
    <col min="12550" max="12550" width="12.42578125" style="215" bestFit="1" customWidth="1"/>
    <col min="12551" max="12552" width="13" style="215" bestFit="1" customWidth="1"/>
    <col min="12553" max="12553" width="12.5703125" style="215" bestFit="1" customWidth="1"/>
    <col min="12554" max="12554" width="13.42578125" style="215" bestFit="1" customWidth="1"/>
    <col min="12555" max="12555" width="13.5703125" style="215" bestFit="1" customWidth="1"/>
    <col min="12556" max="12556" width="14.5703125" style="215" bestFit="1" customWidth="1"/>
    <col min="12557" max="12557" width="14.85546875" style="215" bestFit="1" customWidth="1"/>
    <col min="12558" max="12558" width="17.140625" style="215" customWidth="1"/>
    <col min="12559" max="12559" width="16.42578125" style="215" bestFit="1" customWidth="1"/>
    <col min="12560" max="12560" width="17.140625" style="215" bestFit="1" customWidth="1"/>
    <col min="12561" max="12561" width="24.42578125" style="215" customWidth="1"/>
    <col min="12562" max="12562" width="18.42578125" style="215" bestFit="1" customWidth="1"/>
    <col min="12563" max="12563" width="18.5703125" style="215" bestFit="1" customWidth="1"/>
    <col min="12564" max="12564" width="19.42578125" style="215" bestFit="1" customWidth="1"/>
    <col min="12565" max="12565" width="20.42578125" style="215" bestFit="1" customWidth="1"/>
    <col min="12566" max="12566" width="20.85546875" style="215" bestFit="1" customWidth="1"/>
    <col min="12567" max="12567" width="21.42578125" style="215" bestFit="1" customWidth="1"/>
    <col min="12568" max="12569" width="22.42578125" style="215" bestFit="1" customWidth="1"/>
    <col min="12570" max="12571" width="23.85546875" style="215" bestFit="1" customWidth="1"/>
    <col min="12572" max="12573" width="24.85546875" style="215" bestFit="1" customWidth="1"/>
    <col min="12574" max="12578" width="11.42578125" style="215" bestFit="1" customWidth="1"/>
    <col min="12579" max="12583" width="12.42578125" style="215" bestFit="1" customWidth="1"/>
    <col min="12584" max="12584" width="12" style="215" bestFit="1" customWidth="1"/>
    <col min="12585" max="12800" width="8.85546875" style="215"/>
    <col min="12801" max="12801" width="7.42578125" style="215" customWidth="1"/>
    <col min="12802" max="12802" width="41" style="215" customWidth="1"/>
    <col min="12803" max="12803" width="16" style="215" customWidth="1"/>
    <col min="12804" max="12804" width="16.140625" style="215" bestFit="1" customWidth="1"/>
    <col min="12805" max="12805" width="11.85546875" style="215" customWidth="1"/>
    <col min="12806" max="12806" width="12.42578125" style="215" bestFit="1" customWidth="1"/>
    <col min="12807" max="12808" width="13" style="215" bestFit="1" customWidth="1"/>
    <col min="12809" max="12809" width="12.5703125" style="215" bestFit="1" customWidth="1"/>
    <col min="12810" max="12810" width="13.42578125" style="215" bestFit="1" customWidth="1"/>
    <col min="12811" max="12811" width="13.5703125" style="215" bestFit="1" customWidth="1"/>
    <col min="12812" max="12812" width="14.5703125" style="215" bestFit="1" customWidth="1"/>
    <col min="12813" max="12813" width="14.85546875" style="215" bestFit="1" customWidth="1"/>
    <col min="12814" max="12814" width="17.140625" style="215" customWidth="1"/>
    <col min="12815" max="12815" width="16.42578125" style="215" bestFit="1" customWidth="1"/>
    <col min="12816" max="12816" width="17.140625" style="215" bestFit="1" customWidth="1"/>
    <col min="12817" max="12817" width="24.42578125" style="215" customWidth="1"/>
    <col min="12818" max="12818" width="18.42578125" style="215" bestFit="1" customWidth="1"/>
    <col min="12819" max="12819" width="18.5703125" style="215" bestFit="1" customWidth="1"/>
    <col min="12820" max="12820" width="19.42578125" style="215" bestFit="1" customWidth="1"/>
    <col min="12821" max="12821" width="20.42578125" style="215" bestFit="1" customWidth="1"/>
    <col min="12822" max="12822" width="20.85546875" style="215" bestFit="1" customWidth="1"/>
    <col min="12823" max="12823" width="21.42578125" style="215" bestFit="1" customWidth="1"/>
    <col min="12824" max="12825" width="22.42578125" style="215" bestFit="1" customWidth="1"/>
    <col min="12826" max="12827" width="23.85546875" style="215" bestFit="1" customWidth="1"/>
    <col min="12828" max="12829" width="24.85546875" style="215" bestFit="1" customWidth="1"/>
    <col min="12830" max="12834" width="11.42578125" style="215" bestFit="1" customWidth="1"/>
    <col min="12835" max="12839" width="12.42578125" style="215" bestFit="1" customWidth="1"/>
    <col min="12840" max="12840" width="12" style="215" bestFit="1" customWidth="1"/>
    <col min="12841" max="13056" width="8.85546875" style="215"/>
    <col min="13057" max="13057" width="7.42578125" style="215" customWidth="1"/>
    <col min="13058" max="13058" width="41" style="215" customWidth="1"/>
    <col min="13059" max="13059" width="16" style="215" customWidth="1"/>
    <col min="13060" max="13060" width="16.140625" style="215" bestFit="1" customWidth="1"/>
    <col min="13061" max="13061" width="11.85546875" style="215" customWidth="1"/>
    <col min="13062" max="13062" width="12.42578125" style="215" bestFit="1" customWidth="1"/>
    <col min="13063" max="13064" width="13" style="215" bestFit="1" customWidth="1"/>
    <col min="13065" max="13065" width="12.5703125" style="215" bestFit="1" customWidth="1"/>
    <col min="13066" max="13066" width="13.42578125" style="215" bestFit="1" customWidth="1"/>
    <col min="13067" max="13067" width="13.5703125" style="215" bestFit="1" customWidth="1"/>
    <col min="13068" max="13068" width="14.5703125" style="215" bestFit="1" customWidth="1"/>
    <col min="13069" max="13069" width="14.85546875" style="215" bestFit="1" customWidth="1"/>
    <col min="13070" max="13070" width="17.140625" style="215" customWidth="1"/>
    <col min="13071" max="13071" width="16.42578125" style="215" bestFit="1" customWidth="1"/>
    <col min="13072" max="13072" width="17.140625" style="215" bestFit="1" customWidth="1"/>
    <col min="13073" max="13073" width="24.42578125" style="215" customWidth="1"/>
    <col min="13074" max="13074" width="18.42578125" style="215" bestFit="1" customWidth="1"/>
    <col min="13075" max="13075" width="18.5703125" style="215" bestFit="1" customWidth="1"/>
    <col min="13076" max="13076" width="19.42578125" style="215" bestFit="1" customWidth="1"/>
    <col min="13077" max="13077" width="20.42578125" style="215" bestFit="1" customWidth="1"/>
    <col min="13078" max="13078" width="20.85546875" style="215" bestFit="1" customWidth="1"/>
    <col min="13079" max="13079" width="21.42578125" style="215" bestFit="1" customWidth="1"/>
    <col min="13080" max="13081" width="22.42578125" style="215" bestFit="1" customWidth="1"/>
    <col min="13082" max="13083" width="23.85546875" style="215" bestFit="1" customWidth="1"/>
    <col min="13084" max="13085" width="24.85546875" style="215" bestFit="1" customWidth="1"/>
    <col min="13086" max="13090" width="11.42578125" style="215" bestFit="1" customWidth="1"/>
    <col min="13091" max="13095" width="12.42578125" style="215" bestFit="1" customWidth="1"/>
    <col min="13096" max="13096" width="12" style="215" bestFit="1" customWidth="1"/>
    <col min="13097" max="13312" width="8.85546875" style="215"/>
    <col min="13313" max="13313" width="7.42578125" style="215" customWidth="1"/>
    <col min="13314" max="13314" width="41" style="215" customWidth="1"/>
    <col min="13315" max="13315" width="16" style="215" customWidth="1"/>
    <col min="13316" max="13316" width="16.140625" style="215" bestFit="1" customWidth="1"/>
    <col min="13317" max="13317" width="11.85546875" style="215" customWidth="1"/>
    <col min="13318" max="13318" width="12.42578125" style="215" bestFit="1" customWidth="1"/>
    <col min="13319" max="13320" width="13" style="215" bestFit="1" customWidth="1"/>
    <col min="13321" max="13321" width="12.5703125" style="215" bestFit="1" customWidth="1"/>
    <col min="13322" max="13322" width="13.42578125" style="215" bestFit="1" customWidth="1"/>
    <col min="13323" max="13323" width="13.5703125" style="215" bestFit="1" customWidth="1"/>
    <col min="13324" max="13324" width="14.5703125" style="215" bestFit="1" customWidth="1"/>
    <col min="13325" max="13325" width="14.85546875" style="215" bestFit="1" customWidth="1"/>
    <col min="13326" max="13326" width="17.140625" style="215" customWidth="1"/>
    <col min="13327" max="13327" width="16.42578125" style="215" bestFit="1" customWidth="1"/>
    <col min="13328" max="13328" width="17.140625" style="215" bestFit="1" customWidth="1"/>
    <col min="13329" max="13329" width="24.42578125" style="215" customWidth="1"/>
    <col min="13330" max="13330" width="18.42578125" style="215" bestFit="1" customWidth="1"/>
    <col min="13331" max="13331" width="18.5703125" style="215" bestFit="1" customWidth="1"/>
    <col min="13332" max="13332" width="19.42578125" style="215" bestFit="1" customWidth="1"/>
    <col min="13333" max="13333" width="20.42578125" style="215" bestFit="1" customWidth="1"/>
    <col min="13334" max="13334" width="20.85546875" style="215" bestFit="1" customWidth="1"/>
    <col min="13335" max="13335" width="21.42578125" style="215" bestFit="1" customWidth="1"/>
    <col min="13336" max="13337" width="22.42578125" style="215" bestFit="1" customWidth="1"/>
    <col min="13338" max="13339" width="23.85546875" style="215" bestFit="1" customWidth="1"/>
    <col min="13340" max="13341" width="24.85546875" style="215" bestFit="1" customWidth="1"/>
    <col min="13342" max="13346" width="11.42578125" style="215" bestFit="1" customWidth="1"/>
    <col min="13347" max="13351" width="12.42578125" style="215" bestFit="1" customWidth="1"/>
    <col min="13352" max="13352" width="12" style="215" bestFit="1" customWidth="1"/>
    <col min="13353" max="13568" width="8.85546875" style="215"/>
    <col min="13569" max="13569" width="7.42578125" style="215" customWidth="1"/>
    <col min="13570" max="13570" width="41" style="215" customWidth="1"/>
    <col min="13571" max="13571" width="16" style="215" customWidth="1"/>
    <col min="13572" max="13572" width="16.140625" style="215" bestFit="1" customWidth="1"/>
    <col min="13573" max="13573" width="11.85546875" style="215" customWidth="1"/>
    <col min="13574" max="13574" width="12.42578125" style="215" bestFit="1" customWidth="1"/>
    <col min="13575" max="13576" width="13" style="215" bestFit="1" customWidth="1"/>
    <col min="13577" max="13577" width="12.5703125" style="215" bestFit="1" customWidth="1"/>
    <col min="13578" max="13578" width="13.42578125" style="215" bestFit="1" customWidth="1"/>
    <col min="13579" max="13579" width="13.5703125" style="215" bestFit="1" customWidth="1"/>
    <col min="13580" max="13580" width="14.5703125" style="215" bestFit="1" customWidth="1"/>
    <col min="13581" max="13581" width="14.85546875" style="215" bestFit="1" customWidth="1"/>
    <col min="13582" max="13582" width="17.140625" style="215" customWidth="1"/>
    <col min="13583" max="13583" width="16.42578125" style="215" bestFit="1" customWidth="1"/>
    <col min="13584" max="13584" width="17.140625" style="215" bestFit="1" customWidth="1"/>
    <col min="13585" max="13585" width="24.42578125" style="215" customWidth="1"/>
    <col min="13586" max="13586" width="18.42578125" style="215" bestFit="1" customWidth="1"/>
    <col min="13587" max="13587" width="18.5703125" style="215" bestFit="1" customWidth="1"/>
    <col min="13588" max="13588" width="19.42578125" style="215" bestFit="1" customWidth="1"/>
    <col min="13589" max="13589" width="20.42578125" style="215" bestFit="1" customWidth="1"/>
    <col min="13590" max="13590" width="20.85546875" style="215" bestFit="1" customWidth="1"/>
    <col min="13591" max="13591" width="21.42578125" style="215" bestFit="1" customWidth="1"/>
    <col min="13592" max="13593" width="22.42578125" style="215" bestFit="1" customWidth="1"/>
    <col min="13594" max="13595" width="23.85546875" style="215" bestFit="1" customWidth="1"/>
    <col min="13596" max="13597" width="24.85546875" style="215" bestFit="1" customWidth="1"/>
    <col min="13598" max="13602" width="11.42578125" style="215" bestFit="1" customWidth="1"/>
    <col min="13603" max="13607" width="12.42578125" style="215" bestFit="1" customWidth="1"/>
    <col min="13608" max="13608" width="12" style="215" bestFit="1" customWidth="1"/>
    <col min="13609" max="13824" width="8.85546875" style="215"/>
    <col min="13825" max="13825" width="7.42578125" style="215" customWidth="1"/>
    <col min="13826" max="13826" width="41" style="215" customWidth="1"/>
    <col min="13827" max="13827" width="16" style="215" customWidth="1"/>
    <col min="13828" max="13828" width="16.140625" style="215" bestFit="1" customWidth="1"/>
    <col min="13829" max="13829" width="11.85546875" style="215" customWidth="1"/>
    <col min="13830" max="13830" width="12.42578125" style="215" bestFit="1" customWidth="1"/>
    <col min="13831" max="13832" width="13" style="215" bestFit="1" customWidth="1"/>
    <col min="13833" max="13833" width="12.5703125" style="215" bestFit="1" customWidth="1"/>
    <col min="13834" max="13834" width="13.42578125" style="215" bestFit="1" customWidth="1"/>
    <col min="13835" max="13835" width="13.5703125" style="215" bestFit="1" customWidth="1"/>
    <col min="13836" max="13836" width="14.5703125" style="215" bestFit="1" customWidth="1"/>
    <col min="13837" max="13837" width="14.85546875" style="215" bestFit="1" customWidth="1"/>
    <col min="13838" max="13838" width="17.140625" style="215" customWidth="1"/>
    <col min="13839" max="13839" width="16.42578125" style="215" bestFit="1" customWidth="1"/>
    <col min="13840" max="13840" width="17.140625" style="215" bestFit="1" customWidth="1"/>
    <col min="13841" max="13841" width="24.42578125" style="215" customWidth="1"/>
    <col min="13842" max="13842" width="18.42578125" style="215" bestFit="1" customWidth="1"/>
    <col min="13843" max="13843" width="18.5703125" style="215" bestFit="1" customWidth="1"/>
    <col min="13844" max="13844" width="19.42578125" style="215" bestFit="1" customWidth="1"/>
    <col min="13845" max="13845" width="20.42578125" style="215" bestFit="1" customWidth="1"/>
    <col min="13846" max="13846" width="20.85546875" style="215" bestFit="1" customWidth="1"/>
    <col min="13847" max="13847" width="21.42578125" style="215" bestFit="1" customWidth="1"/>
    <col min="13848" max="13849" width="22.42578125" style="215" bestFit="1" customWidth="1"/>
    <col min="13850" max="13851" width="23.85546875" style="215" bestFit="1" customWidth="1"/>
    <col min="13852" max="13853" width="24.85546875" style="215" bestFit="1" customWidth="1"/>
    <col min="13854" max="13858" width="11.42578125" style="215" bestFit="1" customWidth="1"/>
    <col min="13859" max="13863" width="12.42578125" style="215" bestFit="1" customWidth="1"/>
    <col min="13864" max="13864" width="12" style="215" bestFit="1" customWidth="1"/>
    <col min="13865" max="14080" width="8.85546875" style="215"/>
    <col min="14081" max="14081" width="7.42578125" style="215" customWidth="1"/>
    <col min="14082" max="14082" width="41" style="215" customWidth="1"/>
    <col min="14083" max="14083" width="16" style="215" customWidth="1"/>
    <col min="14084" max="14084" width="16.140625" style="215" bestFit="1" customWidth="1"/>
    <col min="14085" max="14085" width="11.85546875" style="215" customWidth="1"/>
    <col min="14086" max="14086" width="12.42578125" style="215" bestFit="1" customWidth="1"/>
    <col min="14087" max="14088" width="13" style="215" bestFit="1" customWidth="1"/>
    <col min="14089" max="14089" width="12.5703125" style="215" bestFit="1" customWidth="1"/>
    <col min="14090" max="14090" width="13.42578125" style="215" bestFit="1" customWidth="1"/>
    <col min="14091" max="14091" width="13.5703125" style="215" bestFit="1" customWidth="1"/>
    <col min="14092" max="14092" width="14.5703125" style="215" bestFit="1" customWidth="1"/>
    <col min="14093" max="14093" width="14.85546875" style="215" bestFit="1" customWidth="1"/>
    <col min="14094" max="14094" width="17.140625" style="215" customWidth="1"/>
    <col min="14095" max="14095" width="16.42578125" style="215" bestFit="1" customWidth="1"/>
    <col min="14096" max="14096" width="17.140625" style="215" bestFit="1" customWidth="1"/>
    <col min="14097" max="14097" width="24.42578125" style="215" customWidth="1"/>
    <col min="14098" max="14098" width="18.42578125" style="215" bestFit="1" customWidth="1"/>
    <col min="14099" max="14099" width="18.5703125" style="215" bestFit="1" customWidth="1"/>
    <col min="14100" max="14100" width="19.42578125" style="215" bestFit="1" customWidth="1"/>
    <col min="14101" max="14101" width="20.42578125" style="215" bestFit="1" customWidth="1"/>
    <col min="14102" max="14102" width="20.85546875" style="215" bestFit="1" customWidth="1"/>
    <col min="14103" max="14103" width="21.42578125" style="215" bestFit="1" customWidth="1"/>
    <col min="14104" max="14105" width="22.42578125" style="215" bestFit="1" customWidth="1"/>
    <col min="14106" max="14107" width="23.85546875" style="215" bestFit="1" customWidth="1"/>
    <col min="14108" max="14109" width="24.85546875" style="215" bestFit="1" customWidth="1"/>
    <col min="14110" max="14114" width="11.42578125" style="215" bestFit="1" customWidth="1"/>
    <col min="14115" max="14119" width="12.42578125" style="215" bestFit="1" customWidth="1"/>
    <col min="14120" max="14120" width="12" style="215" bestFit="1" customWidth="1"/>
    <col min="14121" max="14336" width="8.85546875" style="215"/>
    <col min="14337" max="14337" width="7.42578125" style="215" customWidth="1"/>
    <col min="14338" max="14338" width="41" style="215" customWidth="1"/>
    <col min="14339" max="14339" width="16" style="215" customWidth="1"/>
    <col min="14340" max="14340" width="16.140625" style="215" bestFit="1" customWidth="1"/>
    <col min="14341" max="14341" width="11.85546875" style="215" customWidth="1"/>
    <col min="14342" max="14342" width="12.42578125" style="215" bestFit="1" customWidth="1"/>
    <col min="14343" max="14344" width="13" style="215" bestFit="1" customWidth="1"/>
    <col min="14345" max="14345" width="12.5703125" style="215" bestFit="1" customWidth="1"/>
    <col min="14346" max="14346" width="13.42578125" style="215" bestFit="1" customWidth="1"/>
    <col min="14347" max="14347" width="13.5703125" style="215" bestFit="1" customWidth="1"/>
    <col min="14348" max="14348" width="14.5703125" style="215" bestFit="1" customWidth="1"/>
    <col min="14349" max="14349" width="14.85546875" style="215" bestFit="1" customWidth="1"/>
    <col min="14350" max="14350" width="17.140625" style="215" customWidth="1"/>
    <col min="14351" max="14351" width="16.42578125" style="215" bestFit="1" customWidth="1"/>
    <col min="14352" max="14352" width="17.140625" style="215" bestFit="1" customWidth="1"/>
    <col min="14353" max="14353" width="24.42578125" style="215" customWidth="1"/>
    <col min="14354" max="14354" width="18.42578125" style="215" bestFit="1" customWidth="1"/>
    <col min="14355" max="14355" width="18.5703125" style="215" bestFit="1" customWidth="1"/>
    <col min="14356" max="14356" width="19.42578125" style="215" bestFit="1" customWidth="1"/>
    <col min="14357" max="14357" width="20.42578125" style="215" bestFit="1" customWidth="1"/>
    <col min="14358" max="14358" width="20.85546875" style="215" bestFit="1" customWidth="1"/>
    <col min="14359" max="14359" width="21.42578125" style="215" bestFit="1" customWidth="1"/>
    <col min="14360" max="14361" width="22.42578125" style="215" bestFit="1" customWidth="1"/>
    <col min="14362" max="14363" width="23.85546875" style="215" bestFit="1" customWidth="1"/>
    <col min="14364" max="14365" width="24.85546875" style="215" bestFit="1" customWidth="1"/>
    <col min="14366" max="14370" width="11.42578125" style="215" bestFit="1" customWidth="1"/>
    <col min="14371" max="14375" width="12.42578125" style="215" bestFit="1" customWidth="1"/>
    <col min="14376" max="14376" width="12" style="215" bestFit="1" customWidth="1"/>
    <col min="14377" max="14592" width="8.85546875" style="215"/>
    <col min="14593" max="14593" width="7.42578125" style="215" customWidth="1"/>
    <col min="14594" max="14594" width="41" style="215" customWidth="1"/>
    <col min="14595" max="14595" width="16" style="215" customWidth="1"/>
    <col min="14596" max="14596" width="16.140625" style="215" bestFit="1" customWidth="1"/>
    <col min="14597" max="14597" width="11.85546875" style="215" customWidth="1"/>
    <col min="14598" max="14598" width="12.42578125" style="215" bestFit="1" customWidth="1"/>
    <col min="14599" max="14600" width="13" style="215" bestFit="1" customWidth="1"/>
    <col min="14601" max="14601" width="12.5703125" style="215" bestFit="1" customWidth="1"/>
    <col min="14602" max="14602" width="13.42578125" style="215" bestFit="1" customWidth="1"/>
    <col min="14603" max="14603" width="13.5703125" style="215" bestFit="1" customWidth="1"/>
    <col min="14604" max="14604" width="14.5703125" style="215" bestFit="1" customWidth="1"/>
    <col min="14605" max="14605" width="14.85546875" style="215" bestFit="1" customWidth="1"/>
    <col min="14606" max="14606" width="17.140625" style="215" customWidth="1"/>
    <col min="14607" max="14607" width="16.42578125" style="215" bestFit="1" customWidth="1"/>
    <col min="14608" max="14608" width="17.140625" style="215" bestFit="1" customWidth="1"/>
    <col min="14609" max="14609" width="24.42578125" style="215" customWidth="1"/>
    <col min="14610" max="14610" width="18.42578125" style="215" bestFit="1" customWidth="1"/>
    <col min="14611" max="14611" width="18.5703125" style="215" bestFit="1" customWidth="1"/>
    <col min="14612" max="14612" width="19.42578125" style="215" bestFit="1" customWidth="1"/>
    <col min="14613" max="14613" width="20.42578125" style="215" bestFit="1" customWidth="1"/>
    <col min="14614" max="14614" width="20.85546875" style="215" bestFit="1" customWidth="1"/>
    <col min="14615" max="14615" width="21.42578125" style="215" bestFit="1" customWidth="1"/>
    <col min="14616" max="14617" width="22.42578125" style="215" bestFit="1" customWidth="1"/>
    <col min="14618" max="14619" width="23.85546875" style="215" bestFit="1" customWidth="1"/>
    <col min="14620" max="14621" width="24.85546875" style="215" bestFit="1" customWidth="1"/>
    <col min="14622" max="14626" width="11.42578125" style="215" bestFit="1" customWidth="1"/>
    <col min="14627" max="14631" width="12.42578125" style="215" bestFit="1" customWidth="1"/>
    <col min="14632" max="14632" width="12" style="215" bestFit="1" customWidth="1"/>
    <col min="14633" max="14848" width="8.85546875" style="215"/>
    <col min="14849" max="14849" width="7.42578125" style="215" customWidth="1"/>
    <col min="14850" max="14850" width="41" style="215" customWidth="1"/>
    <col min="14851" max="14851" width="16" style="215" customWidth="1"/>
    <col min="14852" max="14852" width="16.140625" style="215" bestFit="1" customWidth="1"/>
    <col min="14853" max="14853" width="11.85546875" style="215" customWidth="1"/>
    <col min="14854" max="14854" width="12.42578125" style="215" bestFit="1" customWidth="1"/>
    <col min="14855" max="14856" width="13" style="215" bestFit="1" customWidth="1"/>
    <col min="14857" max="14857" width="12.5703125" style="215" bestFit="1" customWidth="1"/>
    <col min="14858" max="14858" width="13.42578125" style="215" bestFit="1" customWidth="1"/>
    <col min="14859" max="14859" width="13.5703125" style="215" bestFit="1" customWidth="1"/>
    <col min="14860" max="14860" width="14.5703125" style="215" bestFit="1" customWidth="1"/>
    <col min="14861" max="14861" width="14.85546875" style="215" bestFit="1" customWidth="1"/>
    <col min="14862" max="14862" width="17.140625" style="215" customWidth="1"/>
    <col min="14863" max="14863" width="16.42578125" style="215" bestFit="1" customWidth="1"/>
    <col min="14864" max="14864" width="17.140625" style="215" bestFit="1" customWidth="1"/>
    <col min="14865" max="14865" width="24.42578125" style="215" customWidth="1"/>
    <col min="14866" max="14866" width="18.42578125" style="215" bestFit="1" customWidth="1"/>
    <col min="14867" max="14867" width="18.5703125" style="215" bestFit="1" customWidth="1"/>
    <col min="14868" max="14868" width="19.42578125" style="215" bestFit="1" customWidth="1"/>
    <col min="14869" max="14869" width="20.42578125" style="215" bestFit="1" customWidth="1"/>
    <col min="14870" max="14870" width="20.85546875" style="215" bestFit="1" customWidth="1"/>
    <col min="14871" max="14871" width="21.42578125" style="215" bestFit="1" customWidth="1"/>
    <col min="14872" max="14873" width="22.42578125" style="215" bestFit="1" customWidth="1"/>
    <col min="14874" max="14875" width="23.85546875" style="215" bestFit="1" customWidth="1"/>
    <col min="14876" max="14877" width="24.85546875" style="215" bestFit="1" customWidth="1"/>
    <col min="14878" max="14882" width="11.42578125" style="215" bestFit="1" customWidth="1"/>
    <col min="14883" max="14887" width="12.42578125" style="215" bestFit="1" customWidth="1"/>
    <col min="14888" max="14888" width="12" style="215" bestFit="1" customWidth="1"/>
    <col min="14889" max="15104" width="8.85546875" style="215"/>
    <col min="15105" max="15105" width="7.42578125" style="215" customWidth="1"/>
    <col min="15106" max="15106" width="41" style="215" customWidth="1"/>
    <col min="15107" max="15107" width="16" style="215" customWidth="1"/>
    <col min="15108" max="15108" width="16.140625" style="215" bestFit="1" customWidth="1"/>
    <col min="15109" max="15109" width="11.85546875" style="215" customWidth="1"/>
    <col min="15110" max="15110" width="12.42578125" style="215" bestFit="1" customWidth="1"/>
    <col min="15111" max="15112" width="13" style="215" bestFit="1" customWidth="1"/>
    <col min="15113" max="15113" width="12.5703125" style="215" bestFit="1" customWidth="1"/>
    <col min="15114" max="15114" width="13.42578125" style="215" bestFit="1" customWidth="1"/>
    <col min="15115" max="15115" width="13.5703125" style="215" bestFit="1" customWidth="1"/>
    <col min="15116" max="15116" width="14.5703125" style="215" bestFit="1" customWidth="1"/>
    <col min="15117" max="15117" width="14.85546875" style="215" bestFit="1" customWidth="1"/>
    <col min="15118" max="15118" width="17.140625" style="215" customWidth="1"/>
    <col min="15119" max="15119" width="16.42578125" style="215" bestFit="1" customWidth="1"/>
    <col min="15120" max="15120" width="17.140625" style="215" bestFit="1" customWidth="1"/>
    <col min="15121" max="15121" width="24.42578125" style="215" customWidth="1"/>
    <col min="15122" max="15122" width="18.42578125" style="215" bestFit="1" customWidth="1"/>
    <col min="15123" max="15123" width="18.5703125" style="215" bestFit="1" customWidth="1"/>
    <col min="15124" max="15124" width="19.42578125" style="215" bestFit="1" customWidth="1"/>
    <col min="15125" max="15125" width="20.42578125" style="215" bestFit="1" customWidth="1"/>
    <col min="15126" max="15126" width="20.85546875" style="215" bestFit="1" customWidth="1"/>
    <col min="15127" max="15127" width="21.42578125" style="215" bestFit="1" customWidth="1"/>
    <col min="15128" max="15129" width="22.42578125" style="215" bestFit="1" customWidth="1"/>
    <col min="15130" max="15131" width="23.85546875" style="215" bestFit="1" customWidth="1"/>
    <col min="15132" max="15133" width="24.85546875" style="215" bestFit="1" customWidth="1"/>
    <col min="15134" max="15138" width="11.42578125" style="215" bestFit="1" customWidth="1"/>
    <col min="15139" max="15143" width="12.42578125" style="215" bestFit="1" customWidth="1"/>
    <col min="15144" max="15144" width="12" style="215" bestFit="1" customWidth="1"/>
    <col min="15145" max="15360" width="8.85546875" style="215"/>
    <col min="15361" max="15361" width="7.42578125" style="215" customWidth="1"/>
    <col min="15362" max="15362" width="41" style="215" customWidth="1"/>
    <col min="15363" max="15363" width="16" style="215" customWidth="1"/>
    <col min="15364" max="15364" width="16.140625" style="215" bestFit="1" customWidth="1"/>
    <col min="15365" max="15365" width="11.85546875" style="215" customWidth="1"/>
    <col min="15366" max="15366" width="12.42578125" style="215" bestFit="1" customWidth="1"/>
    <col min="15367" max="15368" width="13" style="215" bestFit="1" customWidth="1"/>
    <col min="15369" max="15369" width="12.5703125" style="215" bestFit="1" customWidth="1"/>
    <col min="15370" max="15370" width="13.42578125" style="215" bestFit="1" customWidth="1"/>
    <col min="15371" max="15371" width="13.5703125" style="215" bestFit="1" customWidth="1"/>
    <col min="15372" max="15372" width="14.5703125" style="215" bestFit="1" customWidth="1"/>
    <col min="15373" max="15373" width="14.85546875" style="215" bestFit="1" customWidth="1"/>
    <col min="15374" max="15374" width="17.140625" style="215" customWidth="1"/>
    <col min="15375" max="15375" width="16.42578125" style="215" bestFit="1" customWidth="1"/>
    <col min="15376" max="15376" width="17.140625" style="215" bestFit="1" customWidth="1"/>
    <col min="15377" max="15377" width="24.42578125" style="215" customWidth="1"/>
    <col min="15378" max="15378" width="18.42578125" style="215" bestFit="1" customWidth="1"/>
    <col min="15379" max="15379" width="18.5703125" style="215" bestFit="1" customWidth="1"/>
    <col min="15380" max="15380" width="19.42578125" style="215" bestFit="1" customWidth="1"/>
    <col min="15381" max="15381" width="20.42578125" style="215" bestFit="1" customWidth="1"/>
    <col min="15382" max="15382" width="20.85546875" style="215" bestFit="1" customWidth="1"/>
    <col min="15383" max="15383" width="21.42578125" style="215" bestFit="1" customWidth="1"/>
    <col min="15384" max="15385" width="22.42578125" style="215" bestFit="1" customWidth="1"/>
    <col min="15386" max="15387" width="23.85546875" style="215" bestFit="1" customWidth="1"/>
    <col min="15388" max="15389" width="24.85546875" style="215" bestFit="1" customWidth="1"/>
    <col min="15390" max="15394" width="11.42578125" style="215" bestFit="1" customWidth="1"/>
    <col min="15395" max="15399" width="12.42578125" style="215" bestFit="1" customWidth="1"/>
    <col min="15400" max="15400" width="12" style="215" bestFit="1" customWidth="1"/>
    <col min="15401" max="15616" width="8.85546875" style="215"/>
    <col min="15617" max="15617" width="7.42578125" style="215" customWidth="1"/>
    <col min="15618" max="15618" width="41" style="215" customWidth="1"/>
    <col min="15619" max="15619" width="16" style="215" customWidth="1"/>
    <col min="15620" max="15620" width="16.140625" style="215" bestFit="1" customWidth="1"/>
    <col min="15621" max="15621" width="11.85546875" style="215" customWidth="1"/>
    <col min="15622" max="15622" width="12.42578125" style="215" bestFit="1" customWidth="1"/>
    <col min="15623" max="15624" width="13" style="215" bestFit="1" customWidth="1"/>
    <col min="15625" max="15625" width="12.5703125" style="215" bestFit="1" customWidth="1"/>
    <col min="15626" max="15626" width="13.42578125" style="215" bestFit="1" customWidth="1"/>
    <col min="15627" max="15627" width="13.5703125" style="215" bestFit="1" customWidth="1"/>
    <col min="15628" max="15628" width="14.5703125" style="215" bestFit="1" customWidth="1"/>
    <col min="15629" max="15629" width="14.85546875" style="215" bestFit="1" customWidth="1"/>
    <col min="15630" max="15630" width="17.140625" style="215" customWidth="1"/>
    <col min="15631" max="15631" width="16.42578125" style="215" bestFit="1" customWidth="1"/>
    <col min="15632" max="15632" width="17.140625" style="215" bestFit="1" customWidth="1"/>
    <col min="15633" max="15633" width="24.42578125" style="215" customWidth="1"/>
    <col min="15634" max="15634" width="18.42578125" style="215" bestFit="1" customWidth="1"/>
    <col min="15635" max="15635" width="18.5703125" style="215" bestFit="1" customWidth="1"/>
    <col min="15636" max="15636" width="19.42578125" style="215" bestFit="1" customWidth="1"/>
    <col min="15637" max="15637" width="20.42578125" style="215" bestFit="1" customWidth="1"/>
    <col min="15638" max="15638" width="20.85546875" style="215" bestFit="1" customWidth="1"/>
    <col min="15639" max="15639" width="21.42578125" style="215" bestFit="1" customWidth="1"/>
    <col min="15640" max="15641" width="22.42578125" style="215" bestFit="1" customWidth="1"/>
    <col min="15642" max="15643" width="23.85546875" style="215" bestFit="1" customWidth="1"/>
    <col min="15644" max="15645" width="24.85546875" style="215" bestFit="1" customWidth="1"/>
    <col min="15646" max="15650" width="11.42578125" style="215" bestFit="1" customWidth="1"/>
    <col min="15651" max="15655" width="12.42578125" style="215" bestFit="1" customWidth="1"/>
    <col min="15656" max="15656" width="12" style="215" bestFit="1" customWidth="1"/>
    <col min="15657" max="15872" width="8.85546875" style="215"/>
    <col min="15873" max="15873" width="7.42578125" style="215" customWidth="1"/>
    <col min="15874" max="15874" width="41" style="215" customWidth="1"/>
    <col min="15875" max="15875" width="16" style="215" customWidth="1"/>
    <col min="15876" max="15876" width="16.140625" style="215" bestFit="1" customWidth="1"/>
    <col min="15877" max="15877" width="11.85546875" style="215" customWidth="1"/>
    <col min="15878" max="15878" width="12.42578125" style="215" bestFit="1" customWidth="1"/>
    <col min="15879" max="15880" width="13" style="215" bestFit="1" customWidth="1"/>
    <col min="15881" max="15881" width="12.5703125" style="215" bestFit="1" customWidth="1"/>
    <col min="15882" max="15882" width="13.42578125" style="215" bestFit="1" customWidth="1"/>
    <col min="15883" max="15883" width="13.5703125" style="215" bestFit="1" customWidth="1"/>
    <col min="15884" max="15884" width="14.5703125" style="215" bestFit="1" customWidth="1"/>
    <col min="15885" max="15885" width="14.85546875" style="215" bestFit="1" customWidth="1"/>
    <col min="15886" max="15886" width="17.140625" style="215" customWidth="1"/>
    <col min="15887" max="15887" width="16.42578125" style="215" bestFit="1" customWidth="1"/>
    <col min="15888" max="15888" width="17.140625" style="215" bestFit="1" customWidth="1"/>
    <col min="15889" max="15889" width="24.42578125" style="215" customWidth="1"/>
    <col min="15890" max="15890" width="18.42578125" style="215" bestFit="1" customWidth="1"/>
    <col min="15891" max="15891" width="18.5703125" style="215" bestFit="1" customWidth="1"/>
    <col min="15892" max="15892" width="19.42578125" style="215" bestFit="1" customWidth="1"/>
    <col min="15893" max="15893" width="20.42578125" style="215" bestFit="1" customWidth="1"/>
    <col min="15894" max="15894" width="20.85546875" style="215" bestFit="1" customWidth="1"/>
    <col min="15895" max="15895" width="21.42578125" style="215" bestFit="1" customWidth="1"/>
    <col min="15896" max="15897" width="22.42578125" style="215" bestFit="1" customWidth="1"/>
    <col min="15898" max="15899" width="23.85546875" style="215" bestFit="1" customWidth="1"/>
    <col min="15900" max="15901" width="24.85546875" style="215" bestFit="1" customWidth="1"/>
    <col min="15902" max="15906" width="11.42578125" style="215" bestFit="1" customWidth="1"/>
    <col min="15907" max="15911" width="12.42578125" style="215" bestFit="1" customWidth="1"/>
    <col min="15912" max="15912" width="12" style="215" bestFit="1" customWidth="1"/>
    <col min="15913" max="16128" width="8.85546875" style="215"/>
    <col min="16129" max="16129" width="7.42578125" style="215" customWidth="1"/>
    <col min="16130" max="16130" width="41" style="215" customWidth="1"/>
    <col min="16131" max="16131" width="16" style="215" customWidth="1"/>
    <col min="16132" max="16132" width="16.140625" style="215" bestFit="1" customWidth="1"/>
    <col min="16133" max="16133" width="11.85546875" style="215" customWidth="1"/>
    <col min="16134" max="16134" width="12.42578125" style="215" bestFit="1" customWidth="1"/>
    <col min="16135" max="16136" width="13" style="215" bestFit="1" customWidth="1"/>
    <col min="16137" max="16137" width="12.5703125" style="215" bestFit="1" customWidth="1"/>
    <col min="16138" max="16138" width="13.42578125" style="215" bestFit="1" customWidth="1"/>
    <col min="16139" max="16139" width="13.5703125" style="215" bestFit="1" customWidth="1"/>
    <col min="16140" max="16140" width="14.5703125" style="215" bestFit="1" customWidth="1"/>
    <col min="16141" max="16141" width="14.85546875" style="215" bestFit="1" customWidth="1"/>
    <col min="16142" max="16142" width="17.140625" style="215" customWidth="1"/>
    <col min="16143" max="16143" width="16.42578125" style="215" bestFit="1" customWidth="1"/>
    <col min="16144" max="16144" width="17.140625" style="215" bestFit="1" customWidth="1"/>
    <col min="16145" max="16145" width="24.42578125" style="215" customWidth="1"/>
    <col min="16146" max="16146" width="18.42578125" style="215" bestFit="1" customWidth="1"/>
    <col min="16147" max="16147" width="18.5703125" style="215" bestFit="1" customWidth="1"/>
    <col min="16148" max="16148" width="19.42578125" style="215" bestFit="1" customWidth="1"/>
    <col min="16149" max="16149" width="20.42578125" style="215" bestFit="1" customWidth="1"/>
    <col min="16150" max="16150" width="20.85546875" style="215" bestFit="1" customWidth="1"/>
    <col min="16151" max="16151" width="21.42578125" style="215" bestFit="1" customWidth="1"/>
    <col min="16152" max="16153" width="22.42578125" style="215" bestFit="1" customWidth="1"/>
    <col min="16154" max="16155" width="23.85546875" style="215" bestFit="1" customWidth="1"/>
    <col min="16156" max="16157" width="24.85546875" style="215" bestFit="1" customWidth="1"/>
    <col min="16158" max="16162" width="11.42578125" style="215" bestFit="1" customWidth="1"/>
    <col min="16163" max="16167" width="12.42578125" style="215" bestFit="1" customWidth="1"/>
    <col min="16168" max="16168" width="12" style="215" bestFit="1" customWidth="1"/>
    <col min="16169" max="16384" width="8.85546875" style="215"/>
  </cols>
  <sheetData>
    <row r="1" spans="2:14" ht="12.95">
      <c r="B1" s="212" t="s">
        <v>293</v>
      </c>
      <c r="C1" s="213"/>
      <c r="D1" s="214"/>
    </row>
    <row r="2" spans="2:14" ht="12.95">
      <c r="B2" s="379" t="s">
        <v>476</v>
      </c>
      <c r="C2" s="378"/>
      <c r="D2" s="381">
        <f>EnergyDemand!F87</f>
        <v>1018.248</v>
      </c>
    </row>
    <row r="3" spans="2:14">
      <c r="B3" s="379" t="s">
        <v>108</v>
      </c>
      <c r="C3" s="217"/>
      <c r="D3" s="380">
        <f>EnergyDemand!D67</f>
        <v>7166.5265709615387</v>
      </c>
    </row>
    <row r="4" spans="2:14" ht="12.95">
      <c r="B4" s="379" t="s">
        <v>477</v>
      </c>
      <c r="C4" s="217"/>
      <c r="D4" s="382">
        <f>SUM(D2:D3)</f>
        <v>8184.7745709615392</v>
      </c>
    </row>
    <row r="5" spans="2:14">
      <c r="B5" s="216"/>
      <c r="C5" s="217"/>
      <c r="D5" s="218"/>
    </row>
    <row r="6" spans="2:14">
      <c r="B6" s="216" t="s">
        <v>478</v>
      </c>
      <c r="C6" s="217"/>
      <c r="D6" s="219">
        <f>1000*D4</f>
        <v>8184774.5709615396</v>
      </c>
      <c r="F6" s="220"/>
    </row>
    <row r="7" spans="2:14">
      <c r="B7" s="216" t="s">
        <v>479</v>
      </c>
      <c r="C7" s="217"/>
      <c r="D7" s="386">
        <f>D2*500</f>
        <v>509124</v>
      </c>
      <c r="F7" s="220"/>
    </row>
    <row r="8" spans="2:14">
      <c r="B8" s="216"/>
      <c r="C8" s="217"/>
      <c r="D8" s="218"/>
    </row>
    <row r="9" spans="2:14">
      <c r="B9" s="216" t="s">
        <v>480</v>
      </c>
      <c r="C9" s="217" t="s">
        <v>301</v>
      </c>
      <c r="D9" s="221">
        <f>D6*0.1</f>
        <v>818477.45709615399</v>
      </c>
      <c r="F9" s="220"/>
    </row>
    <row r="10" spans="2:14">
      <c r="B10" s="216" t="s">
        <v>481</v>
      </c>
      <c r="C10" s="217" t="s">
        <v>304</v>
      </c>
      <c r="D10" s="223">
        <v>0</v>
      </c>
      <c r="F10" s="222"/>
    </row>
    <row r="11" spans="2:14">
      <c r="B11" s="216"/>
      <c r="C11" s="217"/>
      <c r="D11" s="218"/>
      <c r="F11" s="224"/>
    </row>
    <row r="12" spans="2:14">
      <c r="B12" s="216" t="s">
        <v>482</v>
      </c>
      <c r="C12" s="225" t="s">
        <v>307</v>
      </c>
      <c r="D12" s="226">
        <v>0.2</v>
      </c>
      <c r="E12" s="215" t="s">
        <v>483</v>
      </c>
    </row>
    <row r="13" spans="2:14">
      <c r="B13" s="216" t="s">
        <v>310</v>
      </c>
      <c r="C13" s="225" t="s">
        <v>307</v>
      </c>
      <c r="D13" s="227">
        <v>0.44</v>
      </c>
      <c r="E13" s="215" t="s">
        <v>308</v>
      </c>
    </row>
    <row r="14" spans="2:14">
      <c r="B14" s="216" t="s">
        <v>484</v>
      </c>
      <c r="C14" s="225"/>
      <c r="D14" s="383">
        <f>5*365</f>
        <v>1825</v>
      </c>
    </row>
    <row r="15" spans="2:14" ht="17.25" customHeight="1">
      <c r="B15" s="216" t="s">
        <v>485</v>
      </c>
      <c r="C15" s="225" t="s">
        <v>313</v>
      </c>
      <c r="D15" s="228">
        <f>12*365</f>
        <v>4380</v>
      </c>
      <c r="N15" s="229"/>
    </row>
    <row r="16" spans="2:14">
      <c r="B16" s="216"/>
      <c r="C16" s="217"/>
      <c r="D16" s="218"/>
      <c r="N16" s="229"/>
    </row>
    <row r="17" spans="2:27">
      <c r="B17" s="216" t="s">
        <v>486</v>
      </c>
      <c r="C17" s="217" t="s">
        <v>304</v>
      </c>
      <c r="D17" s="230">
        <v>0.08</v>
      </c>
      <c r="E17" s="215" t="str">
        <f>'ProgrBiogas Electricity Fin Anl'!E16</f>
        <v>Assumption based on Trimble et. al/ World Bank 2016</v>
      </c>
    </row>
    <row r="18" spans="2:27" s="232" customFormat="1" ht="12.95">
      <c r="B18" s="216" t="s">
        <v>487</v>
      </c>
      <c r="C18" s="217" t="s">
        <v>304</v>
      </c>
      <c r="D18" s="231">
        <v>0.23</v>
      </c>
      <c r="E18" s="232" t="str">
        <f>'ProgrBiogas Electricity Fin Anl'!E17</f>
        <v>Assumption based on IEA 2020 for Countries with Diesel based power systems</v>
      </c>
      <c r="O18" s="233"/>
    </row>
    <row r="19" spans="2:27">
      <c r="B19" s="216" t="s">
        <v>488</v>
      </c>
      <c r="C19" s="217"/>
      <c r="D19" s="385">
        <f>D2*(1-D12)*D14</f>
        <v>1486642.08</v>
      </c>
      <c r="U19" s="234"/>
      <c r="V19" s="234"/>
      <c r="Z19" s="235"/>
    </row>
    <row r="20" spans="2:27">
      <c r="B20" s="216" t="s">
        <v>489</v>
      </c>
      <c r="C20" s="217"/>
      <c r="D20" s="384">
        <f>D3*(1-D12)*D15</f>
        <v>25111509.104649235</v>
      </c>
      <c r="Q20" s="236"/>
      <c r="U20" s="234"/>
      <c r="V20" s="234"/>
      <c r="Z20" s="235"/>
    </row>
    <row r="21" spans="2:27">
      <c r="B21" s="216"/>
      <c r="C21" s="217"/>
      <c r="D21" s="218"/>
      <c r="F21" s="222"/>
      <c r="U21" s="234"/>
      <c r="V21" s="234"/>
      <c r="Z21" s="235"/>
    </row>
    <row r="22" spans="2:27">
      <c r="B22" s="216" t="s">
        <v>320</v>
      </c>
      <c r="C22" s="225" t="s">
        <v>490</v>
      </c>
      <c r="D22" s="237">
        <f>'TogoBiogas Electricity Fin'!G9/1000</f>
        <v>0.52700000000000002</v>
      </c>
      <c r="E22" s="215" t="str">
        <f>'ProgrBiogas Electricity Fin Anl'!E21</f>
        <v>Average based on IFI Dataset</v>
      </c>
      <c r="U22" s="234"/>
      <c r="V22" s="234"/>
      <c r="Z22" s="235"/>
    </row>
    <row r="23" spans="2:27">
      <c r="B23" s="216" t="s">
        <v>324</v>
      </c>
      <c r="C23" s="225" t="s">
        <v>325</v>
      </c>
      <c r="D23" s="867">
        <v>7.4099999999999999E-2</v>
      </c>
      <c r="E23" s="868" t="s">
        <v>326</v>
      </c>
      <c r="U23" s="234"/>
      <c r="V23" s="234"/>
      <c r="Z23" s="235"/>
    </row>
    <row r="24" spans="2:27">
      <c r="B24" s="216" t="s">
        <v>329</v>
      </c>
      <c r="C24" s="225" t="s">
        <v>307</v>
      </c>
      <c r="D24" s="238">
        <v>0</v>
      </c>
      <c r="U24" s="234"/>
      <c r="V24" s="234"/>
      <c r="Z24" s="235"/>
    </row>
    <row r="25" spans="2:27">
      <c r="B25" s="216"/>
      <c r="C25" s="217"/>
      <c r="D25" s="218"/>
      <c r="U25" s="234"/>
      <c r="V25" s="234"/>
      <c r="Z25" s="235"/>
    </row>
    <row r="26" spans="2:27">
      <c r="B26" s="216"/>
      <c r="C26" s="217"/>
      <c r="D26" s="218"/>
      <c r="F26" s="728"/>
      <c r="U26" s="234"/>
      <c r="V26" s="234"/>
      <c r="Z26" s="235"/>
    </row>
    <row r="27" spans="2:27">
      <c r="B27" s="239" t="s">
        <v>492</v>
      </c>
      <c r="C27" s="240" t="s">
        <v>331</v>
      </c>
      <c r="D27" s="241">
        <f>D6+D7</f>
        <v>8693898.5709615387</v>
      </c>
      <c r="F27" s="728"/>
      <c r="U27" s="234"/>
      <c r="V27" s="234"/>
      <c r="Z27" s="235"/>
    </row>
    <row r="28" spans="2:27">
      <c r="U28" s="234"/>
      <c r="V28" s="234"/>
      <c r="Z28" s="235"/>
    </row>
    <row r="29" spans="2:27">
      <c r="B29" s="242" t="s">
        <v>332</v>
      </c>
      <c r="C29" s="243">
        <v>1</v>
      </c>
      <c r="D29" s="244" t="s">
        <v>333</v>
      </c>
      <c r="M29" s="234"/>
      <c r="U29" s="234"/>
      <c r="V29" s="234"/>
      <c r="Z29" s="235"/>
    </row>
    <row r="30" spans="2:27">
      <c r="B30" s="245" t="s">
        <v>334</v>
      </c>
      <c r="C30" s="246">
        <v>1000</v>
      </c>
      <c r="D30" s="247" t="s">
        <v>335</v>
      </c>
      <c r="O30" s="234"/>
      <c r="P30" s="234"/>
      <c r="V30" s="234"/>
      <c r="W30" s="234"/>
      <c r="AA30" s="235"/>
    </row>
    <row r="31" spans="2:27">
      <c r="B31" s="245" t="s">
        <v>336</v>
      </c>
      <c r="C31" s="248">
        <v>3.5999999999999999E-3</v>
      </c>
      <c r="D31" s="247" t="s">
        <v>337</v>
      </c>
      <c r="O31" s="234"/>
      <c r="P31" s="234"/>
      <c r="V31" s="234"/>
      <c r="W31" s="234"/>
      <c r="AA31" s="235"/>
    </row>
    <row r="33" spans="2:4" ht="12.95">
      <c r="B33" s="887" t="s">
        <v>338</v>
      </c>
      <c r="C33" s="888"/>
      <c r="D33" s="889"/>
    </row>
    <row r="34" spans="2:4">
      <c r="B34" s="249" t="s">
        <v>339</v>
      </c>
      <c r="C34" s="250" t="s">
        <v>307</v>
      </c>
      <c r="D34" s="226">
        <v>1</v>
      </c>
    </row>
    <row r="35" spans="2:4">
      <c r="B35" s="245" t="s">
        <v>340</v>
      </c>
      <c r="C35" s="247" t="s">
        <v>307</v>
      </c>
      <c r="D35" s="238">
        <v>0</v>
      </c>
    </row>
    <row r="36" spans="2:4">
      <c r="B36" s="251" t="s">
        <v>341</v>
      </c>
      <c r="C36" s="252" t="s">
        <v>342</v>
      </c>
      <c r="D36" s="253">
        <v>25</v>
      </c>
    </row>
    <row r="37" spans="2:4">
      <c r="B37" s="245" t="s">
        <v>343</v>
      </c>
      <c r="C37" s="247" t="s">
        <v>342</v>
      </c>
      <c r="D37" s="254">
        <v>25</v>
      </c>
    </row>
    <row r="38" spans="2:4">
      <c r="B38" s="251" t="s">
        <v>344</v>
      </c>
      <c r="C38" s="252" t="s">
        <v>307</v>
      </c>
      <c r="D38" s="227">
        <v>0.14699999999999999</v>
      </c>
    </row>
    <row r="39" spans="2:4">
      <c r="B39" s="251" t="s">
        <v>493</v>
      </c>
      <c r="C39" s="252" t="s">
        <v>307</v>
      </c>
      <c r="D39" s="227">
        <f>0.0075</f>
        <v>7.4999999999999997E-3</v>
      </c>
    </row>
    <row r="40" spans="2:4">
      <c r="B40" s="251" t="s">
        <v>346</v>
      </c>
      <c r="C40" s="252" t="s">
        <v>307</v>
      </c>
      <c r="D40" s="227">
        <v>0.12</v>
      </c>
    </row>
    <row r="41" spans="2:4">
      <c r="B41" s="245" t="s">
        <v>104</v>
      </c>
      <c r="C41" s="247" t="s">
        <v>307</v>
      </c>
      <c r="D41" s="377">
        <v>0.2</v>
      </c>
    </row>
    <row r="43" spans="2:4" ht="13.5" thickBot="1">
      <c r="B43" s="890" t="s">
        <v>350</v>
      </c>
      <c r="C43" s="890"/>
      <c r="D43" s="890"/>
    </row>
    <row r="44" spans="2:4" ht="12.95" thickTop="1">
      <c r="B44" s="217" t="s">
        <v>351</v>
      </c>
      <c r="C44" s="255">
        <f>D99</f>
        <v>347755.94283846155</v>
      </c>
      <c r="D44" s="225" t="s">
        <v>331</v>
      </c>
    </row>
    <row r="45" spans="2:4">
      <c r="B45" s="217" t="s">
        <v>352</v>
      </c>
      <c r="C45" s="255">
        <f>SUM(D82:AB82)</f>
        <v>20461936.427403856</v>
      </c>
      <c r="D45" s="225" t="s">
        <v>331</v>
      </c>
    </row>
    <row r="46" spans="2:4" ht="13.5" thickBot="1">
      <c r="B46" s="256" t="s">
        <v>97</v>
      </c>
      <c r="C46" s="257">
        <f>C45+C44</f>
        <v>20809692.370242316</v>
      </c>
      <c r="D46" s="258" t="s">
        <v>331</v>
      </c>
    </row>
    <row r="47" spans="2:4">
      <c r="B47" s="217" t="s">
        <v>353</v>
      </c>
      <c r="C47" s="255">
        <f>D123</f>
        <v>23937242.32650806</v>
      </c>
      <c r="D47" s="225" t="s">
        <v>331</v>
      </c>
    </row>
    <row r="48" spans="2:4">
      <c r="B48" s="217" t="s">
        <v>354</v>
      </c>
      <c r="C48" s="255">
        <f>D129</f>
        <v>-5498875.1777631948</v>
      </c>
      <c r="D48" s="225" t="s">
        <v>331</v>
      </c>
    </row>
    <row r="49" spans="2:4" ht="13.5" thickBot="1">
      <c r="B49" s="256" t="s">
        <v>355</v>
      </c>
      <c r="C49" s="257">
        <f>C46-C47-C48</f>
        <v>2371325.221497451</v>
      </c>
      <c r="D49" s="258" t="s">
        <v>331</v>
      </c>
    </row>
    <row r="51" spans="2:4" ht="13.5" thickBot="1">
      <c r="B51" s="890" t="s">
        <v>356</v>
      </c>
      <c r="C51" s="890"/>
      <c r="D51" s="890"/>
    </row>
    <row r="52" spans="2:4" ht="12.95" thickTop="1">
      <c r="B52" s="217" t="s">
        <v>351</v>
      </c>
      <c r="C52" s="504">
        <f>C44/D79</f>
        <v>5.2297761663850414E-4</v>
      </c>
      <c r="D52" s="225" t="s">
        <v>331</v>
      </c>
    </row>
    <row r="53" spans="2:4">
      <c r="B53" s="217" t="s">
        <v>352</v>
      </c>
      <c r="C53" s="255">
        <f>C45/D79</f>
        <v>3.0771967999359578E-2</v>
      </c>
      <c r="D53" s="225" t="s">
        <v>331</v>
      </c>
    </row>
    <row r="54" spans="2:4" ht="13.5" thickBot="1">
      <c r="B54" s="256" t="s">
        <v>97</v>
      </c>
      <c r="C54" s="257">
        <f>C53+C52</f>
        <v>3.1294945615998083E-2</v>
      </c>
      <c r="D54" s="258" t="s">
        <v>331</v>
      </c>
    </row>
    <row r="55" spans="2:4">
      <c r="B55" s="217" t="s">
        <v>353</v>
      </c>
      <c r="C55" s="255">
        <f>C47/D79</f>
        <v>3.5998355164359119E-2</v>
      </c>
      <c r="D55" s="225" t="s">
        <v>331</v>
      </c>
    </row>
    <row r="56" spans="2:4">
      <c r="B56" s="217" t="s">
        <v>354</v>
      </c>
      <c r="C56" s="255">
        <f>C48/D79</f>
        <v>-8.2695599999999952E-3</v>
      </c>
      <c r="D56" s="225" t="s">
        <v>331</v>
      </c>
    </row>
    <row r="57" spans="2:4" ht="13.5" thickBot="1">
      <c r="B57" s="256" t="s">
        <v>355</v>
      </c>
      <c r="C57" s="257">
        <f>C54-C55-C56</f>
        <v>3.5661504516389594E-3</v>
      </c>
      <c r="D57" s="258" t="s">
        <v>331</v>
      </c>
    </row>
    <row r="59" spans="2:4" ht="12.95">
      <c r="B59" s="887" t="s">
        <v>357</v>
      </c>
      <c r="C59" s="888"/>
      <c r="D59" s="889"/>
    </row>
    <row r="60" spans="2:4" ht="12.95">
      <c r="B60" s="242" t="s">
        <v>358</v>
      </c>
      <c r="C60" s="259" t="s">
        <v>359</v>
      </c>
      <c r="D60" s="231">
        <f>SUM(D109:AM109)/SUM(D108:AM108)</f>
        <v>4.4001644835640903E-2</v>
      </c>
    </row>
    <row r="61" spans="2:4" ht="12.95">
      <c r="B61" s="242" t="s">
        <v>360</v>
      </c>
      <c r="C61" s="259" t="s">
        <v>359</v>
      </c>
      <c r="D61" s="231">
        <f>SUM(D110:AD110)/SUM(D108:AD108)</f>
        <v>5.2271204835640912E-2</v>
      </c>
    </row>
    <row r="62" spans="2:4" ht="12.95">
      <c r="B62" s="242" t="s">
        <v>358</v>
      </c>
      <c r="C62" s="259" t="s">
        <v>361</v>
      </c>
      <c r="D62" s="260">
        <f>D60/$C$31</f>
        <v>12.222679121011362</v>
      </c>
    </row>
    <row r="63" spans="2:4" ht="12.95">
      <c r="B63" s="242" t="s">
        <v>362</v>
      </c>
      <c r="C63" s="259" t="s">
        <v>361</v>
      </c>
      <c r="D63" s="260">
        <f>D61/C31</f>
        <v>14.519779121011364</v>
      </c>
    </row>
    <row r="65" spans="1:39" ht="13.5" thickBot="1">
      <c r="B65" s="261" t="s">
        <v>363</v>
      </c>
      <c r="C65" s="262" t="s">
        <v>364</v>
      </c>
      <c r="D65" s="261"/>
    </row>
    <row r="66" spans="1:39" ht="12.95" thickTop="1">
      <c r="B66" s="263" t="s">
        <v>365</v>
      </c>
      <c r="C66" s="225" t="s">
        <v>331</v>
      </c>
      <c r="D66" s="264">
        <f>(D17-D60)*SUM(D78:AB78)</f>
        <v>23937242.326508045</v>
      </c>
    </row>
    <row r="67" spans="1:39">
      <c r="B67" s="263" t="s">
        <v>366</v>
      </c>
      <c r="C67" s="225" t="s">
        <v>331</v>
      </c>
      <c r="D67" s="264">
        <f>(D18-D60)*SUM(D78:AB78)</f>
        <v>123680309.26894268</v>
      </c>
    </row>
    <row r="68" spans="1:39">
      <c r="B68" s="263" t="s">
        <v>367</v>
      </c>
      <c r="C68" s="225" t="s">
        <v>368</v>
      </c>
      <c r="D68" s="265">
        <f>D22*SUM(D78:AB78)</f>
        <v>350430641.85775369</v>
      </c>
    </row>
    <row r="69" spans="1:39">
      <c r="B69" s="263" t="s">
        <v>369</v>
      </c>
      <c r="C69" s="225" t="s">
        <v>368</v>
      </c>
      <c r="D69" s="265">
        <f>-D118</f>
        <v>177383.07025042575</v>
      </c>
    </row>
    <row r="71" spans="1:39">
      <c r="B71" s="217" t="s">
        <v>370</v>
      </c>
      <c r="C71" s="225" t="s">
        <v>371</v>
      </c>
      <c r="D71" s="265">
        <f>SUM(D78:AB78)</f>
        <v>664953779.61623085</v>
      </c>
    </row>
    <row r="72" spans="1:39">
      <c r="B72" s="217" t="s">
        <v>372</v>
      </c>
      <c r="C72" s="266" t="s">
        <v>373</v>
      </c>
      <c r="D72" s="267">
        <f>D118</f>
        <v>-177383.07025042575</v>
      </c>
    </row>
    <row r="75" spans="1:39" ht="12.95">
      <c r="B75" s="268" t="s">
        <v>67</v>
      </c>
      <c r="C75" s="269"/>
      <c r="D75" s="270" t="s">
        <v>374</v>
      </c>
      <c r="E75" s="270" t="s">
        <v>375</v>
      </c>
      <c r="F75" s="270" t="s">
        <v>376</v>
      </c>
      <c r="G75" s="270" t="s">
        <v>377</v>
      </c>
      <c r="H75" s="270" t="s">
        <v>378</v>
      </c>
      <c r="I75" s="270" t="s">
        <v>379</v>
      </c>
      <c r="J75" s="270" t="s">
        <v>380</v>
      </c>
      <c r="K75" s="270" t="s">
        <v>381</v>
      </c>
      <c r="L75" s="270" t="s">
        <v>382</v>
      </c>
      <c r="M75" s="270" t="s">
        <v>383</v>
      </c>
      <c r="N75" s="270" t="s">
        <v>384</v>
      </c>
      <c r="O75" s="270" t="s">
        <v>385</v>
      </c>
      <c r="P75" s="270" t="s">
        <v>386</v>
      </c>
      <c r="Q75" s="270" t="s">
        <v>387</v>
      </c>
      <c r="R75" s="270" t="s">
        <v>388</v>
      </c>
      <c r="S75" s="270" t="s">
        <v>389</v>
      </c>
      <c r="T75" s="270" t="s">
        <v>390</v>
      </c>
      <c r="U75" s="270" t="s">
        <v>391</v>
      </c>
      <c r="V75" s="270" t="s">
        <v>392</v>
      </c>
      <c r="W75" s="270" t="s">
        <v>393</v>
      </c>
      <c r="X75" s="270" t="s">
        <v>394</v>
      </c>
      <c r="Y75" s="270" t="s">
        <v>395</v>
      </c>
      <c r="Z75" s="270" t="s">
        <v>396</v>
      </c>
      <c r="AA75" s="270" t="s">
        <v>397</v>
      </c>
      <c r="AB75" s="270" t="s">
        <v>398</v>
      </c>
      <c r="AC75" s="270" t="s">
        <v>399</v>
      </c>
      <c r="AD75" s="270" t="s">
        <v>400</v>
      </c>
      <c r="AE75" s="270" t="s">
        <v>401</v>
      </c>
      <c r="AF75" s="270" t="s">
        <v>402</v>
      </c>
      <c r="AG75" s="270" t="s">
        <v>403</v>
      </c>
      <c r="AH75" s="270" t="s">
        <v>404</v>
      </c>
      <c r="AI75" s="270" t="s">
        <v>405</v>
      </c>
      <c r="AJ75" s="270" t="s">
        <v>406</v>
      </c>
      <c r="AK75" s="270" t="s">
        <v>407</v>
      </c>
      <c r="AL75" s="270" t="s">
        <v>408</v>
      </c>
      <c r="AM75" s="270" t="s">
        <v>409</v>
      </c>
    </row>
    <row r="76" spans="1:39">
      <c r="B76" s="271" t="s">
        <v>410</v>
      </c>
      <c r="C76" s="272"/>
      <c r="D76" s="273">
        <v>0</v>
      </c>
      <c r="E76" s="273">
        <v>1</v>
      </c>
      <c r="F76" s="273">
        <v>2</v>
      </c>
      <c r="G76" s="273">
        <v>3</v>
      </c>
      <c r="H76" s="273">
        <v>4</v>
      </c>
      <c r="I76" s="273">
        <v>5</v>
      </c>
      <c r="J76" s="273">
        <v>6</v>
      </c>
      <c r="K76" s="273">
        <v>7</v>
      </c>
      <c r="L76" s="273">
        <v>8</v>
      </c>
      <c r="M76" s="273">
        <v>9</v>
      </c>
      <c r="N76" s="273">
        <v>10</v>
      </c>
      <c r="O76" s="273">
        <v>11</v>
      </c>
      <c r="P76" s="273">
        <v>12</v>
      </c>
      <c r="Q76" s="273">
        <v>13</v>
      </c>
      <c r="R76" s="273">
        <v>14</v>
      </c>
      <c r="S76" s="273">
        <v>15</v>
      </c>
      <c r="T76" s="273">
        <v>16</v>
      </c>
      <c r="U76" s="273">
        <v>17</v>
      </c>
      <c r="V76" s="273">
        <v>18</v>
      </c>
      <c r="W76" s="273">
        <v>19</v>
      </c>
      <c r="X76" s="273">
        <v>20</v>
      </c>
      <c r="Y76" s="273">
        <v>21</v>
      </c>
      <c r="Z76" s="273">
        <v>22</v>
      </c>
      <c r="AA76" s="273">
        <v>23</v>
      </c>
      <c r="AB76" s="273">
        <v>24</v>
      </c>
      <c r="AC76" s="273">
        <v>25</v>
      </c>
      <c r="AD76" s="273">
        <v>26</v>
      </c>
      <c r="AE76" s="273">
        <v>27</v>
      </c>
      <c r="AF76" s="273">
        <v>28</v>
      </c>
      <c r="AG76" s="273">
        <v>29</v>
      </c>
      <c r="AH76" s="273">
        <v>30</v>
      </c>
      <c r="AI76" s="273">
        <v>31</v>
      </c>
      <c r="AJ76" s="273">
        <v>32</v>
      </c>
      <c r="AK76" s="273">
        <v>33</v>
      </c>
      <c r="AL76" s="273">
        <v>34</v>
      </c>
      <c r="AM76" s="274">
        <v>35</v>
      </c>
    </row>
    <row r="77" spans="1:39" ht="18" customHeight="1">
      <c r="B77" s="232"/>
      <c r="C77" s="275"/>
      <c r="D77" s="275"/>
    </row>
    <row r="78" spans="1:39">
      <c r="B78" s="276" t="s">
        <v>411</v>
      </c>
      <c r="C78" s="259" t="s">
        <v>412</v>
      </c>
      <c r="D78" s="277">
        <f>+D19+D20</f>
        <v>26598151.184649237</v>
      </c>
      <c r="E78" s="246">
        <f t="shared" ref="E78:AB78" si="0">$D$78</f>
        <v>26598151.184649237</v>
      </c>
      <c r="F78" s="246">
        <f t="shared" si="0"/>
        <v>26598151.184649237</v>
      </c>
      <c r="G78" s="246">
        <f t="shared" si="0"/>
        <v>26598151.184649237</v>
      </c>
      <c r="H78" s="246">
        <f t="shared" si="0"/>
        <v>26598151.184649237</v>
      </c>
      <c r="I78" s="246">
        <f t="shared" si="0"/>
        <v>26598151.184649237</v>
      </c>
      <c r="J78" s="246">
        <f t="shared" si="0"/>
        <v>26598151.184649237</v>
      </c>
      <c r="K78" s="246">
        <f t="shared" si="0"/>
        <v>26598151.184649237</v>
      </c>
      <c r="L78" s="246">
        <f t="shared" si="0"/>
        <v>26598151.184649237</v>
      </c>
      <c r="M78" s="246">
        <f t="shared" si="0"/>
        <v>26598151.184649237</v>
      </c>
      <c r="N78" s="246">
        <f t="shared" si="0"/>
        <v>26598151.184649237</v>
      </c>
      <c r="O78" s="246">
        <f t="shared" si="0"/>
        <v>26598151.184649237</v>
      </c>
      <c r="P78" s="246">
        <f t="shared" si="0"/>
        <v>26598151.184649237</v>
      </c>
      <c r="Q78" s="246">
        <f t="shared" si="0"/>
        <v>26598151.184649237</v>
      </c>
      <c r="R78" s="246">
        <f t="shared" si="0"/>
        <v>26598151.184649237</v>
      </c>
      <c r="S78" s="246">
        <f t="shared" si="0"/>
        <v>26598151.184649237</v>
      </c>
      <c r="T78" s="246">
        <f t="shared" si="0"/>
        <v>26598151.184649237</v>
      </c>
      <c r="U78" s="246">
        <f t="shared" si="0"/>
        <v>26598151.184649237</v>
      </c>
      <c r="V78" s="246">
        <f t="shared" si="0"/>
        <v>26598151.184649237</v>
      </c>
      <c r="W78" s="246">
        <f t="shared" si="0"/>
        <v>26598151.184649237</v>
      </c>
      <c r="X78" s="246">
        <f t="shared" si="0"/>
        <v>26598151.184649237</v>
      </c>
      <c r="Y78" s="246">
        <f t="shared" si="0"/>
        <v>26598151.184649237</v>
      </c>
      <c r="Z78" s="246">
        <f t="shared" si="0"/>
        <v>26598151.184649237</v>
      </c>
      <c r="AA78" s="246">
        <f t="shared" si="0"/>
        <v>26598151.184649237</v>
      </c>
      <c r="AB78" s="246">
        <f t="shared" si="0"/>
        <v>26598151.184649237</v>
      </c>
      <c r="AC78" s="246"/>
      <c r="AD78" s="246"/>
      <c r="AE78" s="246">
        <f>IF(AE76&lt;=$D$37,AD78*(1-'TogoSolarPV Financial Analys'!$D$24),0)</f>
        <v>0</v>
      </c>
      <c r="AF78" s="246">
        <f>IF(AF76&lt;=$D$37,AE78*(1-'TogoSolarPV Financial Analys'!$D$24),0)</f>
        <v>0</v>
      </c>
      <c r="AG78" s="246">
        <f>IF(AG76&lt;=$D$37,AF78*(1-'TogoSolarPV Financial Analys'!$D$24),0)</f>
        <v>0</v>
      </c>
      <c r="AH78" s="246">
        <f>IF(AH76&lt;=$D$37,AG78*(1-'TogoSolarPV Financial Analys'!$D$24),0)</f>
        <v>0</v>
      </c>
      <c r="AI78" s="246">
        <f>IF(AI76&lt;=$D$37,AH78*(1-'TogoSolarPV Financial Analys'!$D$24),0)</f>
        <v>0</v>
      </c>
      <c r="AJ78" s="246">
        <f>IF(AJ76&lt;=$D$37,AI78*(1-'TogoSolarPV Financial Analys'!$D$24),0)</f>
        <v>0</v>
      </c>
      <c r="AK78" s="246">
        <f>IF(AK76&lt;=$D$37,AJ78*(1-'TogoSolarPV Financial Analys'!$D$24),0)</f>
        <v>0</v>
      </c>
      <c r="AL78" s="246">
        <f>IF(AL76&lt;=$D$37,AK78*(1-'TogoSolarPV Financial Analys'!$D$24),0)</f>
        <v>0</v>
      </c>
      <c r="AM78" s="278">
        <f>IF(AM76&lt;=$D$37,AL78*(1-'TogoSolarPV Financial Analys'!$D$24),0)</f>
        <v>0</v>
      </c>
    </row>
    <row r="79" spans="1:39" s="281" customFormat="1">
      <c r="A79" s="215"/>
      <c r="B79" s="279" t="s">
        <v>413</v>
      </c>
      <c r="C79" s="259" t="s">
        <v>371</v>
      </c>
      <c r="D79" s="278">
        <f>SUM(D78:AB78)</f>
        <v>664953779.61623085</v>
      </c>
      <c r="E79" s="280"/>
      <c r="F79" s="280"/>
      <c r="G79" s="280"/>
      <c r="H79" s="280"/>
      <c r="I79" s="280"/>
      <c r="J79" s="280"/>
      <c r="K79" s="280"/>
      <c r="L79" s="280"/>
      <c r="M79" s="280"/>
      <c r="N79" s="280"/>
      <c r="O79" s="280"/>
      <c r="P79" s="280"/>
      <c r="Q79" s="280"/>
      <c r="R79" s="280"/>
      <c r="S79" s="280"/>
      <c r="T79" s="280"/>
      <c r="U79" s="280"/>
      <c r="V79" s="280"/>
      <c r="W79" s="280"/>
      <c r="X79" s="280"/>
      <c r="Y79" s="280"/>
      <c r="Z79" s="280"/>
      <c r="AA79" s="280"/>
      <c r="AB79" s="280"/>
      <c r="AC79" s="280"/>
      <c r="AD79" s="280"/>
      <c r="AE79" s="280"/>
      <c r="AF79" s="280"/>
      <c r="AG79" s="280"/>
      <c r="AH79" s="280"/>
      <c r="AI79" s="280"/>
      <c r="AJ79" s="280"/>
      <c r="AK79" s="280"/>
      <c r="AL79" s="280"/>
      <c r="AM79" s="280"/>
    </row>
    <row r="80" spans="1:39">
      <c r="B80" s="232"/>
      <c r="C80" s="275"/>
      <c r="D80" s="282"/>
      <c r="E80" s="282"/>
      <c r="F80" s="282"/>
      <c r="G80" s="282"/>
      <c r="H80" s="282"/>
      <c r="I80" s="282"/>
      <c r="J80" s="282"/>
      <c r="K80" s="282"/>
      <c r="L80" s="282"/>
      <c r="M80" s="282"/>
      <c r="N80" s="282"/>
      <c r="O80" s="282"/>
      <c r="P80" s="282"/>
      <c r="Q80" s="282"/>
      <c r="R80" s="282"/>
      <c r="S80" s="282"/>
      <c r="T80" s="282"/>
      <c r="U80" s="282"/>
      <c r="V80" s="282"/>
      <c r="W80" s="282"/>
      <c r="X80" s="282"/>
      <c r="Y80" s="282"/>
      <c r="Z80" s="282"/>
      <c r="AA80" s="282"/>
      <c r="AB80" s="282"/>
      <c r="AC80" s="282"/>
      <c r="AD80" s="282"/>
      <c r="AE80" s="282"/>
      <c r="AF80" s="282"/>
      <c r="AG80" s="282"/>
      <c r="AH80" s="282"/>
      <c r="AI80" s="282"/>
      <c r="AJ80" s="282"/>
      <c r="AK80" s="282"/>
      <c r="AL80" s="282"/>
      <c r="AM80" s="282"/>
    </row>
    <row r="81" spans="2:39" ht="12.95">
      <c r="B81" s="283" t="s">
        <v>414</v>
      </c>
      <c r="C81" s="284" t="s">
        <v>364</v>
      </c>
      <c r="D81" s="275"/>
      <c r="E81" s="285"/>
      <c r="F81" s="285"/>
      <c r="G81" s="285"/>
      <c r="H81" s="285"/>
      <c r="I81" s="285"/>
      <c r="J81" s="285"/>
      <c r="K81" s="285"/>
      <c r="L81" s="285"/>
      <c r="M81" s="285"/>
      <c r="N81" s="285"/>
      <c r="O81" s="285"/>
      <c r="P81" s="285"/>
      <c r="Q81" s="285"/>
      <c r="R81" s="285"/>
      <c r="S81" s="285"/>
      <c r="T81" s="285"/>
      <c r="U81" s="285"/>
      <c r="V81" s="285"/>
      <c r="W81" s="285"/>
      <c r="X81" s="285"/>
      <c r="Y81" s="285"/>
      <c r="Z81" s="285"/>
      <c r="AA81" s="285"/>
      <c r="AB81" s="285"/>
      <c r="AC81" s="285"/>
      <c r="AD81" s="285"/>
      <c r="AE81" s="285"/>
      <c r="AF81" s="285"/>
      <c r="AG81" s="285"/>
      <c r="AH81" s="285"/>
      <c r="AI81" s="285"/>
      <c r="AJ81" s="285"/>
      <c r="AK81" s="285"/>
      <c r="AL81" s="285"/>
      <c r="AM81" s="285"/>
    </row>
    <row r="82" spans="2:39">
      <c r="B82" s="286" t="s">
        <v>494</v>
      </c>
      <c r="C82" s="287" t="s">
        <v>417</v>
      </c>
      <c r="D82" s="288">
        <f>D9</f>
        <v>818477.45709615399</v>
      </c>
      <c r="E82" s="289">
        <f t="shared" ref="E82:AB82" si="1">$D$82</f>
        <v>818477.45709615399</v>
      </c>
      <c r="F82" s="289">
        <f t="shared" si="1"/>
        <v>818477.45709615399</v>
      </c>
      <c r="G82" s="289">
        <f t="shared" si="1"/>
        <v>818477.45709615399</v>
      </c>
      <c r="H82" s="289">
        <f t="shared" si="1"/>
        <v>818477.45709615399</v>
      </c>
      <c r="I82" s="289">
        <f t="shared" si="1"/>
        <v>818477.45709615399</v>
      </c>
      <c r="J82" s="289">
        <f t="shared" si="1"/>
        <v>818477.45709615399</v>
      </c>
      <c r="K82" s="289">
        <f t="shared" si="1"/>
        <v>818477.45709615399</v>
      </c>
      <c r="L82" s="289">
        <f t="shared" si="1"/>
        <v>818477.45709615399</v>
      </c>
      <c r="M82" s="289">
        <f t="shared" si="1"/>
        <v>818477.45709615399</v>
      </c>
      <c r="N82" s="289">
        <f t="shared" si="1"/>
        <v>818477.45709615399</v>
      </c>
      <c r="O82" s="289">
        <f t="shared" si="1"/>
        <v>818477.45709615399</v>
      </c>
      <c r="P82" s="289">
        <f t="shared" si="1"/>
        <v>818477.45709615399</v>
      </c>
      <c r="Q82" s="289">
        <f t="shared" si="1"/>
        <v>818477.45709615399</v>
      </c>
      <c r="R82" s="289">
        <f t="shared" si="1"/>
        <v>818477.45709615399</v>
      </c>
      <c r="S82" s="289">
        <f t="shared" si="1"/>
        <v>818477.45709615399</v>
      </c>
      <c r="T82" s="289">
        <f t="shared" si="1"/>
        <v>818477.45709615399</v>
      </c>
      <c r="U82" s="289">
        <f t="shared" si="1"/>
        <v>818477.45709615399</v>
      </c>
      <c r="V82" s="289">
        <f t="shared" si="1"/>
        <v>818477.45709615399</v>
      </c>
      <c r="W82" s="289">
        <f t="shared" si="1"/>
        <v>818477.45709615399</v>
      </c>
      <c r="X82" s="289">
        <f t="shared" si="1"/>
        <v>818477.45709615399</v>
      </c>
      <c r="Y82" s="289">
        <f t="shared" si="1"/>
        <v>818477.45709615399</v>
      </c>
      <c r="Z82" s="289">
        <f t="shared" si="1"/>
        <v>818477.45709615399</v>
      </c>
      <c r="AA82" s="289">
        <f t="shared" si="1"/>
        <v>818477.45709615399</v>
      </c>
      <c r="AB82" s="289">
        <f t="shared" si="1"/>
        <v>818477.45709615399</v>
      </c>
      <c r="AC82" s="289">
        <v>1990816.9347549786</v>
      </c>
      <c r="AD82" s="289">
        <v>1990816.9347549786</v>
      </c>
      <c r="AE82" s="289">
        <f>IF(AE76&lt;=$D$37,$D$9*$D$4*(1+#REF!)^(AE76-1),0)</f>
        <v>0</v>
      </c>
      <c r="AF82" s="289">
        <f>IF(AF76&lt;=$D$37,$D$9*$D$4*(1+#REF!)^(AF76-1),0)</f>
        <v>0</v>
      </c>
      <c r="AG82" s="289">
        <f>IF(AG76&lt;=$D$37,$D$9*$D$4*(1+#REF!)^(AG76-1),0)</f>
        <v>0</v>
      </c>
      <c r="AH82" s="289">
        <f>IF(AH76&lt;=$D$37,$D$9*$D$4*(1+#REF!)^(AH76-1),0)</f>
        <v>0</v>
      </c>
      <c r="AI82" s="289">
        <f>IF(AI76&lt;=$D$37,$D$9*$D$4*(1+#REF!)^(AI76-1),0)</f>
        <v>0</v>
      </c>
      <c r="AJ82" s="289">
        <f>IF(AJ76&lt;=$D$37,$D$9*$D$4*(1+#REF!)^(AJ76-1),0)</f>
        <v>0</v>
      </c>
      <c r="AK82" s="289">
        <f>IF(AK76&lt;=$D$37,$D$9*$D$4*(1+#REF!)^(AK76-1),0)</f>
        <v>0</v>
      </c>
      <c r="AL82" s="289">
        <f>IF(AL76&lt;=$D$37,$D$9*$D$4*(1+#REF!)^(AL76-1),0)</f>
        <v>0</v>
      </c>
      <c r="AM82" s="290">
        <f>IF(AM76&lt;=$D$37,$D$9*$D$4*(1+#REF!)^(AM76-1),0)</f>
        <v>0</v>
      </c>
    </row>
    <row r="83" spans="2:39">
      <c r="B83" s="294" t="s">
        <v>419</v>
      </c>
      <c r="C83" s="295" t="s">
        <v>417</v>
      </c>
      <c r="D83" s="296">
        <f>0</f>
        <v>0</v>
      </c>
      <c r="E83" s="297">
        <f>0</f>
        <v>0</v>
      </c>
      <c r="F83" s="297">
        <f>0</f>
        <v>0</v>
      </c>
      <c r="G83" s="297">
        <f>0</f>
        <v>0</v>
      </c>
      <c r="H83" s="297">
        <f>0</f>
        <v>0</v>
      </c>
      <c r="I83" s="297">
        <f>0</f>
        <v>0</v>
      </c>
      <c r="J83" s="297">
        <f>0</f>
        <v>0</v>
      </c>
      <c r="K83" s="297">
        <f>0</f>
        <v>0</v>
      </c>
      <c r="L83" s="297">
        <f>0</f>
        <v>0</v>
      </c>
      <c r="M83" s="297">
        <f>0</f>
        <v>0</v>
      </c>
      <c r="N83" s="297">
        <f>0</f>
        <v>0</v>
      </c>
      <c r="O83" s="297">
        <f>0</f>
        <v>0</v>
      </c>
      <c r="P83" s="297">
        <f>0</f>
        <v>0</v>
      </c>
      <c r="Q83" s="297">
        <f>0</f>
        <v>0</v>
      </c>
      <c r="R83" s="297">
        <f>0</f>
        <v>0</v>
      </c>
      <c r="S83" s="297">
        <f>0</f>
        <v>0</v>
      </c>
      <c r="T83" s="297">
        <f>0</f>
        <v>0</v>
      </c>
      <c r="U83" s="297">
        <f>0</f>
        <v>0</v>
      </c>
      <c r="V83" s="297">
        <f>0</f>
        <v>0</v>
      </c>
      <c r="W83" s="297">
        <f>0</f>
        <v>0</v>
      </c>
      <c r="X83" s="297">
        <f>0</f>
        <v>0</v>
      </c>
      <c r="Y83" s="297">
        <f>0</f>
        <v>0</v>
      </c>
      <c r="Z83" s="297">
        <f>0</f>
        <v>0</v>
      </c>
      <c r="AA83" s="297">
        <f>0</f>
        <v>0</v>
      </c>
      <c r="AB83" s="297">
        <f>0</f>
        <v>0</v>
      </c>
      <c r="AC83" s="297">
        <f>0</f>
        <v>0</v>
      </c>
      <c r="AD83" s="297">
        <f>0</f>
        <v>0</v>
      </c>
      <c r="AE83" s="297">
        <f>0</f>
        <v>0</v>
      </c>
      <c r="AF83" s="297">
        <f>0</f>
        <v>0</v>
      </c>
      <c r="AG83" s="297">
        <f>0</f>
        <v>0</v>
      </c>
      <c r="AH83" s="297">
        <f>0</f>
        <v>0</v>
      </c>
      <c r="AI83" s="297">
        <f>0</f>
        <v>0</v>
      </c>
      <c r="AJ83" s="297">
        <f>0</f>
        <v>0</v>
      </c>
      <c r="AK83" s="297">
        <f>0</f>
        <v>0</v>
      </c>
      <c r="AL83" s="297">
        <f>0</f>
        <v>0</v>
      </c>
      <c r="AM83" s="298">
        <f>0</f>
        <v>0</v>
      </c>
    </row>
    <row r="84" spans="2:39" ht="12.95">
      <c r="B84" s="299" t="s">
        <v>420</v>
      </c>
      <c r="C84" s="300" t="s">
        <v>417</v>
      </c>
      <c r="D84" s="301">
        <f t="shared" ref="D84:AM84" si="2">IF(D76&lt;=$D$37,SUM(D82:D82),0)</f>
        <v>818477.45709615399</v>
      </c>
      <c r="E84" s="302">
        <f t="shared" si="2"/>
        <v>818477.45709615399</v>
      </c>
      <c r="F84" s="302">
        <f t="shared" si="2"/>
        <v>818477.45709615399</v>
      </c>
      <c r="G84" s="302">
        <f t="shared" si="2"/>
        <v>818477.45709615399</v>
      </c>
      <c r="H84" s="302">
        <f t="shared" si="2"/>
        <v>818477.45709615399</v>
      </c>
      <c r="I84" s="302">
        <f t="shared" si="2"/>
        <v>818477.45709615399</v>
      </c>
      <c r="J84" s="302">
        <f t="shared" si="2"/>
        <v>818477.45709615399</v>
      </c>
      <c r="K84" s="302">
        <f t="shared" si="2"/>
        <v>818477.45709615399</v>
      </c>
      <c r="L84" s="302">
        <f t="shared" si="2"/>
        <v>818477.45709615399</v>
      </c>
      <c r="M84" s="302">
        <f t="shared" si="2"/>
        <v>818477.45709615399</v>
      </c>
      <c r="N84" s="302">
        <f t="shared" si="2"/>
        <v>818477.45709615399</v>
      </c>
      <c r="O84" s="302">
        <f t="shared" si="2"/>
        <v>818477.45709615399</v>
      </c>
      <c r="P84" s="302">
        <f t="shared" si="2"/>
        <v>818477.45709615399</v>
      </c>
      <c r="Q84" s="302">
        <f t="shared" si="2"/>
        <v>818477.45709615399</v>
      </c>
      <c r="R84" s="302">
        <f t="shared" si="2"/>
        <v>818477.45709615399</v>
      </c>
      <c r="S84" s="302">
        <f t="shared" si="2"/>
        <v>818477.45709615399</v>
      </c>
      <c r="T84" s="302">
        <f t="shared" si="2"/>
        <v>818477.45709615399</v>
      </c>
      <c r="U84" s="302">
        <f t="shared" si="2"/>
        <v>818477.45709615399</v>
      </c>
      <c r="V84" s="302">
        <f t="shared" si="2"/>
        <v>818477.45709615399</v>
      </c>
      <c r="W84" s="302">
        <f t="shared" si="2"/>
        <v>818477.45709615399</v>
      </c>
      <c r="X84" s="302">
        <f t="shared" si="2"/>
        <v>818477.45709615399</v>
      </c>
      <c r="Y84" s="302">
        <f t="shared" si="2"/>
        <v>818477.45709615399</v>
      </c>
      <c r="Z84" s="302">
        <f t="shared" si="2"/>
        <v>818477.45709615399</v>
      </c>
      <c r="AA84" s="302">
        <f t="shared" si="2"/>
        <v>818477.45709615399</v>
      </c>
      <c r="AB84" s="302">
        <f t="shared" si="2"/>
        <v>818477.45709615399</v>
      </c>
      <c r="AC84" s="302">
        <f t="shared" si="2"/>
        <v>1990816.9347549786</v>
      </c>
      <c r="AD84" s="302">
        <f t="shared" si="2"/>
        <v>0</v>
      </c>
      <c r="AE84" s="302">
        <f t="shared" si="2"/>
        <v>0</v>
      </c>
      <c r="AF84" s="302">
        <f t="shared" si="2"/>
        <v>0</v>
      </c>
      <c r="AG84" s="302">
        <f t="shared" si="2"/>
        <v>0</v>
      </c>
      <c r="AH84" s="302">
        <f t="shared" si="2"/>
        <v>0</v>
      </c>
      <c r="AI84" s="302">
        <f t="shared" si="2"/>
        <v>0</v>
      </c>
      <c r="AJ84" s="302">
        <f t="shared" si="2"/>
        <v>0</v>
      </c>
      <c r="AK84" s="302">
        <f t="shared" si="2"/>
        <v>0</v>
      </c>
      <c r="AL84" s="302">
        <f t="shared" si="2"/>
        <v>0</v>
      </c>
      <c r="AM84" s="303">
        <f t="shared" si="2"/>
        <v>0</v>
      </c>
    </row>
    <row r="85" spans="2:39" ht="12.95">
      <c r="B85" s="233"/>
      <c r="C85" s="304"/>
      <c r="D85" s="304"/>
      <c r="E85" s="305"/>
      <c r="F85" s="305"/>
      <c r="G85" s="305"/>
      <c r="H85" s="305"/>
      <c r="I85" s="305"/>
      <c r="J85" s="305"/>
      <c r="K85" s="305"/>
      <c r="L85" s="305"/>
      <c r="M85" s="305"/>
      <c r="N85" s="305"/>
      <c r="O85" s="305"/>
      <c r="P85" s="305"/>
      <c r="Q85" s="305"/>
      <c r="R85" s="305"/>
      <c r="S85" s="305"/>
      <c r="T85" s="305"/>
      <c r="U85" s="305"/>
      <c r="V85" s="305"/>
      <c r="W85" s="305"/>
      <c r="X85" s="305"/>
      <c r="Y85" s="305"/>
      <c r="Z85" s="305"/>
      <c r="AA85" s="305"/>
      <c r="AB85" s="305"/>
      <c r="AC85" s="305"/>
      <c r="AD85" s="305"/>
      <c r="AE85" s="305"/>
      <c r="AF85" s="305"/>
      <c r="AG85" s="305"/>
      <c r="AH85" s="305"/>
      <c r="AI85" s="305"/>
      <c r="AJ85" s="305"/>
      <c r="AK85" s="305"/>
      <c r="AL85" s="305"/>
      <c r="AM85" s="305"/>
    </row>
    <row r="86" spans="2:39" ht="12.95">
      <c r="B86" s="233"/>
      <c r="C86" s="304"/>
      <c r="D86" s="304"/>
      <c r="E86" s="305"/>
      <c r="F86" s="305"/>
      <c r="G86" s="305"/>
      <c r="H86" s="305"/>
      <c r="I86" s="305"/>
      <c r="J86" s="305"/>
      <c r="K86" s="305"/>
      <c r="L86" s="305"/>
      <c r="M86" s="305"/>
      <c r="N86" s="305"/>
      <c r="O86" s="305"/>
      <c r="P86" s="305"/>
      <c r="Q86" s="305"/>
      <c r="R86" s="305"/>
      <c r="S86" s="305"/>
      <c r="T86" s="305"/>
      <c r="U86" s="305"/>
      <c r="V86" s="305"/>
      <c r="W86" s="305"/>
      <c r="X86" s="305"/>
      <c r="Y86" s="305"/>
      <c r="Z86" s="305"/>
      <c r="AA86" s="305"/>
      <c r="AB86" s="305"/>
      <c r="AC86" s="305"/>
      <c r="AD86" s="305"/>
      <c r="AE86" s="305"/>
      <c r="AF86" s="305"/>
      <c r="AG86" s="305"/>
      <c r="AH86" s="305"/>
      <c r="AI86" s="305"/>
      <c r="AJ86" s="305"/>
      <c r="AK86" s="305"/>
      <c r="AL86" s="305"/>
      <c r="AM86" s="305"/>
    </row>
    <row r="87" spans="2:39" ht="12.95">
      <c r="B87" s="283" t="s">
        <v>421</v>
      </c>
      <c r="C87" s="284" t="s">
        <v>364</v>
      </c>
      <c r="D87" s="304"/>
      <c r="E87" s="305"/>
      <c r="F87" s="305"/>
      <c r="G87" s="305"/>
      <c r="H87" s="305"/>
      <c r="I87" s="305"/>
      <c r="J87" s="305"/>
      <c r="K87" s="305"/>
      <c r="L87" s="305"/>
      <c r="M87" s="305"/>
      <c r="N87" s="305"/>
      <c r="O87" s="305"/>
      <c r="P87" s="305"/>
      <c r="Q87" s="305"/>
      <c r="R87" s="305"/>
      <c r="S87" s="305"/>
      <c r="T87" s="305"/>
      <c r="U87" s="305"/>
      <c r="V87" s="305"/>
      <c r="W87" s="305"/>
      <c r="X87" s="305"/>
      <c r="Y87" s="305"/>
      <c r="Z87" s="305"/>
      <c r="AA87" s="305"/>
      <c r="AB87" s="305"/>
      <c r="AC87" s="305"/>
      <c r="AD87" s="305"/>
      <c r="AE87" s="305"/>
      <c r="AF87" s="305"/>
      <c r="AG87" s="305"/>
      <c r="AH87" s="305"/>
      <c r="AI87" s="305"/>
      <c r="AJ87" s="305"/>
      <c r="AK87" s="305"/>
      <c r="AL87" s="305"/>
      <c r="AM87" s="305"/>
    </row>
    <row r="88" spans="2:39" ht="12.95">
      <c r="B88" s="286" t="s">
        <v>494</v>
      </c>
      <c r="C88" s="287" t="s">
        <v>331</v>
      </c>
      <c r="D88" s="306">
        <f>SUM(D82:AB82)</f>
        <v>20461936.427403856</v>
      </c>
      <c r="E88" s="305"/>
      <c r="F88" s="305"/>
      <c r="G88" s="305"/>
      <c r="H88" s="305"/>
      <c r="I88" s="305"/>
      <c r="J88" s="305"/>
      <c r="K88" s="305"/>
      <c r="L88" s="305"/>
      <c r="M88" s="305"/>
      <c r="N88" s="305"/>
      <c r="O88" s="305"/>
      <c r="P88" s="305"/>
      <c r="Q88" s="305"/>
      <c r="R88" s="305"/>
      <c r="S88" s="305"/>
      <c r="T88" s="305"/>
      <c r="U88" s="305"/>
      <c r="V88" s="305"/>
      <c r="W88" s="305"/>
      <c r="X88" s="305"/>
      <c r="Y88" s="305"/>
      <c r="Z88" s="305"/>
      <c r="AA88" s="305"/>
      <c r="AB88" s="305"/>
      <c r="AC88" s="305"/>
      <c r="AD88" s="305"/>
      <c r="AE88" s="305"/>
      <c r="AF88" s="305"/>
      <c r="AG88" s="305"/>
      <c r="AH88" s="305"/>
      <c r="AI88" s="305"/>
      <c r="AJ88" s="305"/>
      <c r="AK88" s="305"/>
      <c r="AL88" s="305"/>
      <c r="AM88" s="305"/>
    </row>
    <row r="89" spans="2:39" ht="12.95">
      <c r="B89" s="294" t="s">
        <v>481</v>
      </c>
      <c r="C89" s="295" t="s">
        <v>331</v>
      </c>
      <c r="D89" s="307">
        <v>0</v>
      </c>
      <c r="E89" s="305"/>
      <c r="F89" s="305"/>
      <c r="G89" s="305"/>
      <c r="H89" s="305"/>
      <c r="I89" s="305"/>
      <c r="J89" s="305"/>
      <c r="K89" s="305"/>
      <c r="L89" s="305"/>
      <c r="M89" s="305"/>
      <c r="N89" s="305"/>
      <c r="O89" s="305"/>
      <c r="P89" s="305"/>
      <c r="Q89" s="305"/>
      <c r="R89" s="305"/>
      <c r="S89" s="305"/>
      <c r="T89" s="305"/>
      <c r="U89" s="305"/>
      <c r="V89" s="305"/>
      <c r="W89" s="305"/>
      <c r="X89" s="305"/>
      <c r="Y89" s="305"/>
      <c r="Z89" s="305"/>
      <c r="AA89" s="305"/>
      <c r="AB89" s="305"/>
      <c r="AC89" s="305"/>
      <c r="AD89" s="305"/>
      <c r="AE89" s="305"/>
      <c r="AF89" s="305"/>
      <c r="AG89" s="305"/>
      <c r="AH89" s="305"/>
      <c r="AI89" s="305"/>
      <c r="AJ89" s="305"/>
      <c r="AK89" s="305"/>
      <c r="AL89" s="305"/>
      <c r="AM89" s="305"/>
    </row>
    <row r="90" spans="2:39" ht="12.95">
      <c r="B90" s="308" t="s">
        <v>423</v>
      </c>
      <c r="C90" s="300" t="s">
        <v>331</v>
      </c>
      <c r="D90" s="309">
        <f>SUM(D88:D89)</f>
        <v>20461936.427403856</v>
      </c>
      <c r="E90" s="305"/>
      <c r="F90" s="305"/>
      <c r="G90" s="305"/>
      <c r="H90" s="305"/>
      <c r="I90" s="305"/>
      <c r="J90" s="305"/>
      <c r="K90" s="305"/>
      <c r="L90" s="305"/>
      <c r="M90" s="305"/>
      <c r="N90" s="305"/>
      <c r="O90" s="305"/>
      <c r="P90" s="305"/>
      <c r="Q90" s="305"/>
      <c r="R90" s="305"/>
      <c r="S90" s="305"/>
      <c r="T90" s="305"/>
      <c r="U90" s="305"/>
      <c r="V90" s="305"/>
      <c r="W90" s="305"/>
      <c r="X90" s="305"/>
      <c r="Y90" s="305"/>
      <c r="Z90" s="305"/>
      <c r="AA90" s="305"/>
      <c r="AB90" s="305"/>
      <c r="AC90" s="305"/>
      <c r="AD90" s="305"/>
      <c r="AE90" s="305"/>
      <c r="AF90" s="305"/>
      <c r="AG90" s="305"/>
      <c r="AH90" s="305"/>
      <c r="AI90" s="305"/>
      <c r="AJ90" s="305"/>
      <c r="AK90" s="305"/>
      <c r="AL90" s="305"/>
      <c r="AM90" s="305"/>
    </row>
    <row r="91" spans="2:39">
      <c r="B91" s="232"/>
      <c r="C91" s="275"/>
      <c r="D91" s="275"/>
      <c r="E91" s="285"/>
      <c r="F91" s="285"/>
      <c r="G91" s="285"/>
      <c r="H91" s="285"/>
      <c r="I91" s="285"/>
      <c r="J91" s="285"/>
      <c r="K91" s="285"/>
      <c r="L91" s="285"/>
      <c r="M91" s="285"/>
      <c r="N91" s="285"/>
      <c r="O91" s="285"/>
      <c r="P91" s="285"/>
      <c r="Q91" s="285"/>
      <c r="R91" s="285"/>
      <c r="S91" s="285"/>
      <c r="T91" s="285"/>
      <c r="U91" s="285"/>
      <c r="V91" s="285"/>
      <c r="W91" s="285"/>
      <c r="X91" s="285"/>
      <c r="Y91" s="285"/>
      <c r="Z91" s="285"/>
      <c r="AA91" s="285"/>
      <c r="AB91" s="285"/>
      <c r="AC91" s="285"/>
      <c r="AD91" s="285"/>
      <c r="AE91" s="285"/>
      <c r="AF91" s="285"/>
      <c r="AG91" s="285"/>
      <c r="AH91" s="285"/>
      <c r="AI91" s="285"/>
      <c r="AJ91" s="285"/>
      <c r="AK91" s="285"/>
      <c r="AL91" s="285"/>
      <c r="AM91" s="285"/>
    </row>
    <row r="92" spans="2:39" ht="12.95">
      <c r="B92" s="283" t="s">
        <v>424</v>
      </c>
      <c r="C92" s="284" t="s">
        <v>364</v>
      </c>
      <c r="D92" s="310">
        <v>1</v>
      </c>
      <c r="E92" s="273">
        <v>2</v>
      </c>
      <c r="F92" s="273">
        <v>3</v>
      </c>
      <c r="G92" s="273">
        <v>4</v>
      </c>
      <c r="H92" s="273">
        <v>5</v>
      </c>
      <c r="I92" s="273">
        <v>6</v>
      </c>
      <c r="J92" s="273">
        <v>7</v>
      </c>
      <c r="K92" s="273">
        <v>8</v>
      </c>
      <c r="L92" s="273">
        <v>9</v>
      </c>
      <c r="M92" s="311">
        <v>10</v>
      </c>
      <c r="N92" s="311"/>
      <c r="O92" s="311"/>
      <c r="P92" s="311"/>
      <c r="Q92" s="311"/>
      <c r="R92" s="311"/>
      <c r="S92" s="285"/>
      <c r="T92" s="285"/>
      <c r="U92" s="285"/>
      <c r="V92" s="285"/>
      <c r="W92" s="285"/>
      <c r="X92" s="285"/>
      <c r="Y92" s="285"/>
      <c r="Z92" s="285"/>
      <c r="AA92" s="285"/>
      <c r="AB92" s="285"/>
      <c r="AC92" s="285"/>
      <c r="AD92" s="285"/>
      <c r="AE92" s="285"/>
      <c r="AF92" s="285"/>
      <c r="AG92" s="285"/>
      <c r="AH92" s="285"/>
      <c r="AI92" s="285"/>
      <c r="AJ92" s="285"/>
      <c r="AK92" s="285"/>
      <c r="AL92" s="285"/>
      <c r="AM92" s="285"/>
    </row>
    <row r="93" spans="2:39" ht="12.95">
      <c r="B93" s="283" t="s">
        <v>425</v>
      </c>
      <c r="C93" s="312" t="s">
        <v>67</v>
      </c>
      <c r="D93" s="313">
        <v>1</v>
      </c>
      <c r="E93" s="285"/>
      <c r="F93" s="285"/>
      <c r="G93" s="285"/>
      <c r="H93" s="285"/>
      <c r="I93" s="285"/>
      <c r="J93" s="285"/>
      <c r="K93" s="285"/>
      <c r="L93" s="285"/>
      <c r="M93" s="314"/>
      <c r="N93" s="314"/>
      <c r="O93" s="314"/>
      <c r="P93" s="314"/>
      <c r="Q93" s="314"/>
      <c r="R93" s="314"/>
      <c r="S93" s="285"/>
      <c r="T93" s="285"/>
      <c r="U93" s="285"/>
      <c r="V93" s="285"/>
      <c r="W93" s="285"/>
      <c r="X93" s="285"/>
      <c r="Y93" s="285"/>
      <c r="Z93" s="285"/>
      <c r="AA93" s="285"/>
      <c r="AB93" s="285"/>
      <c r="AC93" s="285"/>
      <c r="AD93" s="285"/>
      <c r="AE93" s="285"/>
      <c r="AF93" s="285"/>
      <c r="AG93" s="285"/>
      <c r="AH93" s="285"/>
      <c r="AI93" s="285"/>
      <c r="AJ93" s="285"/>
      <c r="AK93" s="285"/>
      <c r="AL93" s="285"/>
      <c r="AM93" s="285"/>
    </row>
    <row r="94" spans="2:39">
      <c r="B94" s="276" t="s">
        <v>495</v>
      </c>
      <c r="C94" s="315" t="s">
        <v>417</v>
      </c>
      <c r="D94" s="316">
        <f>IF($D$93&gt;=D92,$D$27/$D$93,0)</f>
        <v>8693898.5709615387</v>
      </c>
      <c r="E94" s="317">
        <f t="shared" ref="E94:M94" si="3">IF($D$93&gt;=E92,$D$27/$D$93,0)</f>
        <v>0</v>
      </c>
      <c r="F94" s="317">
        <f t="shared" si="3"/>
        <v>0</v>
      </c>
      <c r="G94" s="317">
        <f t="shared" si="3"/>
        <v>0</v>
      </c>
      <c r="H94" s="317">
        <f t="shared" si="3"/>
        <v>0</v>
      </c>
      <c r="I94" s="317">
        <f t="shared" si="3"/>
        <v>0</v>
      </c>
      <c r="J94" s="317">
        <f t="shared" si="3"/>
        <v>0</v>
      </c>
      <c r="K94" s="317">
        <f t="shared" si="3"/>
        <v>0</v>
      </c>
      <c r="L94" s="317">
        <f t="shared" si="3"/>
        <v>0</v>
      </c>
      <c r="M94" s="318">
        <f t="shared" si="3"/>
        <v>0</v>
      </c>
      <c r="N94" s="318"/>
      <c r="O94" s="318"/>
      <c r="P94" s="318"/>
      <c r="Q94" s="318"/>
      <c r="R94" s="318"/>
      <c r="S94" s="285"/>
      <c r="T94" s="285"/>
      <c r="U94" s="285"/>
      <c r="V94" s="285"/>
      <c r="W94" s="285"/>
      <c r="X94" s="285"/>
      <c r="Y94" s="285"/>
      <c r="Z94" s="285"/>
      <c r="AA94" s="285"/>
      <c r="AB94" s="285"/>
      <c r="AC94" s="285"/>
      <c r="AD94" s="285"/>
      <c r="AE94" s="285"/>
      <c r="AF94" s="285"/>
      <c r="AG94" s="285"/>
      <c r="AH94" s="285"/>
      <c r="AI94" s="285"/>
      <c r="AJ94" s="285"/>
      <c r="AK94" s="285"/>
      <c r="AL94" s="285"/>
      <c r="AM94" s="285"/>
    </row>
    <row r="95" spans="2:39">
      <c r="B95" s="232"/>
      <c r="C95" s="275"/>
      <c r="D95" s="275"/>
      <c r="E95" s="285"/>
      <c r="F95" s="285"/>
      <c r="G95" s="285"/>
      <c r="H95" s="285"/>
      <c r="I95" s="285"/>
      <c r="J95" s="285"/>
      <c r="K95" s="285"/>
      <c r="L95" s="285"/>
      <c r="M95" s="285"/>
      <c r="N95" s="285"/>
      <c r="O95" s="285"/>
      <c r="P95" s="285"/>
      <c r="Q95" s="285"/>
      <c r="R95" s="285"/>
      <c r="S95" s="285"/>
      <c r="T95" s="285"/>
      <c r="U95" s="285"/>
      <c r="V95" s="285"/>
      <c r="W95" s="285"/>
      <c r="X95" s="285"/>
      <c r="Y95" s="285"/>
      <c r="Z95" s="285"/>
      <c r="AA95" s="285"/>
      <c r="AB95" s="285"/>
      <c r="AC95" s="285"/>
      <c r="AD95" s="285"/>
      <c r="AE95" s="285"/>
      <c r="AF95" s="285"/>
      <c r="AG95" s="285"/>
      <c r="AH95" s="285"/>
      <c r="AI95" s="285"/>
      <c r="AJ95" s="285"/>
      <c r="AK95" s="285"/>
      <c r="AL95" s="285"/>
      <c r="AM95" s="285"/>
    </row>
    <row r="96" spans="2:39" ht="12.95">
      <c r="B96" s="283" t="s">
        <v>427</v>
      </c>
      <c r="C96" s="312" t="s">
        <v>364</v>
      </c>
      <c r="D96" s="275"/>
      <c r="E96" s="285"/>
      <c r="F96" s="285"/>
      <c r="G96" s="285"/>
      <c r="H96" s="285"/>
      <c r="I96" s="285"/>
      <c r="J96" s="285"/>
      <c r="K96" s="285"/>
      <c r="L96" s="285"/>
      <c r="M96" s="285"/>
      <c r="N96" s="285"/>
      <c r="O96" s="285"/>
      <c r="P96" s="285"/>
      <c r="Q96" s="285"/>
      <c r="R96" s="285"/>
      <c r="S96" s="285"/>
      <c r="T96" s="285"/>
      <c r="U96" s="285"/>
      <c r="V96" s="285"/>
      <c r="W96" s="285"/>
      <c r="X96" s="285"/>
      <c r="Y96" s="285"/>
      <c r="Z96" s="285"/>
      <c r="AA96" s="285"/>
      <c r="AB96" s="285"/>
      <c r="AC96" s="285"/>
      <c r="AD96" s="285"/>
      <c r="AE96" s="285"/>
      <c r="AF96" s="285"/>
      <c r="AG96" s="285"/>
      <c r="AH96" s="285"/>
      <c r="AI96" s="285"/>
      <c r="AJ96" s="285"/>
      <c r="AK96" s="285"/>
      <c r="AL96" s="285"/>
      <c r="AM96" s="285"/>
    </row>
    <row r="97" spans="2:39">
      <c r="B97" s="286" t="s">
        <v>428</v>
      </c>
      <c r="C97" s="292" t="s">
        <v>417</v>
      </c>
      <c r="D97" s="288"/>
      <c r="E97" s="289">
        <f>IF(E76&lt;=$D$36,-IPMT($D$35,E76,$D$36,'TogoSolarPV Financial Analys'!$D$27*$D$34),0)</f>
        <v>0</v>
      </c>
      <c r="F97" s="289">
        <f>IF(F76&lt;=$D$36,-IPMT($D$35,F76,$D$36,'TogoSolarPV Financial Analys'!$D$27*$D$34),0)</f>
        <v>0</v>
      </c>
      <c r="G97" s="289">
        <f>IF(G76&lt;=$D$36,-IPMT($D$35,G76,$D$36,'TogoSolarPV Financial Analys'!$D$27*$D$34),0)</f>
        <v>0</v>
      </c>
      <c r="H97" s="289">
        <f>IF(H76&lt;=$D$36,-IPMT($D$35,H76,$D$36,'TogoSolarPV Financial Analys'!$D$27*$D$34),0)</f>
        <v>0</v>
      </c>
      <c r="I97" s="289">
        <f>IF(I76&lt;=$D$36,-IPMT($D$35,I76,$D$36,'TogoSolarPV Financial Analys'!$D$27*$D$34),0)</f>
        <v>0</v>
      </c>
      <c r="J97" s="289">
        <f>IF(J76&lt;=$D$36,-IPMT($D$35,J76,$D$36,'TogoSolarPV Financial Analys'!$D$27*$D$34),0)</f>
        <v>0</v>
      </c>
      <c r="K97" s="289">
        <f>IF(K76&lt;=$D$36,-IPMT($D$35,K76,$D$36,'TogoSolarPV Financial Analys'!$D$27*$D$34),0)</f>
        <v>0</v>
      </c>
      <c r="L97" s="289">
        <f>IF(L76&lt;=$D$36,-IPMT($D$35,L76,$D$36,'TogoSolarPV Financial Analys'!$D$27*$D$34),0)</f>
        <v>0</v>
      </c>
      <c r="M97" s="289">
        <f>IF(M76&lt;=$D$36,-IPMT($D$35,M76,$D$36,'TogoSolarPV Financial Analys'!$D$27*$D$34),0)</f>
        <v>0</v>
      </c>
      <c r="N97" s="289">
        <f>IF(N76&lt;=$D$36,-IPMT($D$35,N76,$D$36,'TogoSolarPV Financial Analys'!$D$27*$D$34),0)</f>
        <v>0</v>
      </c>
      <c r="O97" s="289">
        <f>IF(O76&lt;=$D$36,-IPMT($D$35,O76,$D$36,'TogoSolarPV Financial Analys'!$D$27*$D$34),0)</f>
        <v>0</v>
      </c>
      <c r="P97" s="289">
        <f>IF(P76&lt;=$D$36,-IPMT($D$35,P76,$D$36,'TogoSolarPV Financial Analys'!$D$27*$D$34),0)</f>
        <v>0</v>
      </c>
      <c r="Q97" s="289">
        <f>IF(Q76&lt;=$D$36,-IPMT($D$35,Q76,$D$36,'TogoSolarPV Financial Analys'!$D$27*$D$34),0)</f>
        <v>0</v>
      </c>
      <c r="R97" s="289">
        <f>IF(R76&lt;=$D$36,-IPMT($D$35,R76,$D$36,'TogoSolarPV Financial Analys'!$D$27*$D$34),0)</f>
        <v>0</v>
      </c>
      <c r="S97" s="289">
        <f>IF(S76&lt;=$D$36,-IPMT($D$35,S76,$D$36,'TogoSolarPV Financial Analys'!$D$27*$D$34),0)</f>
        <v>0</v>
      </c>
      <c r="T97" s="289">
        <f>IF(T76&lt;=$D$36,-IPMT($D$35,T76,$D$36,'TogoSolarPV Financial Analys'!$D$27*$D$34),0)</f>
        <v>0</v>
      </c>
      <c r="U97" s="289">
        <f>IF(U76&lt;=$D$36,-IPMT($D$35,U76,$D$36,'TogoSolarPV Financial Analys'!$D$27*$D$34),0)</f>
        <v>0</v>
      </c>
      <c r="V97" s="289">
        <f>IF(V76&lt;=$D$36,-IPMT($D$35,V76,$D$36,'TogoSolarPV Financial Analys'!$D$27*$D$34),0)</f>
        <v>0</v>
      </c>
      <c r="W97" s="289">
        <f>IF(W76&lt;=$D$36,-IPMT($D$35,W76,$D$36,'TogoSolarPV Financial Analys'!$D$27*$D$34),0)</f>
        <v>0</v>
      </c>
      <c r="X97" s="289">
        <f>IF(X76&lt;=$D$36,-IPMT($D$35,X76,$D$36,'TogoSolarPV Financial Analys'!$D$27*$D$34),0)</f>
        <v>0</v>
      </c>
      <c r="Y97" s="289">
        <f>IF(Y76&lt;=$D$36,-IPMT($D$35,Y76,$D$36,'TogoSolarPV Financial Analys'!$D$27*$D$34),0)</f>
        <v>0</v>
      </c>
      <c r="Z97" s="289">
        <f>IF(Z76&lt;=$D$36,-IPMT($D$35,Z76,$D$36,'TogoSolarPV Financial Analys'!$D$27*$D$34),0)</f>
        <v>0</v>
      </c>
      <c r="AA97" s="289">
        <f>IF(AA76&lt;=$D$36,-IPMT($D$35,AA76,$D$36,'TogoSolarPV Financial Analys'!$D$27*$D$34),0)</f>
        <v>0</v>
      </c>
      <c r="AB97" s="289">
        <f>IF(AB76&lt;=$D$36,-IPMT($D$35,AB76,$D$36,'TogoSolarPV Financial Analys'!$D$27*$D$34),0)</f>
        <v>0</v>
      </c>
      <c r="AC97" s="289">
        <f>IF(AC76&lt;=$D$36,-IPMT($D$35,AC76,$D$36,'TogoSolarPV Financial Analys'!$D$27*$D$34),0)</f>
        <v>0</v>
      </c>
      <c r="AD97" s="289">
        <f>IF(AD76&lt;=$D$36,-IPMT($D$35,AD76,$D$36,'TogoSolarPV Financial Analys'!$D$27*$D$34),0)</f>
        <v>0</v>
      </c>
      <c r="AE97" s="289">
        <f>IF(AE76&lt;=$D$36,-IPMT($D$35,AE76,$D$36,'TogoSolarPV Financial Analys'!$D$27*$D$34),0)</f>
        <v>0</v>
      </c>
      <c r="AF97" s="289">
        <f>IF(AF76&lt;=$D$36,-IPMT($D$35,AF76,$D$36,'TogoSolarPV Financial Analys'!$D$27*$D$34),0)</f>
        <v>0</v>
      </c>
      <c r="AG97" s="289">
        <f>IF(AG76&lt;=$D$36,-IPMT($D$35,AG76,$D$36,'TogoSolarPV Financial Analys'!$D$27*$D$34),0)</f>
        <v>0</v>
      </c>
      <c r="AH97" s="289">
        <f>IF(AH76&lt;=$D$36,-IPMT($D$35,AH76,$D$36,'TogoSolarPV Financial Analys'!$D$27*$D$34),0)</f>
        <v>0</v>
      </c>
      <c r="AI97" s="289">
        <f>IF(AI76&lt;=$D$36,-IPMT($D$35,AI76,$D$36,'TogoSolarPV Financial Analys'!$D$27*$D$34),0)</f>
        <v>0</v>
      </c>
      <c r="AJ97" s="289">
        <f>IF(AJ76&lt;=$D$36,-IPMT($D$35,AJ76,$D$36,'TogoSolarPV Financial Analys'!$D$27*$D$34),0)</f>
        <v>0</v>
      </c>
      <c r="AK97" s="289">
        <f>IF(AK76&lt;=$D$36,-IPMT($D$35,AK76,$D$36,'TogoSolarPV Financial Analys'!$D$27*$D$34),0)</f>
        <v>0</v>
      </c>
      <c r="AL97" s="289">
        <f>IF(AL76&lt;=$D$36,-IPMT($D$35,AL76,$D$36,'TogoSolarPV Financial Analys'!$D$27*$D$34),0)</f>
        <v>0</v>
      </c>
      <c r="AM97" s="290">
        <f>IF(AM76&lt;=$D$36,-IPMT($D$35,AM76,$D$36,'TogoSolarPV Financial Analys'!$D$27*$D$34),0)</f>
        <v>0</v>
      </c>
    </row>
    <row r="98" spans="2:39">
      <c r="B98" s="291" t="s">
        <v>429</v>
      </c>
      <c r="C98" s="295" t="s">
        <v>417</v>
      </c>
      <c r="D98" s="296"/>
      <c r="E98" s="297">
        <f>IF(E76&lt;=$D$36,-PPMT($D$35,E76,$D$36,'TogoSolarPV Financial Analys'!$D$27*$D$34),0)</f>
        <v>347755.94283846155</v>
      </c>
      <c r="F98" s="297">
        <f>IF(F76&lt;=$D$36,-PPMT($D$35,F76,$D$36,'TogoSolarPV Financial Analys'!$D$27*$D$34),0)</f>
        <v>347755.94283846155</v>
      </c>
      <c r="G98" s="297">
        <f>IF(G76&lt;=$D$36,-PPMT($D$35,G76,$D$36,'TogoSolarPV Financial Analys'!$D$27*$D$34),0)</f>
        <v>347755.94283846155</v>
      </c>
      <c r="H98" s="297">
        <f>IF(H76&lt;=$D$36,-PPMT($D$35,H76,$D$36,'TogoSolarPV Financial Analys'!$D$27*$D$34),0)</f>
        <v>347755.94283846155</v>
      </c>
      <c r="I98" s="297">
        <f>IF(I76&lt;=$D$36,-PPMT($D$35,I76,$D$36,'TogoSolarPV Financial Analys'!$D$27*$D$34),0)</f>
        <v>347755.94283846155</v>
      </c>
      <c r="J98" s="297">
        <f>IF(J76&lt;=$D$36,-PPMT($D$35,J76,$D$36,'TogoSolarPV Financial Analys'!$D$27*$D$34),0)</f>
        <v>347755.94283846155</v>
      </c>
      <c r="K98" s="297">
        <f>IF(K76&lt;=$D$36,-PPMT($D$35,K76,$D$36,'TogoSolarPV Financial Analys'!$D$27*$D$34),0)</f>
        <v>347755.94283846155</v>
      </c>
      <c r="L98" s="297">
        <f>IF(L76&lt;=$D$36,-PPMT($D$35,L76,$D$36,'TogoSolarPV Financial Analys'!$D$27*$D$34),0)</f>
        <v>347755.94283846155</v>
      </c>
      <c r="M98" s="297">
        <f>IF(M76&lt;=$D$36,-PPMT($D$35,M76,$D$36,'TogoSolarPV Financial Analys'!$D$27*$D$34),0)</f>
        <v>347755.94283846155</v>
      </c>
      <c r="N98" s="297">
        <f>IF(N76&lt;=$D$36,-PPMT($D$35,N76,$D$36,'TogoSolarPV Financial Analys'!$D$27*$D$34),0)</f>
        <v>347755.94283846155</v>
      </c>
      <c r="O98" s="297">
        <f>IF(O76&lt;=$D$36,-PPMT($D$35,O76,$D$36,'TogoSolarPV Financial Analys'!$D$27*$D$34),0)</f>
        <v>347755.94283846155</v>
      </c>
      <c r="P98" s="297">
        <f>IF(P76&lt;=$D$36,-PPMT($D$35,P76,$D$36,'TogoSolarPV Financial Analys'!$D$27*$D$34),0)</f>
        <v>347755.94283846155</v>
      </c>
      <c r="Q98" s="297">
        <f>IF(Q76&lt;=$D$36,-PPMT($D$35,Q76,$D$36,'TogoSolarPV Financial Analys'!$D$27*$D$34),0)</f>
        <v>347755.94283846155</v>
      </c>
      <c r="R98" s="297">
        <f>IF(R76&lt;=$D$36,-PPMT($D$35,R76,$D$36,'TogoSolarPV Financial Analys'!$D$27*$D$34),0)</f>
        <v>347755.94283846155</v>
      </c>
      <c r="S98" s="297">
        <f>IF(S76&lt;=$D$36,-PPMT($D$35,S76,$D$36,'TogoSolarPV Financial Analys'!$D$27*$D$34),0)</f>
        <v>347755.94283846155</v>
      </c>
      <c r="T98" s="297">
        <f>IF(T76&lt;=$D$36,-PPMT($D$35,T76,$D$36,'TogoSolarPV Financial Analys'!$D$27*$D$34),0)</f>
        <v>347755.94283846155</v>
      </c>
      <c r="U98" s="297">
        <f>IF(U76&lt;=$D$36,-PPMT($D$35,U76,$D$36,'TogoSolarPV Financial Analys'!$D$27*$D$34),0)</f>
        <v>347755.94283846155</v>
      </c>
      <c r="V98" s="297">
        <f>IF(V76&lt;=$D$36,-PPMT($D$35,V76,$D$36,'TogoSolarPV Financial Analys'!$D$27*$D$34),0)</f>
        <v>347755.94283846155</v>
      </c>
      <c r="W98" s="297">
        <f>IF(W76&lt;=$D$36,-PPMT($D$35,W76,$D$36,'TogoSolarPV Financial Analys'!$D$27*$D$34),0)</f>
        <v>347755.94283846155</v>
      </c>
      <c r="X98" s="297">
        <f>IF(X76&lt;=$D$36,-PPMT($D$35,X76,$D$36,'TogoSolarPV Financial Analys'!$D$27*$D$34),0)</f>
        <v>347755.94283846155</v>
      </c>
      <c r="Y98" s="297">
        <f>IF(Y76&lt;=$D$36,-PPMT($D$35,Y76,$D$36,'TogoSolarPV Financial Analys'!$D$27*$D$34),0)</f>
        <v>347755.94283846155</v>
      </c>
      <c r="Z98" s="297">
        <f>IF(Z76&lt;=$D$36,-PPMT($D$35,Z76,$D$36,'TogoSolarPV Financial Analys'!$D$27*$D$34),0)</f>
        <v>347755.94283846155</v>
      </c>
      <c r="AA98" s="297">
        <f>IF(AA76&lt;=$D$36,-PPMT($D$35,AA76,$D$36,'TogoSolarPV Financial Analys'!$D$27*$D$34),0)</f>
        <v>347755.94283846155</v>
      </c>
      <c r="AB98" s="297">
        <f>IF(AB76&lt;=$D$36,-PPMT($D$35,AB76,$D$36,'TogoSolarPV Financial Analys'!$D$27*$D$34),0)</f>
        <v>347755.94283846155</v>
      </c>
      <c r="AC98" s="297">
        <f>IF(AC76&lt;=$D$36,-PPMT($D$35,AC76,$D$36,'TogoSolarPV Financial Analys'!$D$27*$D$34),0)</f>
        <v>347755.94283846155</v>
      </c>
      <c r="AD98" s="297">
        <f>IF(AD76&lt;=$D$36,-PPMT($D$35,AD76,$D$36,'TogoSolarPV Financial Analys'!$D$27*$D$34),0)</f>
        <v>0</v>
      </c>
      <c r="AE98" s="297">
        <f>IF(AE76&lt;=$D$36,-PPMT($D$35,AE76,$D$36,'TogoSolarPV Financial Analys'!$D$27*$D$34),0)</f>
        <v>0</v>
      </c>
      <c r="AF98" s="297">
        <f>IF(AF76&lt;=$D$36,-PPMT($D$35,AF76,$D$36,'TogoSolarPV Financial Analys'!$D$27*$D$34),0)</f>
        <v>0</v>
      </c>
      <c r="AG98" s="297">
        <f>IF(AG76&lt;=$D$36,-PPMT($D$35,AG76,$D$36,'TogoSolarPV Financial Analys'!$D$27*$D$34),0)</f>
        <v>0</v>
      </c>
      <c r="AH98" s="297">
        <f>IF(AH76&lt;=$D$36,-PPMT($D$35,AH76,$D$36,'TogoSolarPV Financial Analys'!$D$27*$D$34),0)</f>
        <v>0</v>
      </c>
      <c r="AI98" s="297">
        <f>IF(AI76&lt;=$D$36,-PPMT($D$35,AI76,$D$36,'TogoSolarPV Financial Analys'!$D$27*$D$34),0)</f>
        <v>0</v>
      </c>
      <c r="AJ98" s="297">
        <f>IF(AJ76&lt;=$D$36,-PPMT($D$35,AJ76,$D$36,'TogoSolarPV Financial Analys'!$D$27*$D$34),0)</f>
        <v>0</v>
      </c>
      <c r="AK98" s="297">
        <f>IF(AK76&lt;=$D$36,-PPMT($D$35,AK76,$D$36,'TogoSolarPV Financial Analys'!$D$27*$D$34),0)</f>
        <v>0</v>
      </c>
      <c r="AL98" s="297">
        <f>IF(AL76&lt;=$D$36,-PPMT($D$35,AL76,$D$36,'TogoSolarPV Financial Analys'!$D$27*$D$34),0)</f>
        <v>0</v>
      </c>
      <c r="AM98" s="298">
        <f>IF(AM76&lt;=$D$36,-PPMT($D$35,AM76,$D$36,'TogoSolarPV Financial Analys'!$D$27*$D$34),0)</f>
        <v>0</v>
      </c>
    </row>
    <row r="99" spans="2:39" ht="12.95">
      <c r="B99" s="319" t="s">
        <v>430</v>
      </c>
      <c r="C99" s="300" t="s">
        <v>417</v>
      </c>
      <c r="D99" s="320">
        <f>E99</f>
        <v>347755.94283846155</v>
      </c>
      <c r="E99" s="321">
        <f>SUM(E97:E98)+E94</f>
        <v>347755.94283846155</v>
      </c>
      <c r="F99" s="321">
        <f t="shared" ref="F99:M99" si="4">SUM(F97:F98)+F94</f>
        <v>347755.94283846155</v>
      </c>
      <c r="G99" s="321">
        <f t="shared" si="4"/>
        <v>347755.94283846155</v>
      </c>
      <c r="H99" s="321">
        <f t="shared" si="4"/>
        <v>347755.94283846155</v>
      </c>
      <c r="I99" s="321">
        <f t="shared" si="4"/>
        <v>347755.94283846155</v>
      </c>
      <c r="J99" s="321">
        <f t="shared" si="4"/>
        <v>347755.94283846155</v>
      </c>
      <c r="K99" s="321">
        <f t="shared" si="4"/>
        <v>347755.94283846155</v>
      </c>
      <c r="L99" s="321">
        <f t="shared" si="4"/>
        <v>347755.94283846155</v>
      </c>
      <c r="M99" s="321">
        <f t="shared" si="4"/>
        <v>347755.94283846155</v>
      </c>
      <c r="N99" s="321">
        <f>SUM(N97:N98)</f>
        <v>347755.94283846155</v>
      </c>
      <c r="O99" s="321">
        <f t="shared" ref="O99:AM99" si="5">SUM(O97:O98)</f>
        <v>347755.94283846155</v>
      </c>
      <c r="P99" s="321">
        <f t="shared" si="5"/>
        <v>347755.94283846155</v>
      </c>
      <c r="Q99" s="321">
        <f t="shared" si="5"/>
        <v>347755.94283846155</v>
      </c>
      <c r="R99" s="321">
        <f t="shared" si="5"/>
        <v>347755.94283846155</v>
      </c>
      <c r="S99" s="321">
        <f t="shared" si="5"/>
        <v>347755.94283846155</v>
      </c>
      <c r="T99" s="321">
        <f t="shared" si="5"/>
        <v>347755.94283846155</v>
      </c>
      <c r="U99" s="321">
        <f t="shared" si="5"/>
        <v>347755.94283846155</v>
      </c>
      <c r="V99" s="321">
        <f t="shared" si="5"/>
        <v>347755.94283846155</v>
      </c>
      <c r="W99" s="321">
        <f t="shared" si="5"/>
        <v>347755.94283846155</v>
      </c>
      <c r="X99" s="321">
        <f t="shared" si="5"/>
        <v>347755.94283846155</v>
      </c>
      <c r="Y99" s="321">
        <f t="shared" si="5"/>
        <v>347755.94283846155</v>
      </c>
      <c r="Z99" s="321">
        <f t="shared" si="5"/>
        <v>347755.94283846155</v>
      </c>
      <c r="AA99" s="321">
        <f t="shared" si="5"/>
        <v>347755.94283846155</v>
      </c>
      <c r="AB99" s="321">
        <f t="shared" si="5"/>
        <v>347755.94283846155</v>
      </c>
      <c r="AC99" s="321">
        <f t="shared" si="5"/>
        <v>347755.94283846155</v>
      </c>
      <c r="AD99" s="321">
        <f t="shared" si="5"/>
        <v>0</v>
      </c>
      <c r="AE99" s="321">
        <f t="shared" si="5"/>
        <v>0</v>
      </c>
      <c r="AF99" s="321">
        <f t="shared" si="5"/>
        <v>0</v>
      </c>
      <c r="AG99" s="321">
        <f t="shared" si="5"/>
        <v>0</v>
      </c>
      <c r="AH99" s="321">
        <f t="shared" si="5"/>
        <v>0</v>
      </c>
      <c r="AI99" s="321">
        <f t="shared" si="5"/>
        <v>0</v>
      </c>
      <c r="AJ99" s="321">
        <f t="shared" si="5"/>
        <v>0</v>
      </c>
      <c r="AK99" s="321">
        <f t="shared" si="5"/>
        <v>0</v>
      </c>
      <c r="AL99" s="321">
        <f t="shared" si="5"/>
        <v>0</v>
      </c>
      <c r="AM99" s="322">
        <f t="shared" si="5"/>
        <v>0</v>
      </c>
    </row>
    <row r="100" spans="2:39" ht="12.95">
      <c r="B100" s="233"/>
      <c r="C100" s="233"/>
      <c r="D100" s="323"/>
      <c r="E100" s="323"/>
      <c r="F100" s="323"/>
      <c r="G100" s="323"/>
      <c r="H100" s="323"/>
      <c r="I100" s="323"/>
      <c r="J100" s="323"/>
      <c r="K100" s="323"/>
      <c r="L100" s="323"/>
      <c r="M100" s="323"/>
      <c r="N100" s="323"/>
      <c r="O100" s="323"/>
      <c r="P100" s="323"/>
      <c r="Q100" s="323"/>
      <c r="R100" s="323"/>
      <c r="S100" s="323"/>
      <c r="T100" s="323"/>
      <c r="U100" s="323"/>
      <c r="V100" s="323"/>
      <c r="W100" s="323"/>
      <c r="X100" s="323"/>
      <c r="Y100" s="323"/>
      <c r="Z100" s="323"/>
      <c r="AA100" s="323"/>
      <c r="AB100" s="323"/>
      <c r="AC100" s="323"/>
      <c r="AD100" s="323"/>
      <c r="AE100" s="323"/>
      <c r="AF100" s="323"/>
      <c r="AG100" s="323"/>
      <c r="AH100" s="323"/>
      <c r="AI100" s="323"/>
      <c r="AJ100" s="323"/>
      <c r="AK100" s="323"/>
      <c r="AL100" s="323"/>
      <c r="AM100" s="323"/>
    </row>
    <row r="101" spans="2:39" ht="12.95">
      <c r="B101" s="319" t="s">
        <v>431</v>
      </c>
      <c r="C101" s="324" t="s">
        <v>417</v>
      </c>
      <c r="D101" s="320">
        <f>D99+D84+D106</f>
        <v>1166233.3999346155</v>
      </c>
      <c r="E101" s="321">
        <f>E99+E84+E105</f>
        <v>1166233.3999346155</v>
      </c>
      <c r="F101" s="321">
        <f t="shared" ref="F101:AM101" si="6">F99+F84+F105</f>
        <v>1166233.3999346155</v>
      </c>
      <c r="G101" s="321">
        <f t="shared" si="6"/>
        <v>1166233.3999346155</v>
      </c>
      <c r="H101" s="321">
        <f t="shared" si="6"/>
        <v>1166233.3999346155</v>
      </c>
      <c r="I101" s="321">
        <f t="shared" si="6"/>
        <v>1166233.3999346155</v>
      </c>
      <c r="J101" s="321">
        <f t="shared" si="6"/>
        <v>1166233.3999346155</v>
      </c>
      <c r="K101" s="321">
        <f t="shared" si="6"/>
        <v>1166233.3999346155</v>
      </c>
      <c r="L101" s="321">
        <f t="shared" si="6"/>
        <v>1166233.3999346155</v>
      </c>
      <c r="M101" s="321">
        <f t="shared" si="6"/>
        <v>1166233.3999346155</v>
      </c>
      <c r="N101" s="321">
        <f t="shared" si="6"/>
        <v>1166233.3999346155</v>
      </c>
      <c r="O101" s="321">
        <f t="shared" si="6"/>
        <v>1166233.3999346155</v>
      </c>
      <c r="P101" s="321">
        <f t="shared" si="6"/>
        <v>1166233.3999346155</v>
      </c>
      <c r="Q101" s="321">
        <f t="shared" si="6"/>
        <v>1166233.3999346155</v>
      </c>
      <c r="R101" s="321">
        <f t="shared" si="6"/>
        <v>1166233.3999346155</v>
      </c>
      <c r="S101" s="321">
        <f t="shared" si="6"/>
        <v>1166233.3999346155</v>
      </c>
      <c r="T101" s="321">
        <f t="shared" si="6"/>
        <v>1166233.3999346155</v>
      </c>
      <c r="U101" s="321">
        <f t="shared" si="6"/>
        <v>1166233.3999346155</v>
      </c>
      <c r="V101" s="321">
        <f t="shared" si="6"/>
        <v>1166233.3999346155</v>
      </c>
      <c r="W101" s="321">
        <f t="shared" si="6"/>
        <v>1166233.3999346155</v>
      </c>
      <c r="X101" s="321">
        <f t="shared" si="6"/>
        <v>1166233.3999346155</v>
      </c>
      <c r="Y101" s="321">
        <f t="shared" si="6"/>
        <v>1166233.3999346155</v>
      </c>
      <c r="Z101" s="321">
        <f t="shared" si="6"/>
        <v>1166233.3999346155</v>
      </c>
      <c r="AA101" s="321">
        <f t="shared" si="6"/>
        <v>1166233.3999346155</v>
      </c>
      <c r="AB101" s="321">
        <f t="shared" si="6"/>
        <v>1166233.3999346155</v>
      </c>
      <c r="AC101" s="321">
        <f t="shared" si="6"/>
        <v>2338572.87759344</v>
      </c>
      <c r="AD101" s="321">
        <f t="shared" si="6"/>
        <v>0</v>
      </c>
      <c r="AE101" s="321">
        <f t="shared" si="6"/>
        <v>0</v>
      </c>
      <c r="AF101" s="321">
        <f t="shared" si="6"/>
        <v>0</v>
      </c>
      <c r="AG101" s="321">
        <f t="shared" si="6"/>
        <v>0</v>
      </c>
      <c r="AH101" s="321">
        <f t="shared" si="6"/>
        <v>0</v>
      </c>
      <c r="AI101" s="321">
        <f t="shared" si="6"/>
        <v>0</v>
      </c>
      <c r="AJ101" s="321">
        <f t="shared" si="6"/>
        <v>0</v>
      </c>
      <c r="AK101" s="321">
        <f t="shared" si="6"/>
        <v>0</v>
      </c>
      <c r="AL101" s="321">
        <f t="shared" si="6"/>
        <v>0</v>
      </c>
      <c r="AM101" s="322">
        <f t="shared" si="6"/>
        <v>0</v>
      </c>
    </row>
    <row r="102" spans="2:39">
      <c r="B102" s="232"/>
      <c r="C102" s="275"/>
      <c r="D102" s="220"/>
      <c r="E102" s="220"/>
      <c r="F102" s="220"/>
      <c r="G102" s="220"/>
      <c r="H102" s="220"/>
      <c r="I102" s="220"/>
      <c r="J102" s="220"/>
      <c r="K102" s="220"/>
      <c r="L102" s="220"/>
      <c r="M102" s="220"/>
      <c r="N102" s="220"/>
      <c r="O102" s="220"/>
      <c r="P102" s="220"/>
      <c r="Q102" s="220"/>
      <c r="R102" s="220"/>
      <c r="S102" s="220"/>
      <c r="T102" s="220"/>
      <c r="U102" s="220"/>
      <c r="V102" s="220"/>
      <c r="W102" s="220"/>
      <c r="X102" s="220"/>
      <c r="Y102" s="220"/>
      <c r="Z102" s="220"/>
      <c r="AA102" s="220"/>
      <c r="AB102" s="220"/>
      <c r="AC102" s="220"/>
      <c r="AD102" s="220"/>
      <c r="AE102" s="220"/>
      <c r="AF102" s="220"/>
      <c r="AG102" s="220"/>
      <c r="AH102" s="220"/>
      <c r="AI102" s="220"/>
      <c r="AJ102" s="220"/>
      <c r="AK102" s="220"/>
      <c r="AL102" s="220"/>
      <c r="AM102" s="220"/>
    </row>
    <row r="103" spans="2:39" ht="12.95">
      <c r="B103" s="325"/>
      <c r="D103" s="326" t="s">
        <v>432</v>
      </c>
      <c r="E103" s="326" t="s">
        <v>433</v>
      </c>
    </row>
    <row r="105" spans="2:39" s="326" customFormat="1" ht="12.95">
      <c r="B105" s="283" t="s">
        <v>434</v>
      </c>
      <c r="C105" s="312" t="s">
        <v>417</v>
      </c>
      <c r="D105" s="320"/>
      <c r="E105" s="321">
        <f t="shared" ref="E105:AM105" si="7">IF(E76&lt;=$D37,$D106*$D38,0)</f>
        <v>0</v>
      </c>
      <c r="F105" s="321">
        <f t="shared" si="7"/>
        <v>0</v>
      </c>
      <c r="G105" s="321">
        <f t="shared" si="7"/>
        <v>0</v>
      </c>
      <c r="H105" s="321">
        <f t="shared" si="7"/>
        <v>0</v>
      </c>
      <c r="I105" s="321">
        <f t="shared" si="7"/>
        <v>0</v>
      </c>
      <c r="J105" s="321">
        <f t="shared" si="7"/>
        <v>0</v>
      </c>
      <c r="K105" s="321">
        <f t="shared" si="7"/>
        <v>0</v>
      </c>
      <c r="L105" s="321">
        <f t="shared" si="7"/>
        <v>0</v>
      </c>
      <c r="M105" s="321">
        <f t="shared" si="7"/>
        <v>0</v>
      </c>
      <c r="N105" s="321">
        <f t="shared" si="7"/>
        <v>0</v>
      </c>
      <c r="O105" s="321">
        <f t="shared" si="7"/>
        <v>0</v>
      </c>
      <c r="P105" s="321">
        <f t="shared" si="7"/>
        <v>0</v>
      </c>
      <c r="Q105" s="321">
        <f t="shared" si="7"/>
        <v>0</v>
      </c>
      <c r="R105" s="321">
        <f t="shared" si="7"/>
        <v>0</v>
      </c>
      <c r="S105" s="321">
        <f t="shared" si="7"/>
        <v>0</v>
      </c>
      <c r="T105" s="321">
        <f t="shared" si="7"/>
        <v>0</v>
      </c>
      <c r="U105" s="321">
        <f t="shared" si="7"/>
        <v>0</v>
      </c>
      <c r="V105" s="321">
        <f t="shared" si="7"/>
        <v>0</v>
      </c>
      <c r="W105" s="321">
        <f t="shared" si="7"/>
        <v>0</v>
      </c>
      <c r="X105" s="321">
        <f t="shared" si="7"/>
        <v>0</v>
      </c>
      <c r="Y105" s="321">
        <f t="shared" si="7"/>
        <v>0</v>
      </c>
      <c r="Z105" s="321">
        <f t="shared" si="7"/>
        <v>0</v>
      </c>
      <c r="AA105" s="321">
        <f t="shared" si="7"/>
        <v>0</v>
      </c>
      <c r="AB105" s="321">
        <f t="shared" si="7"/>
        <v>0</v>
      </c>
      <c r="AC105" s="321">
        <f t="shared" si="7"/>
        <v>0</v>
      </c>
      <c r="AD105" s="321">
        <f t="shared" si="7"/>
        <v>0</v>
      </c>
      <c r="AE105" s="321">
        <f t="shared" si="7"/>
        <v>0</v>
      </c>
      <c r="AF105" s="321">
        <f t="shared" si="7"/>
        <v>0</v>
      </c>
      <c r="AG105" s="321">
        <f t="shared" si="7"/>
        <v>0</v>
      </c>
      <c r="AH105" s="321">
        <f t="shared" si="7"/>
        <v>0</v>
      </c>
      <c r="AI105" s="321">
        <f t="shared" si="7"/>
        <v>0</v>
      </c>
      <c r="AJ105" s="321">
        <f t="shared" si="7"/>
        <v>0</v>
      </c>
      <c r="AK105" s="321">
        <f t="shared" si="7"/>
        <v>0</v>
      </c>
      <c r="AL105" s="321">
        <f t="shared" si="7"/>
        <v>0</v>
      </c>
      <c r="AM105" s="322">
        <f t="shared" si="7"/>
        <v>0</v>
      </c>
    </row>
    <row r="106" spans="2:39">
      <c r="B106" s="276" t="s">
        <v>435</v>
      </c>
      <c r="C106" s="259" t="s">
        <v>331</v>
      </c>
      <c r="D106" s="327">
        <f>'TogoSolarPV Financial Analys'!D27*(1-D34)</f>
        <v>0</v>
      </c>
    </row>
    <row r="107" spans="2:39">
      <c r="D107" s="281"/>
    </row>
    <row r="108" spans="2:39" s="331" customFormat="1" ht="12.95">
      <c r="B108" s="276" t="s">
        <v>436</v>
      </c>
      <c r="C108" s="259" t="s">
        <v>437</v>
      </c>
      <c r="D108" s="328">
        <f t="shared" ref="D108:AM108" si="8">D78/((1+$D41)^D76)</f>
        <v>26598151.184649237</v>
      </c>
      <c r="E108" s="329">
        <f t="shared" si="8"/>
        <v>22165125.9872077</v>
      </c>
      <c r="F108" s="329">
        <f t="shared" si="8"/>
        <v>18470938.322673082</v>
      </c>
      <c r="G108" s="329">
        <f t="shared" si="8"/>
        <v>15392448.602227567</v>
      </c>
      <c r="H108" s="329">
        <f t="shared" si="8"/>
        <v>12827040.501856307</v>
      </c>
      <c r="I108" s="329">
        <f t="shared" si="8"/>
        <v>10689200.418213589</v>
      </c>
      <c r="J108" s="329">
        <f t="shared" si="8"/>
        <v>8907667.0151779912</v>
      </c>
      <c r="K108" s="329">
        <f t="shared" si="8"/>
        <v>7423055.8459816594</v>
      </c>
      <c r="L108" s="329">
        <f t="shared" si="8"/>
        <v>6185879.8716513831</v>
      </c>
      <c r="M108" s="329">
        <f t="shared" si="8"/>
        <v>5154899.8930428196</v>
      </c>
      <c r="N108" s="329">
        <f t="shared" si="8"/>
        <v>4295749.9108690163</v>
      </c>
      <c r="O108" s="329">
        <f t="shared" si="8"/>
        <v>3579791.5923908469</v>
      </c>
      <c r="P108" s="329">
        <f t="shared" si="8"/>
        <v>2983159.660325706</v>
      </c>
      <c r="Q108" s="329">
        <f t="shared" si="8"/>
        <v>2485966.3836047547</v>
      </c>
      <c r="R108" s="329">
        <f t="shared" si="8"/>
        <v>2071638.6530039625</v>
      </c>
      <c r="S108" s="329">
        <f t="shared" si="8"/>
        <v>1726365.5441699687</v>
      </c>
      <c r="T108" s="329">
        <f t="shared" si="8"/>
        <v>1438637.953474974</v>
      </c>
      <c r="U108" s="329">
        <f t="shared" si="8"/>
        <v>1198864.9612291451</v>
      </c>
      <c r="V108" s="329">
        <f t="shared" si="8"/>
        <v>999054.13435762085</v>
      </c>
      <c r="W108" s="329">
        <f t="shared" si="8"/>
        <v>832545.1119646841</v>
      </c>
      <c r="X108" s="329">
        <f t="shared" si="8"/>
        <v>693787.59330390336</v>
      </c>
      <c r="Y108" s="329">
        <f t="shared" si="8"/>
        <v>578156.32775325282</v>
      </c>
      <c r="Z108" s="329">
        <f t="shared" si="8"/>
        <v>481796.93979437742</v>
      </c>
      <c r="AA108" s="329">
        <f t="shared" si="8"/>
        <v>401497.44982864783</v>
      </c>
      <c r="AB108" s="329">
        <f t="shared" si="8"/>
        <v>334581.20819053991</v>
      </c>
      <c r="AC108" s="329">
        <f t="shared" si="8"/>
        <v>0</v>
      </c>
      <c r="AD108" s="329">
        <f t="shared" si="8"/>
        <v>0</v>
      </c>
      <c r="AE108" s="329">
        <f t="shared" si="8"/>
        <v>0</v>
      </c>
      <c r="AF108" s="329">
        <f t="shared" si="8"/>
        <v>0</v>
      </c>
      <c r="AG108" s="329">
        <f t="shared" si="8"/>
        <v>0</v>
      </c>
      <c r="AH108" s="329">
        <f t="shared" si="8"/>
        <v>0</v>
      </c>
      <c r="AI108" s="329">
        <f t="shared" si="8"/>
        <v>0</v>
      </c>
      <c r="AJ108" s="329">
        <f t="shared" si="8"/>
        <v>0</v>
      </c>
      <c r="AK108" s="329">
        <f t="shared" si="8"/>
        <v>0</v>
      </c>
      <c r="AL108" s="329">
        <f t="shared" si="8"/>
        <v>0</v>
      </c>
      <c r="AM108" s="330">
        <f t="shared" si="8"/>
        <v>0</v>
      </c>
    </row>
    <row r="109" spans="2:39" s="331" customFormat="1" ht="12.95">
      <c r="B109" s="294" t="s">
        <v>438</v>
      </c>
      <c r="C109" s="332" t="s">
        <v>439</v>
      </c>
      <c r="D109" s="296">
        <f>D101/(1+$D41)^D76</f>
        <v>1166233.3999346155</v>
      </c>
      <c r="E109" s="297">
        <f>E101/(1+$D41)^E76</f>
        <v>971861.1666121796</v>
      </c>
      <c r="F109" s="297">
        <f t="shared" ref="F109:AM109" si="9">F101/(1+$D41)^F76</f>
        <v>809884.30551014969</v>
      </c>
      <c r="G109" s="297">
        <f t="shared" si="9"/>
        <v>674903.58792512468</v>
      </c>
      <c r="H109" s="297">
        <f t="shared" si="9"/>
        <v>562419.65660427057</v>
      </c>
      <c r="I109" s="297">
        <f t="shared" si="9"/>
        <v>468683.04717022553</v>
      </c>
      <c r="J109" s="297">
        <f t="shared" si="9"/>
        <v>390569.20597518794</v>
      </c>
      <c r="K109" s="297">
        <f t="shared" si="9"/>
        <v>325474.33831265662</v>
      </c>
      <c r="L109" s="297">
        <f t="shared" si="9"/>
        <v>271228.6152605472</v>
      </c>
      <c r="M109" s="297">
        <f t="shared" si="9"/>
        <v>226023.84605045599</v>
      </c>
      <c r="N109" s="297">
        <f t="shared" si="9"/>
        <v>188353.20504204667</v>
      </c>
      <c r="O109" s="297">
        <f t="shared" si="9"/>
        <v>156961.00420170557</v>
      </c>
      <c r="P109" s="297">
        <f t="shared" si="9"/>
        <v>130800.83683475463</v>
      </c>
      <c r="Q109" s="297">
        <f t="shared" si="9"/>
        <v>109000.69736229553</v>
      </c>
      <c r="R109" s="297">
        <f t="shared" si="9"/>
        <v>90833.91446857962</v>
      </c>
      <c r="S109" s="297">
        <f t="shared" si="9"/>
        <v>75694.928723816338</v>
      </c>
      <c r="T109" s="297">
        <f t="shared" si="9"/>
        <v>63079.107269846958</v>
      </c>
      <c r="U109" s="297">
        <f t="shared" si="9"/>
        <v>52565.922724872464</v>
      </c>
      <c r="V109" s="297">
        <f t="shared" si="9"/>
        <v>43804.935604060389</v>
      </c>
      <c r="W109" s="297">
        <f t="shared" si="9"/>
        <v>36504.11300338366</v>
      </c>
      <c r="X109" s="297">
        <f t="shared" si="9"/>
        <v>30420.09416948638</v>
      </c>
      <c r="Y109" s="297">
        <f t="shared" si="9"/>
        <v>25350.078474571987</v>
      </c>
      <c r="Z109" s="297">
        <f t="shared" si="9"/>
        <v>21125.065395476657</v>
      </c>
      <c r="AA109" s="297">
        <f t="shared" si="9"/>
        <v>17604.221162897215</v>
      </c>
      <c r="AB109" s="297">
        <f t="shared" si="9"/>
        <v>14670.184302414345</v>
      </c>
      <c r="AC109" s="297">
        <f t="shared" si="9"/>
        <v>24514.314716681536</v>
      </c>
      <c r="AD109" s="297">
        <f t="shared" si="9"/>
        <v>0</v>
      </c>
      <c r="AE109" s="297">
        <f t="shared" si="9"/>
        <v>0</v>
      </c>
      <c r="AF109" s="297">
        <f t="shared" si="9"/>
        <v>0</v>
      </c>
      <c r="AG109" s="297">
        <f t="shared" si="9"/>
        <v>0</v>
      </c>
      <c r="AH109" s="297">
        <f t="shared" si="9"/>
        <v>0</v>
      </c>
      <c r="AI109" s="297">
        <f t="shared" si="9"/>
        <v>0</v>
      </c>
      <c r="AJ109" s="297">
        <f t="shared" si="9"/>
        <v>0</v>
      </c>
      <c r="AK109" s="297">
        <f t="shared" si="9"/>
        <v>0</v>
      </c>
      <c r="AL109" s="297">
        <f t="shared" si="9"/>
        <v>0</v>
      </c>
      <c r="AM109" s="298">
        <f t="shared" si="9"/>
        <v>0</v>
      </c>
    </row>
    <row r="110" spans="2:39" s="331" customFormat="1" ht="12.95">
      <c r="B110" s="333" t="s">
        <v>440</v>
      </c>
      <c r="C110" s="334" t="s">
        <v>441</v>
      </c>
      <c r="D110" s="335">
        <f>(D101-D128)/(1+$D41)^D76</f>
        <v>1386188.4070451434</v>
      </c>
      <c r="E110" s="336">
        <f t="shared" ref="E110:AM110" si="10">(E101-E128)/(1+$D41)^E76</f>
        <v>1155157.005870953</v>
      </c>
      <c r="F110" s="336">
        <f t="shared" si="10"/>
        <v>962630.83822579402</v>
      </c>
      <c r="G110" s="336">
        <f t="shared" si="10"/>
        <v>802192.36518816173</v>
      </c>
      <c r="H110" s="336">
        <f t="shared" si="10"/>
        <v>668493.6376568015</v>
      </c>
      <c r="I110" s="336">
        <f t="shared" si="10"/>
        <v>557078.03138066793</v>
      </c>
      <c r="J110" s="336">
        <f t="shared" si="10"/>
        <v>464231.69281722326</v>
      </c>
      <c r="K110" s="336">
        <f t="shared" si="10"/>
        <v>386859.74401435273</v>
      </c>
      <c r="L110" s="336">
        <f t="shared" si="10"/>
        <v>322383.12001196062</v>
      </c>
      <c r="M110" s="336">
        <f t="shared" si="10"/>
        <v>268652.60000996717</v>
      </c>
      <c r="N110" s="336">
        <f t="shared" si="10"/>
        <v>223877.16667497266</v>
      </c>
      <c r="O110" s="336">
        <f t="shared" si="10"/>
        <v>186564.30556247721</v>
      </c>
      <c r="P110" s="336">
        <f t="shared" si="10"/>
        <v>155470.25463539769</v>
      </c>
      <c r="Q110" s="336">
        <f t="shared" si="10"/>
        <v>129558.54552949806</v>
      </c>
      <c r="R110" s="336">
        <f t="shared" si="10"/>
        <v>107965.45460791506</v>
      </c>
      <c r="S110" s="336">
        <f t="shared" si="10"/>
        <v>89971.212173262553</v>
      </c>
      <c r="T110" s="336">
        <f t="shared" si="10"/>
        <v>74976.010144385466</v>
      </c>
      <c r="U110" s="336">
        <f t="shared" si="10"/>
        <v>62480.008453654555</v>
      </c>
      <c r="V110" s="336">
        <f t="shared" si="10"/>
        <v>52066.673711378797</v>
      </c>
      <c r="W110" s="336">
        <f t="shared" si="10"/>
        <v>43388.894759482333</v>
      </c>
      <c r="X110" s="336">
        <f t="shared" si="10"/>
        <v>36157.412299568605</v>
      </c>
      <c r="Y110" s="336">
        <f t="shared" si="10"/>
        <v>30131.176916307177</v>
      </c>
      <c r="Z110" s="336">
        <f t="shared" si="10"/>
        <v>25109.314096922648</v>
      </c>
      <c r="AA110" s="336">
        <f t="shared" si="10"/>
        <v>20924.428414102207</v>
      </c>
      <c r="AB110" s="336">
        <f t="shared" si="10"/>
        <v>17437.023678418507</v>
      </c>
      <c r="AC110" s="336">
        <f t="shared" si="10"/>
        <v>24514.314716681536</v>
      </c>
      <c r="AD110" s="336">
        <f t="shared" si="10"/>
        <v>0</v>
      </c>
      <c r="AE110" s="336">
        <f t="shared" si="10"/>
        <v>0</v>
      </c>
      <c r="AF110" s="336">
        <f t="shared" si="10"/>
        <v>0</v>
      </c>
      <c r="AG110" s="336">
        <f t="shared" si="10"/>
        <v>0</v>
      </c>
      <c r="AH110" s="336">
        <f t="shared" si="10"/>
        <v>0</v>
      </c>
      <c r="AI110" s="336">
        <f t="shared" si="10"/>
        <v>0</v>
      </c>
      <c r="AJ110" s="336">
        <f t="shared" si="10"/>
        <v>0</v>
      </c>
      <c r="AK110" s="336">
        <f t="shared" si="10"/>
        <v>0</v>
      </c>
      <c r="AL110" s="336">
        <f t="shared" si="10"/>
        <v>0</v>
      </c>
      <c r="AM110" s="337">
        <f t="shared" si="10"/>
        <v>0</v>
      </c>
    </row>
    <row r="111" spans="2:39" s="331" customFormat="1" ht="12.95">
      <c r="B111" s="294" t="s">
        <v>442</v>
      </c>
      <c r="C111" s="332" t="s">
        <v>439</v>
      </c>
      <c r="D111" s="296">
        <f t="shared" ref="D111:AM111" si="11">(D147)/(1+$D41)^D76</f>
        <v>2127852.0947719389</v>
      </c>
      <c r="E111" s="297">
        <f t="shared" si="11"/>
        <v>1773210.0789766158</v>
      </c>
      <c r="F111" s="297">
        <f t="shared" si="11"/>
        <v>1477675.0658138464</v>
      </c>
      <c r="G111" s="297">
        <f t="shared" si="11"/>
        <v>1231395.8881782054</v>
      </c>
      <c r="H111" s="297">
        <f t="shared" si="11"/>
        <v>1026163.2401485045</v>
      </c>
      <c r="I111" s="297">
        <f t="shared" si="11"/>
        <v>855136.03345708712</v>
      </c>
      <c r="J111" s="297">
        <f t="shared" si="11"/>
        <v>712613.36121423927</v>
      </c>
      <c r="K111" s="297">
        <f t="shared" si="11"/>
        <v>593844.4676785327</v>
      </c>
      <c r="L111" s="297">
        <f t="shared" si="11"/>
        <v>494870.38973211066</v>
      </c>
      <c r="M111" s="297">
        <f t="shared" si="11"/>
        <v>412391.99144342553</v>
      </c>
      <c r="N111" s="297">
        <f t="shared" si="11"/>
        <v>343659.99286952126</v>
      </c>
      <c r="O111" s="297">
        <f t="shared" si="11"/>
        <v>286383.32739126775</v>
      </c>
      <c r="P111" s="297">
        <f t="shared" si="11"/>
        <v>238652.77282605646</v>
      </c>
      <c r="Q111" s="297">
        <f t="shared" si="11"/>
        <v>198877.31068838038</v>
      </c>
      <c r="R111" s="297">
        <f t="shared" si="11"/>
        <v>165731.092240317</v>
      </c>
      <c r="S111" s="297">
        <f t="shared" si="11"/>
        <v>138109.2435335975</v>
      </c>
      <c r="T111" s="297">
        <f t="shared" si="11"/>
        <v>115091.03627799792</v>
      </c>
      <c r="U111" s="297">
        <f t="shared" si="11"/>
        <v>95909.196898331604</v>
      </c>
      <c r="V111" s="297">
        <f t="shared" si="11"/>
        <v>79924.330748609675</v>
      </c>
      <c r="W111" s="297">
        <f t="shared" si="11"/>
        <v>66603.608957174729</v>
      </c>
      <c r="X111" s="297">
        <f t="shared" si="11"/>
        <v>55503.007464312272</v>
      </c>
      <c r="Y111" s="297">
        <f t="shared" si="11"/>
        <v>46252.506220260228</v>
      </c>
      <c r="Z111" s="297">
        <f t="shared" si="11"/>
        <v>38543.755183550194</v>
      </c>
      <c r="AA111" s="297">
        <f t="shared" si="11"/>
        <v>32119.795986291829</v>
      </c>
      <c r="AB111" s="297">
        <f t="shared" si="11"/>
        <v>26766.496655243191</v>
      </c>
      <c r="AC111" s="297">
        <f t="shared" si="11"/>
        <v>0</v>
      </c>
      <c r="AD111" s="297">
        <f t="shared" si="11"/>
        <v>0</v>
      </c>
      <c r="AE111" s="297">
        <f t="shared" si="11"/>
        <v>0</v>
      </c>
      <c r="AF111" s="297">
        <f t="shared" si="11"/>
        <v>0</v>
      </c>
      <c r="AG111" s="297">
        <f t="shared" si="11"/>
        <v>0</v>
      </c>
      <c r="AH111" s="297">
        <f t="shared" si="11"/>
        <v>0</v>
      </c>
      <c r="AI111" s="297">
        <f t="shared" si="11"/>
        <v>0</v>
      </c>
      <c r="AJ111" s="297">
        <f t="shared" si="11"/>
        <v>0</v>
      </c>
      <c r="AK111" s="297">
        <f t="shared" si="11"/>
        <v>0</v>
      </c>
      <c r="AL111" s="297">
        <f t="shared" si="11"/>
        <v>0</v>
      </c>
      <c r="AM111" s="298">
        <f t="shared" si="11"/>
        <v>0</v>
      </c>
    </row>
    <row r="112" spans="2:39" s="331" customFormat="1" ht="12.95">
      <c r="B112" s="294" t="s">
        <v>443</v>
      </c>
      <c r="C112" s="332" t="s">
        <v>439</v>
      </c>
      <c r="D112" s="296">
        <f t="shared" ref="D112:AM112" si="12">(D122)/(1+$D41)^D76</f>
        <v>957489.69306032197</v>
      </c>
      <c r="E112" s="297">
        <f t="shared" si="12"/>
        <v>797908.07755026838</v>
      </c>
      <c r="F112" s="297">
        <f t="shared" si="12"/>
        <v>664923.39795855689</v>
      </c>
      <c r="G112" s="297">
        <f t="shared" si="12"/>
        <v>554102.83163213078</v>
      </c>
      <c r="H112" s="297">
        <f t="shared" si="12"/>
        <v>461752.35969344235</v>
      </c>
      <c r="I112" s="297">
        <f t="shared" si="12"/>
        <v>384793.63307786861</v>
      </c>
      <c r="J112" s="297">
        <f t="shared" si="12"/>
        <v>320661.36089822382</v>
      </c>
      <c r="K112" s="297">
        <f t="shared" si="12"/>
        <v>267217.80074851989</v>
      </c>
      <c r="L112" s="297">
        <f t="shared" si="12"/>
        <v>222681.50062376657</v>
      </c>
      <c r="M112" s="297">
        <f t="shared" si="12"/>
        <v>185567.91718647213</v>
      </c>
      <c r="N112" s="297">
        <f t="shared" si="12"/>
        <v>154639.93098872679</v>
      </c>
      <c r="O112" s="297">
        <f t="shared" si="12"/>
        <v>128866.60915727232</v>
      </c>
      <c r="P112" s="297">
        <f t="shared" si="12"/>
        <v>107388.84096439362</v>
      </c>
      <c r="Q112" s="297">
        <f t="shared" si="12"/>
        <v>89490.700803661341</v>
      </c>
      <c r="R112" s="297">
        <f t="shared" si="12"/>
        <v>74575.584003051132</v>
      </c>
      <c r="S112" s="297">
        <f t="shared" si="12"/>
        <v>62146.320002542598</v>
      </c>
      <c r="T112" s="297">
        <f t="shared" si="12"/>
        <v>51788.600002118837</v>
      </c>
      <c r="U112" s="297">
        <f t="shared" si="12"/>
        <v>43157.166668432365</v>
      </c>
      <c r="V112" s="297">
        <f t="shared" si="12"/>
        <v>35964.305557026972</v>
      </c>
      <c r="W112" s="297">
        <f t="shared" si="12"/>
        <v>29970.254630855809</v>
      </c>
      <c r="X112" s="297">
        <f t="shared" si="12"/>
        <v>24975.21219237984</v>
      </c>
      <c r="Y112" s="297">
        <f t="shared" si="12"/>
        <v>20812.676826983203</v>
      </c>
      <c r="Z112" s="297">
        <f t="shared" si="12"/>
        <v>17343.897355819336</v>
      </c>
      <c r="AA112" s="297">
        <f t="shared" si="12"/>
        <v>14453.247796516114</v>
      </c>
      <c r="AB112" s="297">
        <f t="shared" si="12"/>
        <v>12044.37316376343</v>
      </c>
      <c r="AC112" s="297">
        <f t="shared" si="12"/>
        <v>0</v>
      </c>
      <c r="AD112" s="297">
        <f t="shared" si="12"/>
        <v>0</v>
      </c>
      <c r="AE112" s="297">
        <f t="shared" si="12"/>
        <v>0</v>
      </c>
      <c r="AF112" s="297">
        <f t="shared" si="12"/>
        <v>0</v>
      </c>
      <c r="AG112" s="297">
        <f t="shared" si="12"/>
        <v>0</v>
      </c>
      <c r="AH112" s="297">
        <f t="shared" si="12"/>
        <v>0</v>
      </c>
      <c r="AI112" s="297">
        <f t="shared" si="12"/>
        <v>0</v>
      </c>
      <c r="AJ112" s="297">
        <f t="shared" si="12"/>
        <v>0</v>
      </c>
      <c r="AK112" s="297">
        <f t="shared" si="12"/>
        <v>0</v>
      </c>
      <c r="AL112" s="297">
        <f t="shared" si="12"/>
        <v>0</v>
      </c>
      <c r="AM112" s="298">
        <f t="shared" si="12"/>
        <v>0</v>
      </c>
    </row>
    <row r="113" spans="1:39" s="331" customFormat="1" ht="12.95">
      <c r="B113" s="294" t="s">
        <v>444</v>
      </c>
      <c r="C113" s="332" t="s">
        <v>439</v>
      </c>
      <c r="D113" s="296">
        <f t="shared" ref="D113:AM113" si="13">(D128)/(1+$D41)^D76</f>
        <v>-219955.00711052792</v>
      </c>
      <c r="E113" s="297">
        <f t="shared" si="13"/>
        <v>-183295.83925877328</v>
      </c>
      <c r="F113" s="297">
        <f t="shared" si="13"/>
        <v>-152746.5327156444</v>
      </c>
      <c r="G113" s="297">
        <f t="shared" si="13"/>
        <v>-127288.77726303699</v>
      </c>
      <c r="H113" s="297">
        <f t="shared" si="13"/>
        <v>-106073.98105253083</v>
      </c>
      <c r="I113" s="297">
        <f t="shared" si="13"/>
        <v>-88394.984210442359</v>
      </c>
      <c r="J113" s="297">
        <f t="shared" si="13"/>
        <v>-73662.486842035301</v>
      </c>
      <c r="K113" s="297">
        <f t="shared" si="13"/>
        <v>-61385.405701696087</v>
      </c>
      <c r="L113" s="297">
        <f t="shared" si="13"/>
        <v>-51154.504751413406</v>
      </c>
      <c r="M113" s="297">
        <f t="shared" si="13"/>
        <v>-42628.753959511174</v>
      </c>
      <c r="N113" s="297">
        <f t="shared" si="13"/>
        <v>-35523.961632925981</v>
      </c>
      <c r="O113" s="297">
        <f t="shared" si="13"/>
        <v>-29603.301360771649</v>
      </c>
      <c r="P113" s="297">
        <f t="shared" si="13"/>
        <v>-24669.417800643041</v>
      </c>
      <c r="Q113" s="297">
        <f t="shared" si="13"/>
        <v>-20557.848167202534</v>
      </c>
      <c r="R113" s="297">
        <f t="shared" si="13"/>
        <v>-17131.540139335448</v>
      </c>
      <c r="S113" s="297">
        <f t="shared" si="13"/>
        <v>-14276.283449446204</v>
      </c>
      <c r="T113" s="297">
        <f t="shared" si="13"/>
        <v>-11896.902874538506</v>
      </c>
      <c r="U113" s="297">
        <f t="shared" si="13"/>
        <v>-9914.0857287820872</v>
      </c>
      <c r="V113" s="297">
        <f t="shared" si="13"/>
        <v>-8261.738107318406</v>
      </c>
      <c r="W113" s="297">
        <f t="shared" si="13"/>
        <v>-6884.7817560986723</v>
      </c>
      <c r="X113" s="297">
        <f t="shared" si="13"/>
        <v>-5737.3181300822271</v>
      </c>
      <c r="Y113" s="297">
        <f t="shared" si="13"/>
        <v>-4781.0984417351892</v>
      </c>
      <c r="Z113" s="297">
        <f t="shared" si="13"/>
        <v>-3984.2487014459916</v>
      </c>
      <c r="AA113" s="297">
        <f t="shared" si="13"/>
        <v>-3320.2072512049931</v>
      </c>
      <c r="AB113" s="297">
        <f t="shared" si="13"/>
        <v>-2766.8393760041608</v>
      </c>
      <c r="AC113" s="297">
        <f t="shared" si="13"/>
        <v>0</v>
      </c>
      <c r="AD113" s="297">
        <f t="shared" si="13"/>
        <v>0</v>
      </c>
      <c r="AE113" s="297">
        <f t="shared" si="13"/>
        <v>0</v>
      </c>
      <c r="AF113" s="297">
        <f t="shared" si="13"/>
        <v>0</v>
      </c>
      <c r="AG113" s="297">
        <f t="shared" si="13"/>
        <v>0</v>
      </c>
      <c r="AH113" s="297">
        <f t="shared" si="13"/>
        <v>0</v>
      </c>
      <c r="AI113" s="297">
        <f t="shared" si="13"/>
        <v>0</v>
      </c>
      <c r="AJ113" s="297">
        <f t="shared" si="13"/>
        <v>0</v>
      </c>
      <c r="AK113" s="297">
        <f t="shared" si="13"/>
        <v>0</v>
      </c>
      <c r="AL113" s="297">
        <f t="shared" si="13"/>
        <v>0</v>
      </c>
      <c r="AM113" s="298">
        <f t="shared" si="13"/>
        <v>0</v>
      </c>
    </row>
    <row r="114" spans="1:39" s="331" customFormat="1" ht="12.95">
      <c r="B114" s="338"/>
      <c r="C114" s="339"/>
      <c r="D114" s="340"/>
      <c r="E114" s="340"/>
      <c r="F114" s="340"/>
      <c r="G114" s="340"/>
      <c r="H114" s="340"/>
      <c r="I114" s="340"/>
      <c r="J114" s="340"/>
      <c r="K114" s="340"/>
      <c r="L114" s="340"/>
      <c r="M114" s="340"/>
      <c r="N114" s="340"/>
      <c r="O114" s="340"/>
      <c r="P114" s="340"/>
      <c r="Q114" s="340"/>
      <c r="R114" s="340"/>
      <c r="S114" s="340"/>
      <c r="T114" s="340"/>
      <c r="U114" s="340"/>
      <c r="V114" s="340"/>
      <c r="W114" s="340"/>
      <c r="X114" s="340"/>
      <c r="Y114" s="340"/>
      <c r="Z114" s="340"/>
      <c r="AA114" s="340"/>
      <c r="AB114" s="340"/>
      <c r="AC114" s="340"/>
      <c r="AD114" s="340"/>
      <c r="AE114" s="340"/>
      <c r="AF114" s="340"/>
      <c r="AG114" s="340"/>
      <c r="AH114" s="340"/>
      <c r="AI114" s="340"/>
      <c r="AJ114" s="340"/>
      <c r="AK114" s="340"/>
      <c r="AL114" s="340"/>
      <c r="AM114" s="340"/>
    </row>
    <row r="116" spans="1:39" ht="12.95">
      <c r="B116" s="283" t="s">
        <v>445</v>
      </c>
      <c r="C116" s="312" t="s">
        <v>364</v>
      </c>
    </row>
    <row r="117" spans="1:39">
      <c r="B117" s="276" t="s">
        <v>496</v>
      </c>
      <c r="C117" s="315" t="s">
        <v>446</v>
      </c>
      <c r="D117" s="341">
        <f>D78*(0-$C$31)*$D$23</f>
        <v>-7095.32281001703</v>
      </c>
      <c r="E117" s="341">
        <f>E78*(0-$C$31)*$D$23</f>
        <v>-7095.32281001703</v>
      </c>
      <c r="F117" s="341">
        <f>F78*(0-$C$31)*$D$23</f>
        <v>-7095.32281001703</v>
      </c>
      <c r="G117" s="341">
        <f>G78*(0-$C$31)*$D$23</f>
        <v>-7095.32281001703</v>
      </c>
      <c r="H117" s="341">
        <f>H78*(0-$C$31)*$D$23</f>
        <v>-7095.32281001703</v>
      </c>
      <c r="I117" s="341">
        <f>I78*(0-$C$31)*$D$23</f>
        <v>-7095.32281001703</v>
      </c>
      <c r="J117" s="341">
        <f>J78*(0-$C$31)*$D$23</f>
        <v>-7095.32281001703</v>
      </c>
      <c r="K117" s="341">
        <f>K78*(0-$C$31)*$D$23</f>
        <v>-7095.32281001703</v>
      </c>
      <c r="L117" s="341">
        <f>L78*(0-$C$31)*$D$23</f>
        <v>-7095.32281001703</v>
      </c>
      <c r="M117" s="341">
        <f>M78*(0-$C$31)*$D$23</f>
        <v>-7095.32281001703</v>
      </c>
      <c r="N117" s="341">
        <f>N78*(0-$C$31)*$D$23</f>
        <v>-7095.32281001703</v>
      </c>
      <c r="O117" s="341">
        <f>O78*(0-$C$31)*$D$23</f>
        <v>-7095.32281001703</v>
      </c>
      <c r="P117" s="341">
        <f>P78*(0-$C$31)*$D$23</f>
        <v>-7095.32281001703</v>
      </c>
      <c r="Q117" s="341">
        <f>Q78*(0-$C$31)*$D$23</f>
        <v>-7095.32281001703</v>
      </c>
      <c r="R117" s="341">
        <f>R78*(0-$C$31)*$D$23</f>
        <v>-7095.32281001703</v>
      </c>
      <c r="S117" s="341">
        <f>S78*(0-$C$31)*$D$23</f>
        <v>-7095.32281001703</v>
      </c>
      <c r="T117" s="341">
        <f>T78*(0-$C$31)*$D$23</f>
        <v>-7095.32281001703</v>
      </c>
      <c r="U117" s="341">
        <f>U78*(0-$C$31)*$D$23</f>
        <v>-7095.32281001703</v>
      </c>
      <c r="V117" s="341">
        <f>V78*(0-$C$31)*$D$23</f>
        <v>-7095.32281001703</v>
      </c>
      <c r="W117" s="341">
        <f>W78*(0-$C$31)*$D$23</f>
        <v>-7095.32281001703</v>
      </c>
      <c r="X117" s="341">
        <f>X78*(0-$C$31)*$D$23</f>
        <v>-7095.32281001703</v>
      </c>
      <c r="Y117" s="341">
        <f>Y78*(0-$C$31)*$D$23</f>
        <v>-7095.32281001703</v>
      </c>
      <c r="Z117" s="341">
        <f>Z78*(0-$C$31)*$D$23</f>
        <v>-7095.32281001703</v>
      </c>
      <c r="AA117" s="341">
        <f>AA78*(0-$C$31)*$D$23</f>
        <v>-7095.32281001703</v>
      </c>
      <c r="AB117" s="341">
        <f>AB78*(0-$C$31)*$D$23</f>
        <v>-7095.32281001703</v>
      </c>
      <c r="AC117" s="341"/>
      <c r="AD117" s="341"/>
      <c r="AE117" s="342">
        <f>AE78*(0-$D$22)/$C$30</f>
        <v>0</v>
      </c>
      <c r="AF117" s="342">
        <f>AF78*(0-$D$22)/$C$30</f>
        <v>0</v>
      </c>
      <c r="AG117" s="342">
        <f>AG78*(0-$D$22)/$C$30</f>
        <v>0</v>
      </c>
      <c r="AH117" s="342">
        <f>AH78*(0-$D$22)/$C$30</f>
        <v>0</v>
      </c>
      <c r="AI117" s="342">
        <f>AI78*(0-$D$22)/$C$30</f>
        <v>0</v>
      </c>
      <c r="AJ117" s="342">
        <f>AJ78*(0-$D$22)/$C$30</f>
        <v>0</v>
      </c>
      <c r="AK117" s="342">
        <f>AK78*(0-$D$22)/$C$30</f>
        <v>0</v>
      </c>
      <c r="AL117" s="342">
        <f>AL78*(0-$D$22)/$C$30</f>
        <v>0</v>
      </c>
      <c r="AM117" s="343">
        <f>AM78*(0-$D$22)/$C$30</f>
        <v>0</v>
      </c>
    </row>
    <row r="118" spans="1:39">
      <c r="B118" s="276" t="s">
        <v>497</v>
      </c>
      <c r="C118" s="259" t="s">
        <v>373</v>
      </c>
      <c r="D118" s="344">
        <f>SUM(D117:AB117)</f>
        <v>-177383.07025042575</v>
      </c>
    </row>
    <row r="119" spans="1:39">
      <c r="D119" s="345"/>
    </row>
    <row r="120" spans="1:39">
      <c r="D120" s="345"/>
    </row>
    <row r="121" spans="1:39" ht="12.95">
      <c r="B121" s="346" t="s">
        <v>447</v>
      </c>
      <c r="C121" s="312" t="s">
        <v>364</v>
      </c>
      <c r="D121" s="345"/>
    </row>
    <row r="122" spans="1:39">
      <c r="B122" s="294" t="s">
        <v>448</v>
      </c>
      <c r="C122" s="295" t="s">
        <v>417</v>
      </c>
      <c r="D122" s="347">
        <f>D78*($D$17-$D$60)</f>
        <v>957489.69306032197</v>
      </c>
      <c r="E122" s="348">
        <f>E78*($D$17-$D$60)</f>
        <v>957489.69306032197</v>
      </c>
      <c r="F122" s="348">
        <f>F78*($D$17-$D$60)</f>
        <v>957489.69306032197</v>
      </c>
      <c r="G122" s="348">
        <f>G78*($D$17-$D$60)</f>
        <v>957489.69306032197</v>
      </c>
      <c r="H122" s="348">
        <f>H78*($D$17-$D$60)</f>
        <v>957489.69306032197</v>
      </c>
      <c r="I122" s="348">
        <f>I78*($D$17-$D$60)</f>
        <v>957489.69306032197</v>
      </c>
      <c r="J122" s="348">
        <f>J78*($D$17-$D$60)</f>
        <v>957489.69306032197</v>
      </c>
      <c r="K122" s="348">
        <f>K78*($D$17-$D$60)</f>
        <v>957489.69306032197</v>
      </c>
      <c r="L122" s="348">
        <f>L78*($D$17-$D$60)</f>
        <v>957489.69306032197</v>
      </c>
      <c r="M122" s="348">
        <f>M78*($D$17-$D$60)</f>
        <v>957489.69306032197</v>
      </c>
      <c r="N122" s="348">
        <f>N78*($D$17-$D$60)</f>
        <v>957489.69306032197</v>
      </c>
      <c r="O122" s="348">
        <f>O78*($D$17-$D$60)</f>
        <v>957489.69306032197</v>
      </c>
      <c r="P122" s="348">
        <f>P78*($D$17-$D$60)</f>
        <v>957489.69306032197</v>
      </c>
      <c r="Q122" s="348">
        <f>Q78*($D$17-$D$60)</f>
        <v>957489.69306032197</v>
      </c>
      <c r="R122" s="348">
        <f>R78*($D$17-$D$60)</f>
        <v>957489.69306032197</v>
      </c>
      <c r="S122" s="348">
        <f>S78*($D$17-$D$60)</f>
        <v>957489.69306032197</v>
      </c>
      <c r="T122" s="348">
        <f>T78*($D$17-$D$60)</f>
        <v>957489.69306032197</v>
      </c>
      <c r="U122" s="348">
        <f>U78*($D$17-$D$60)</f>
        <v>957489.69306032197</v>
      </c>
      <c r="V122" s="348">
        <f>V78*($D$17-$D$60)</f>
        <v>957489.69306032197</v>
      </c>
      <c r="W122" s="348">
        <f>W78*($D$17-$D$60)</f>
        <v>957489.69306032197</v>
      </c>
      <c r="X122" s="348">
        <f>X78*($D$17-$D$60)</f>
        <v>957489.69306032197</v>
      </c>
      <c r="Y122" s="348">
        <f>Y78*($D$17-$D$60)</f>
        <v>957489.69306032197</v>
      </c>
      <c r="Z122" s="348">
        <f>Z78*($D$17-$D$60)</f>
        <v>957489.69306032197</v>
      </c>
      <c r="AA122" s="348">
        <f>AA78*($D$17-$D$60)</f>
        <v>957489.69306032197</v>
      </c>
      <c r="AB122" s="348">
        <f>AB78*($D$17-$D$60)</f>
        <v>957489.69306032197</v>
      </c>
      <c r="AC122" s="348">
        <f>AC78*($D$17-$D$60)</f>
        <v>0</v>
      </c>
      <c r="AD122" s="348">
        <f>AD78*($D$17-$D$60)</f>
        <v>0</v>
      </c>
      <c r="AE122" s="348">
        <f>AE78*($D$17-$D$60)</f>
        <v>0</v>
      </c>
      <c r="AF122" s="348">
        <f>AF78*($D$17-$D$60)</f>
        <v>0</v>
      </c>
      <c r="AG122" s="348">
        <f>AG78*($D$17-$D$60)</f>
        <v>0</v>
      </c>
      <c r="AH122" s="348">
        <f>AH78*($D$17-$D$60)</f>
        <v>0</v>
      </c>
      <c r="AI122" s="348">
        <f>AI78*($D$17-$D$60)</f>
        <v>0</v>
      </c>
      <c r="AJ122" s="348">
        <f>AJ78*($D$17-$D$60)</f>
        <v>0</v>
      </c>
      <c r="AK122" s="348">
        <f>AK78*($D$17-$D$60)</f>
        <v>0</v>
      </c>
      <c r="AL122" s="348">
        <f>AL78*($D$17-$D$60)</f>
        <v>0</v>
      </c>
      <c r="AM122" s="349">
        <f>AM78*($D$17-$D$60)</f>
        <v>0</v>
      </c>
    </row>
    <row r="123" spans="1:39" s="281" customFormat="1" ht="12.95">
      <c r="A123" s="215"/>
      <c r="B123" s="350" t="s">
        <v>449</v>
      </c>
      <c r="C123" s="312" t="s">
        <v>331</v>
      </c>
      <c r="D123" s="351">
        <f>SUM(D122:AM122)</f>
        <v>23937242.32650806</v>
      </c>
      <c r="E123" s="352"/>
      <c r="F123" s="352"/>
      <c r="G123" s="352"/>
      <c r="H123" s="352"/>
      <c r="I123" s="352"/>
      <c r="J123" s="352"/>
      <c r="K123" s="352"/>
      <c r="L123" s="352"/>
      <c r="M123" s="352"/>
      <c r="N123" s="352"/>
      <c r="O123" s="352"/>
      <c r="P123" s="352"/>
      <c r="Q123" s="352"/>
      <c r="R123" s="352"/>
      <c r="S123" s="352"/>
      <c r="T123" s="352"/>
      <c r="U123" s="352"/>
      <c r="V123" s="352"/>
      <c r="W123" s="352"/>
      <c r="X123" s="352"/>
      <c r="Y123" s="352"/>
      <c r="Z123" s="352"/>
      <c r="AA123" s="352"/>
      <c r="AB123" s="352"/>
      <c r="AC123" s="352"/>
      <c r="AD123" s="352"/>
      <c r="AE123" s="352"/>
      <c r="AF123" s="352"/>
      <c r="AG123" s="352"/>
      <c r="AH123" s="352"/>
      <c r="AI123" s="352"/>
      <c r="AJ123" s="352"/>
      <c r="AK123" s="352"/>
      <c r="AL123" s="352"/>
      <c r="AM123" s="352"/>
    </row>
    <row r="124" spans="1:39" s="281" customFormat="1">
      <c r="A124" s="215"/>
      <c r="B124" s="345"/>
      <c r="C124" s="345"/>
      <c r="D124" s="345"/>
      <c r="E124" s="352"/>
      <c r="F124" s="352"/>
      <c r="G124" s="352"/>
      <c r="H124" s="352"/>
      <c r="I124" s="352"/>
      <c r="J124" s="352"/>
      <c r="K124" s="352"/>
      <c r="L124" s="352"/>
      <c r="M124" s="352"/>
      <c r="N124" s="352"/>
      <c r="O124" s="352"/>
      <c r="P124" s="352"/>
      <c r="Q124" s="352"/>
      <c r="R124" s="352"/>
      <c r="S124" s="352"/>
      <c r="T124" s="352"/>
      <c r="U124" s="352"/>
      <c r="V124" s="352"/>
      <c r="W124" s="352"/>
      <c r="X124" s="352"/>
      <c r="Y124" s="352"/>
      <c r="Z124" s="352"/>
      <c r="AA124" s="352"/>
      <c r="AB124" s="352"/>
      <c r="AC124" s="352"/>
      <c r="AD124" s="352"/>
      <c r="AE124" s="352"/>
      <c r="AF124" s="352"/>
      <c r="AG124" s="352"/>
      <c r="AH124" s="352"/>
      <c r="AI124" s="352"/>
      <c r="AJ124" s="352"/>
      <c r="AK124" s="352"/>
      <c r="AL124" s="352"/>
      <c r="AM124" s="352"/>
    </row>
    <row r="125" spans="1:39" ht="12.95">
      <c r="B125" s="346" t="s">
        <v>450</v>
      </c>
      <c r="C125" s="345"/>
      <c r="D125" s="345"/>
    </row>
    <row r="126" spans="1:39" s="281" customFormat="1" ht="12.95">
      <c r="A126" s="215"/>
      <c r="B126" s="353" t="s">
        <v>451</v>
      </c>
      <c r="C126" s="312" t="s">
        <v>364</v>
      </c>
      <c r="D126" s="345"/>
      <c r="E126" s="352"/>
      <c r="F126" s="352"/>
      <c r="G126" s="352"/>
      <c r="H126" s="352"/>
      <c r="I126" s="352"/>
      <c r="J126" s="352"/>
      <c r="K126" s="352"/>
      <c r="L126" s="352"/>
      <c r="M126" s="352"/>
      <c r="N126" s="352"/>
      <c r="O126" s="352"/>
      <c r="P126" s="352"/>
      <c r="Q126" s="352"/>
      <c r="R126" s="352"/>
      <c r="S126" s="352"/>
      <c r="T126" s="352"/>
      <c r="U126" s="352"/>
      <c r="V126" s="352"/>
      <c r="W126" s="352"/>
      <c r="X126" s="352"/>
      <c r="Y126" s="352"/>
      <c r="Z126" s="352"/>
      <c r="AA126" s="352"/>
      <c r="AB126" s="352"/>
      <c r="AC126" s="352"/>
      <c r="AD126" s="352"/>
      <c r="AE126" s="352"/>
      <c r="AF126" s="352"/>
      <c r="AG126" s="352"/>
      <c r="AH126" s="352"/>
      <c r="AI126" s="352"/>
      <c r="AJ126" s="352"/>
      <c r="AK126" s="352"/>
      <c r="AL126" s="352"/>
      <c r="AM126" s="352"/>
    </row>
    <row r="127" spans="1:39">
      <c r="B127" s="354" t="s">
        <v>452</v>
      </c>
      <c r="C127" s="355" t="s">
        <v>453</v>
      </c>
      <c r="D127" s="356">
        <v>31</v>
      </c>
    </row>
    <row r="128" spans="1:39">
      <c r="B128" s="286" t="s">
        <v>79</v>
      </c>
      <c r="C128" s="292" t="s">
        <v>417</v>
      </c>
      <c r="D128" s="347">
        <f>$D$127*D117</f>
        <v>-219955.00711052792</v>
      </c>
      <c r="E128" s="348">
        <f t="shared" ref="E128:AM128" si="14">$D$127*E117</f>
        <v>-219955.00711052792</v>
      </c>
      <c r="F128" s="348">
        <f t="shared" si="14"/>
        <v>-219955.00711052792</v>
      </c>
      <c r="G128" s="348">
        <f t="shared" si="14"/>
        <v>-219955.00711052792</v>
      </c>
      <c r="H128" s="348">
        <f t="shared" si="14"/>
        <v>-219955.00711052792</v>
      </c>
      <c r="I128" s="348">
        <f t="shared" si="14"/>
        <v>-219955.00711052792</v>
      </c>
      <c r="J128" s="348">
        <f t="shared" si="14"/>
        <v>-219955.00711052792</v>
      </c>
      <c r="K128" s="348">
        <f t="shared" si="14"/>
        <v>-219955.00711052792</v>
      </c>
      <c r="L128" s="348">
        <f t="shared" si="14"/>
        <v>-219955.00711052792</v>
      </c>
      <c r="M128" s="348">
        <f t="shared" si="14"/>
        <v>-219955.00711052792</v>
      </c>
      <c r="N128" s="348">
        <f t="shared" si="14"/>
        <v>-219955.00711052792</v>
      </c>
      <c r="O128" s="348">
        <f t="shared" si="14"/>
        <v>-219955.00711052792</v>
      </c>
      <c r="P128" s="348">
        <f t="shared" si="14"/>
        <v>-219955.00711052792</v>
      </c>
      <c r="Q128" s="348">
        <f t="shared" si="14"/>
        <v>-219955.00711052792</v>
      </c>
      <c r="R128" s="348">
        <f t="shared" si="14"/>
        <v>-219955.00711052792</v>
      </c>
      <c r="S128" s="348">
        <f t="shared" si="14"/>
        <v>-219955.00711052792</v>
      </c>
      <c r="T128" s="348">
        <f t="shared" si="14"/>
        <v>-219955.00711052792</v>
      </c>
      <c r="U128" s="348">
        <f t="shared" si="14"/>
        <v>-219955.00711052792</v>
      </c>
      <c r="V128" s="348">
        <f t="shared" si="14"/>
        <v>-219955.00711052792</v>
      </c>
      <c r="W128" s="348">
        <f t="shared" si="14"/>
        <v>-219955.00711052792</v>
      </c>
      <c r="X128" s="348">
        <f t="shared" si="14"/>
        <v>-219955.00711052792</v>
      </c>
      <c r="Y128" s="348">
        <f t="shared" si="14"/>
        <v>-219955.00711052792</v>
      </c>
      <c r="Z128" s="348">
        <f t="shared" si="14"/>
        <v>-219955.00711052792</v>
      </c>
      <c r="AA128" s="348">
        <f t="shared" si="14"/>
        <v>-219955.00711052792</v>
      </c>
      <c r="AB128" s="348">
        <f t="shared" si="14"/>
        <v>-219955.00711052792</v>
      </c>
      <c r="AC128" s="348">
        <f t="shared" si="14"/>
        <v>0</v>
      </c>
      <c r="AD128" s="348">
        <f t="shared" si="14"/>
        <v>0</v>
      </c>
      <c r="AE128" s="348">
        <f t="shared" si="14"/>
        <v>0</v>
      </c>
      <c r="AF128" s="348">
        <f t="shared" si="14"/>
        <v>0</v>
      </c>
      <c r="AG128" s="348">
        <f t="shared" si="14"/>
        <v>0</v>
      </c>
      <c r="AH128" s="348">
        <f t="shared" si="14"/>
        <v>0</v>
      </c>
      <c r="AI128" s="348">
        <f t="shared" si="14"/>
        <v>0</v>
      </c>
      <c r="AJ128" s="348">
        <f t="shared" si="14"/>
        <v>0</v>
      </c>
      <c r="AK128" s="348">
        <f t="shared" si="14"/>
        <v>0</v>
      </c>
      <c r="AL128" s="348">
        <f t="shared" si="14"/>
        <v>0</v>
      </c>
      <c r="AM128" s="349">
        <f t="shared" si="14"/>
        <v>0</v>
      </c>
    </row>
    <row r="129" spans="2:39" ht="12.95">
      <c r="B129" s="350" t="s">
        <v>454</v>
      </c>
      <c r="C129" s="312" t="s">
        <v>331</v>
      </c>
      <c r="D129" s="309">
        <f>SUM(D128:AM128)</f>
        <v>-5498875.1777631948</v>
      </c>
    </row>
    <row r="130" spans="2:39">
      <c r="B130" s="286" t="s">
        <v>455</v>
      </c>
      <c r="C130" s="292" t="s">
        <v>417</v>
      </c>
      <c r="D130" s="347">
        <f>(0-$D$22)*D78*$D$127/$C$30</f>
        <v>-434533.99590361456</v>
      </c>
      <c r="E130" s="348">
        <f>(0-$D$22)*E78*$D$127/$C$30</f>
        <v>-434533.99590361456</v>
      </c>
      <c r="F130" s="348">
        <f>(0-$D$22)*F78*$D$127/$C$30</f>
        <v>-434533.99590361456</v>
      </c>
      <c r="G130" s="348">
        <f>(0-$D$22)*G78*$D$127/$C$30</f>
        <v>-434533.99590361456</v>
      </c>
      <c r="H130" s="348">
        <f>(0-$D$22)*H78*$D$127/$C$30</f>
        <v>-434533.99590361456</v>
      </c>
      <c r="I130" s="348">
        <f>(0-$D$22)*I78*$D$127/$C$30</f>
        <v>-434533.99590361456</v>
      </c>
      <c r="J130" s="348">
        <f>(0-$D$22)*J78*$D$127/$C$30</f>
        <v>-434533.99590361456</v>
      </c>
      <c r="K130" s="348">
        <f>(0-$D$22)*K78*$D$127/$C$30</f>
        <v>-434533.99590361456</v>
      </c>
      <c r="L130" s="348">
        <f>(0-$D$22)*L78*$D$127/$C$30</f>
        <v>-434533.99590361456</v>
      </c>
      <c r="M130" s="348">
        <f>(0-$D$22)*M78*$D$127/$C$30</f>
        <v>-434533.99590361456</v>
      </c>
      <c r="N130" s="348">
        <f>(0-$D$22)*N78*$D$127/$C$30</f>
        <v>-434533.99590361456</v>
      </c>
      <c r="O130" s="348">
        <f>(0-$D$22)*O78*$D$127/$C$30</f>
        <v>-434533.99590361456</v>
      </c>
      <c r="P130" s="348">
        <f>(0-$D$22)*P78*$D$127/$C$30</f>
        <v>-434533.99590361456</v>
      </c>
      <c r="Q130" s="348">
        <f>(0-$D$22)*Q78*$D$127/$C$30</f>
        <v>-434533.99590361456</v>
      </c>
      <c r="R130" s="348">
        <f>(0-$D$22)*R78*$D$127/$C$30</f>
        <v>-434533.99590361456</v>
      </c>
      <c r="S130" s="348">
        <f>(0-$D$22)*S78*$D$127/$C$30</f>
        <v>-434533.99590361456</v>
      </c>
      <c r="T130" s="348">
        <f>(0-$D$22)*T78*$D$127/$C$30</f>
        <v>-434533.99590361456</v>
      </c>
      <c r="U130" s="348">
        <f>(0-$D$22)*U78*$D$127/$C$30</f>
        <v>-434533.99590361456</v>
      </c>
      <c r="V130" s="348">
        <f>(0-$D$22)*V78*$D$127/$C$30</f>
        <v>-434533.99590361456</v>
      </c>
      <c r="W130" s="348">
        <f>(0-$D$22)*W78*$D$127/$C$30</f>
        <v>-434533.99590361456</v>
      </c>
      <c r="X130" s="348">
        <f>(0-$D$22)*X78*$D$127/$C$30</f>
        <v>-434533.99590361456</v>
      </c>
      <c r="Y130" s="348">
        <f>(0-$D$22)*Y78*$D$127/$C$30</f>
        <v>-434533.99590361456</v>
      </c>
      <c r="Z130" s="348">
        <f>(0-$D$22)*Z78*$D$127/$C$30</f>
        <v>-434533.99590361456</v>
      </c>
      <c r="AA130" s="348">
        <f>(0-$D$22)*AA78*$D$127/$C$30</f>
        <v>-434533.99590361456</v>
      </c>
      <c r="AB130" s="348">
        <f>(0-$D$22)*AB78*$D$127/$C$30</f>
        <v>-434533.99590361456</v>
      </c>
      <c r="AC130" s="348">
        <f>(0-$D$22)*AC78*$D$127/$C$30</f>
        <v>0</v>
      </c>
      <c r="AD130" s="348">
        <f>(0-$D$22)*AD78*$D$127/$C$30</f>
        <v>0</v>
      </c>
      <c r="AE130" s="348">
        <f>(0-$D$22)*AE78*$D$127/$C$30</f>
        <v>0</v>
      </c>
      <c r="AF130" s="348">
        <f>(0-$D$22)*AF78*$D$127/$C$30</f>
        <v>0</v>
      </c>
      <c r="AG130" s="348">
        <f>(0-$D$22)*AG78*$D$127/$C$30</f>
        <v>0</v>
      </c>
      <c r="AH130" s="348">
        <f>(0-$D$22)*AH78*$D$127/$C$30</f>
        <v>0</v>
      </c>
      <c r="AI130" s="348">
        <f>(0-$D$22)*AI78*$D$127/$C$30</f>
        <v>0</v>
      </c>
      <c r="AJ130" s="348">
        <f>(0-$D$22)*AJ78*$D$127/$C$30</f>
        <v>0</v>
      </c>
      <c r="AK130" s="348">
        <f>(0-$D$22)*AK78*$D$127/$C$30</f>
        <v>0</v>
      </c>
      <c r="AL130" s="348">
        <f>(0-$D$22)*AL78*$D$127/$C$30</f>
        <v>0</v>
      </c>
      <c r="AM130" s="349">
        <f>(0-$D$22)*AM78*$D$127/$C$30</f>
        <v>0</v>
      </c>
    </row>
    <row r="131" spans="2:39" ht="12.95">
      <c r="B131" s="350" t="s">
        <v>456</v>
      </c>
      <c r="C131" s="312" t="s">
        <v>331</v>
      </c>
      <c r="D131" s="309">
        <f>SUM(D130:AM130)</f>
        <v>-10863349.897590369</v>
      </c>
    </row>
    <row r="133" spans="2:39" ht="12.95">
      <c r="B133" s="357" t="s">
        <v>457</v>
      </c>
      <c r="C133" s="284" t="s">
        <v>364</v>
      </c>
    </row>
    <row r="134" spans="2:39">
      <c r="B134" s="286" t="str">
        <f>B122</f>
        <v>Avoided electricity cost (grid)</v>
      </c>
      <c r="C134" s="358" t="s">
        <v>417</v>
      </c>
      <c r="D134" s="289">
        <f t="shared" ref="D134:AM134" si="15">D122</f>
        <v>957489.69306032197</v>
      </c>
      <c r="E134" s="289">
        <f t="shared" si="15"/>
        <v>957489.69306032197</v>
      </c>
      <c r="F134" s="289">
        <f t="shared" si="15"/>
        <v>957489.69306032197</v>
      </c>
      <c r="G134" s="289">
        <f t="shared" si="15"/>
        <v>957489.69306032197</v>
      </c>
      <c r="H134" s="289">
        <f t="shared" si="15"/>
        <v>957489.69306032197</v>
      </c>
      <c r="I134" s="289">
        <f t="shared" si="15"/>
        <v>957489.69306032197</v>
      </c>
      <c r="J134" s="289">
        <f t="shared" si="15"/>
        <v>957489.69306032197</v>
      </c>
      <c r="K134" s="289">
        <f t="shared" si="15"/>
        <v>957489.69306032197</v>
      </c>
      <c r="L134" s="289">
        <f t="shared" si="15"/>
        <v>957489.69306032197</v>
      </c>
      <c r="M134" s="289">
        <f t="shared" si="15"/>
        <v>957489.69306032197</v>
      </c>
      <c r="N134" s="289">
        <f t="shared" si="15"/>
        <v>957489.69306032197</v>
      </c>
      <c r="O134" s="289">
        <f t="shared" si="15"/>
        <v>957489.69306032197</v>
      </c>
      <c r="P134" s="289">
        <f t="shared" si="15"/>
        <v>957489.69306032197</v>
      </c>
      <c r="Q134" s="289">
        <f t="shared" si="15"/>
        <v>957489.69306032197</v>
      </c>
      <c r="R134" s="289">
        <f t="shared" si="15"/>
        <v>957489.69306032197</v>
      </c>
      <c r="S134" s="289">
        <f t="shared" si="15"/>
        <v>957489.69306032197</v>
      </c>
      <c r="T134" s="289">
        <f t="shared" si="15"/>
        <v>957489.69306032197</v>
      </c>
      <c r="U134" s="289">
        <f t="shared" si="15"/>
        <v>957489.69306032197</v>
      </c>
      <c r="V134" s="289">
        <f t="shared" si="15"/>
        <v>957489.69306032197</v>
      </c>
      <c r="W134" s="289">
        <f t="shared" si="15"/>
        <v>957489.69306032197</v>
      </c>
      <c r="X134" s="289">
        <f t="shared" si="15"/>
        <v>957489.69306032197</v>
      </c>
      <c r="Y134" s="289">
        <f t="shared" si="15"/>
        <v>957489.69306032197</v>
      </c>
      <c r="Z134" s="289">
        <f t="shared" si="15"/>
        <v>957489.69306032197</v>
      </c>
      <c r="AA134" s="289">
        <f t="shared" si="15"/>
        <v>957489.69306032197</v>
      </c>
      <c r="AB134" s="289">
        <f t="shared" si="15"/>
        <v>957489.69306032197</v>
      </c>
      <c r="AC134" s="289">
        <f t="shared" si="15"/>
        <v>0</v>
      </c>
      <c r="AD134" s="289">
        <f t="shared" si="15"/>
        <v>0</v>
      </c>
      <c r="AE134" s="289">
        <f t="shared" si="15"/>
        <v>0</v>
      </c>
      <c r="AF134" s="289">
        <f t="shared" si="15"/>
        <v>0</v>
      </c>
      <c r="AG134" s="289">
        <f t="shared" si="15"/>
        <v>0</v>
      </c>
      <c r="AH134" s="289">
        <f t="shared" si="15"/>
        <v>0</v>
      </c>
      <c r="AI134" s="289">
        <f t="shared" si="15"/>
        <v>0</v>
      </c>
      <c r="AJ134" s="289">
        <f t="shared" si="15"/>
        <v>0</v>
      </c>
      <c r="AK134" s="289">
        <f t="shared" si="15"/>
        <v>0</v>
      </c>
      <c r="AL134" s="289">
        <f t="shared" si="15"/>
        <v>0</v>
      </c>
      <c r="AM134" s="290">
        <f t="shared" si="15"/>
        <v>0</v>
      </c>
    </row>
    <row r="135" spans="2:39">
      <c r="B135" s="294" t="str">
        <f>B128</f>
        <v>Avoided annual social cost of carbon</v>
      </c>
      <c r="C135" s="332" t="s">
        <v>417</v>
      </c>
      <c r="D135" s="255">
        <f t="shared" ref="D135:AM135" si="16">D128</f>
        <v>-219955.00711052792</v>
      </c>
      <c r="E135" s="255">
        <f t="shared" si="16"/>
        <v>-219955.00711052792</v>
      </c>
      <c r="F135" s="255">
        <f t="shared" si="16"/>
        <v>-219955.00711052792</v>
      </c>
      <c r="G135" s="255">
        <f t="shared" si="16"/>
        <v>-219955.00711052792</v>
      </c>
      <c r="H135" s="255">
        <f t="shared" si="16"/>
        <v>-219955.00711052792</v>
      </c>
      <c r="I135" s="255">
        <f t="shared" si="16"/>
        <v>-219955.00711052792</v>
      </c>
      <c r="J135" s="255">
        <f t="shared" si="16"/>
        <v>-219955.00711052792</v>
      </c>
      <c r="K135" s="255">
        <f t="shared" si="16"/>
        <v>-219955.00711052792</v>
      </c>
      <c r="L135" s="255">
        <f t="shared" si="16"/>
        <v>-219955.00711052792</v>
      </c>
      <c r="M135" s="255">
        <f t="shared" si="16"/>
        <v>-219955.00711052792</v>
      </c>
      <c r="N135" s="255">
        <f t="shared" si="16"/>
        <v>-219955.00711052792</v>
      </c>
      <c r="O135" s="255">
        <f t="shared" si="16"/>
        <v>-219955.00711052792</v>
      </c>
      <c r="P135" s="255">
        <f t="shared" si="16"/>
        <v>-219955.00711052792</v>
      </c>
      <c r="Q135" s="255">
        <f t="shared" si="16"/>
        <v>-219955.00711052792</v>
      </c>
      <c r="R135" s="255">
        <f t="shared" si="16"/>
        <v>-219955.00711052792</v>
      </c>
      <c r="S135" s="255">
        <f t="shared" si="16"/>
        <v>-219955.00711052792</v>
      </c>
      <c r="T135" s="255">
        <f t="shared" si="16"/>
        <v>-219955.00711052792</v>
      </c>
      <c r="U135" s="255">
        <f t="shared" si="16"/>
        <v>-219955.00711052792</v>
      </c>
      <c r="V135" s="255">
        <f t="shared" si="16"/>
        <v>-219955.00711052792</v>
      </c>
      <c r="W135" s="255">
        <f t="shared" si="16"/>
        <v>-219955.00711052792</v>
      </c>
      <c r="X135" s="255">
        <f t="shared" si="16"/>
        <v>-219955.00711052792</v>
      </c>
      <c r="Y135" s="255">
        <f t="shared" si="16"/>
        <v>-219955.00711052792</v>
      </c>
      <c r="Z135" s="255">
        <f t="shared" si="16"/>
        <v>-219955.00711052792</v>
      </c>
      <c r="AA135" s="255">
        <f t="shared" si="16"/>
        <v>-219955.00711052792</v>
      </c>
      <c r="AB135" s="255">
        <f t="shared" si="16"/>
        <v>-219955.00711052792</v>
      </c>
      <c r="AC135" s="255">
        <f t="shared" si="16"/>
        <v>0</v>
      </c>
      <c r="AD135" s="255">
        <f t="shared" si="16"/>
        <v>0</v>
      </c>
      <c r="AE135" s="255">
        <f t="shared" si="16"/>
        <v>0</v>
      </c>
      <c r="AF135" s="255">
        <f t="shared" si="16"/>
        <v>0</v>
      </c>
      <c r="AG135" s="255">
        <f t="shared" si="16"/>
        <v>0</v>
      </c>
      <c r="AH135" s="255">
        <f t="shared" si="16"/>
        <v>0</v>
      </c>
      <c r="AI135" s="255">
        <f t="shared" si="16"/>
        <v>0</v>
      </c>
      <c r="AJ135" s="255">
        <f t="shared" si="16"/>
        <v>0</v>
      </c>
      <c r="AK135" s="255">
        <f t="shared" si="16"/>
        <v>0</v>
      </c>
      <c r="AL135" s="255">
        <f t="shared" si="16"/>
        <v>0</v>
      </c>
      <c r="AM135" s="293">
        <f t="shared" si="16"/>
        <v>0</v>
      </c>
    </row>
    <row r="136" spans="2:39" ht="12.95">
      <c r="B136" s="359" t="s">
        <v>458</v>
      </c>
      <c r="C136" s="324" t="s">
        <v>417</v>
      </c>
      <c r="D136" s="321">
        <f>D134+D135</f>
        <v>737534.68594979402</v>
      </c>
      <c r="E136" s="321">
        <f t="shared" ref="E136:AM136" si="17">E134+E135</f>
        <v>737534.68594979402</v>
      </c>
      <c r="F136" s="321">
        <f t="shared" si="17"/>
        <v>737534.68594979402</v>
      </c>
      <c r="G136" s="321">
        <f t="shared" si="17"/>
        <v>737534.68594979402</v>
      </c>
      <c r="H136" s="321">
        <f t="shared" si="17"/>
        <v>737534.68594979402</v>
      </c>
      <c r="I136" s="321">
        <f t="shared" si="17"/>
        <v>737534.68594979402</v>
      </c>
      <c r="J136" s="321">
        <f t="shared" si="17"/>
        <v>737534.68594979402</v>
      </c>
      <c r="K136" s="321">
        <f t="shared" si="17"/>
        <v>737534.68594979402</v>
      </c>
      <c r="L136" s="321">
        <f t="shared" si="17"/>
        <v>737534.68594979402</v>
      </c>
      <c r="M136" s="321">
        <f t="shared" si="17"/>
        <v>737534.68594979402</v>
      </c>
      <c r="N136" s="321">
        <f t="shared" si="17"/>
        <v>737534.68594979402</v>
      </c>
      <c r="O136" s="321">
        <f t="shared" si="17"/>
        <v>737534.68594979402</v>
      </c>
      <c r="P136" s="321">
        <f t="shared" si="17"/>
        <v>737534.68594979402</v>
      </c>
      <c r="Q136" s="321">
        <f t="shared" si="17"/>
        <v>737534.68594979402</v>
      </c>
      <c r="R136" s="321">
        <f t="shared" si="17"/>
        <v>737534.68594979402</v>
      </c>
      <c r="S136" s="321">
        <f t="shared" si="17"/>
        <v>737534.68594979402</v>
      </c>
      <c r="T136" s="321">
        <f t="shared" si="17"/>
        <v>737534.68594979402</v>
      </c>
      <c r="U136" s="321">
        <f t="shared" si="17"/>
        <v>737534.68594979402</v>
      </c>
      <c r="V136" s="321">
        <f t="shared" si="17"/>
        <v>737534.68594979402</v>
      </c>
      <c r="W136" s="321">
        <f t="shared" si="17"/>
        <v>737534.68594979402</v>
      </c>
      <c r="X136" s="321">
        <f t="shared" si="17"/>
        <v>737534.68594979402</v>
      </c>
      <c r="Y136" s="321">
        <f t="shared" si="17"/>
        <v>737534.68594979402</v>
      </c>
      <c r="Z136" s="321">
        <f t="shared" si="17"/>
        <v>737534.68594979402</v>
      </c>
      <c r="AA136" s="321">
        <f t="shared" si="17"/>
        <v>737534.68594979402</v>
      </c>
      <c r="AB136" s="321">
        <f t="shared" si="17"/>
        <v>737534.68594979402</v>
      </c>
      <c r="AC136" s="321">
        <f t="shared" si="17"/>
        <v>0</v>
      </c>
      <c r="AD136" s="321">
        <f t="shared" si="17"/>
        <v>0</v>
      </c>
      <c r="AE136" s="321">
        <f t="shared" si="17"/>
        <v>0</v>
      </c>
      <c r="AF136" s="321">
        <f t="shared" si="17"/>
        <v>0</v>
      </c>
      <c r="AG136" s="321">
        <f t="shared" si="17"/>
        <v>0</v>
      </c>
      <c r="AH136" s="321">
        <f t="shared" si="17"/>
        <v>0</v>
      </c>
      <c r="AI136" s="321">
        <f t="shared" si="17"/>
        <v>0</v>
      </c>
      <c r="AJ136" s="321">
        <f t="shared" si="17"/>
        <v>0</v>
      </c>
      <c r="AK136" s="321">
        <f t="shared" si="17"/>
        <v>0</v>
      </c>
      <c r="AL136" s="321">
        <f t="shared" si="17"/>
        <v>0</v>
      </c>
      <c r="AM136" s="322">
        <f t="shared" si="17"/>
        <v>0</v>
      </c>
    </row>
    <row r="137" spans="2:39">
      <c r="B137" s="360" t="s">
        <v>424</v>
      </c>
      <c r="C137" s="358" t="s">
        <v>417</v>
      </c>
      <c r="D137" s="289">
        <f t="shared" ref="D137:M137" si="18">D94</f>
        <v>8693898.5709615387</v>
      </c>
      <c r="E137" s="289">
        <f t="shared" si="18"/>
        <v>0</v>
      </c>
      <c r="F137" s="289">
        <f t="shared" si="18"/>
        <v>0</v>
      </c>
      <c r="G137" s="289">
        <f t="shared" si="18"/>
        <v>0</v>
      </c>
      <c r="H137" s="289">
        <f t="shared" si="18"/>
        <v>0</v>
      </c>
      <c r="I137" s="289">
        <f t="shared" si="18"/>
        <v>0</v>
      </c>
      <c r="J137" s="289">
        <f t="shared" si="18"/>
        <v>0</v>
      </c>
      <c r="K137" s="289">
        <f t="shared" si="18"/>
        <v>0</v>
      </c>
      <c r="L137" s="289">
        <f t="shared" si="18"/>
        <v>0</v>
      </c>
      <c r="M137" s="290">
        <f t="shared" si="18"/>
        <v>0</v>
      </c>
      <c r="N137" s="352"/>
    </row>
    <row r="138" spans="2:39">
      <c r="B138" s="361" t="s">
        <v>459</v>
      </c>
      <c r="C138" s="358" t="s">
        <v>417</v>
      </c>
      <c r="D138" s="289">
        <f>D9</f>
        <v>818477.45709615399</v>
      </c>
      <c r="E138" s="289">
        <f t="shared" ref="E138:AB138" si="19">$D$138</f>
        <v>818477.45709615399</v>
      </c>
      <c r="F138" s="289">
        <f t="shared" si="19"/>
        <v>818477.45709615399</v>
      </c>
      <c r="G138" s="289">
        <f t="shared" si="19"/>
        <v>818477.45709615399</v>
      </c>
      <c r="H138" s="289">
        <f t="shared" si="19"/>
        <v>818477.45709615399</v>
      </c>
      <c r="I138" s="289">
        <f t="shared" si="19"/>
        <v>818477.45709615399</v>
      </c>
      <c r="J138" s="289">
        <f t="shared" si="19"/>
        <v>818477.45709615399</v>
      </c>
      <c r="K138" s="289">
        <f t="shared" si="19"/>
        <v>818477.45709615399</v>
      </c>
      <c r="L138" s="289">
        <f t="shared" si="19"/>
        <v>818477.45709615399</v>
      </c>
      <c r="M138" s="289">
        <f t="shared" si="19"/>
        <v>818477.45709615399</v>
      </c>
      <c r="N138" s="289">
        <f t="shared" si="19"/>
        <v>818477.45709615399</v>
      </c>
      <c r="O138" s="289">
        <f t="shared" si="19"/>
        <v>818477.45709615399</v>
      </c>
      <c r="P138" s="289">
        <f t="shared" si="19"/>
        <v>818477.45709615399</v>
      </c>
      <c r="Q138" s="289">
        <f t="shared" si="19"/>
        <v>818477.45709615399</v>
      </c>
      <c r="R138" s="289">
        <f t="shared" si="19"/>
        <v>818477.45709615399</v>
      </c>
      <c r="S138" s="289">
        <f t="shared" si="19"/>
        <v>818477.45709615399</v>
      </c>
      <c r="T138" s="289">
        <f t="shared" si="19"/>
        <v>818477.45709615399</v>
      </c>
      <c r="U138" s="289">
        <f t="shared" si="19"/>
        <v>818477.45709615399</v>
      </c>
      <c r="V138" s="289">
        <f t="shared" si="19"/>
        <v>818477.45709615399</v>
      </c>
      <c r="W138" s="289">
        <f t="shared" si="19"/>
        <v>818477.45709615399</v>
      </c>
      <c r="X138" s="289">
        <f t="shared" si="19"/>
        <v>818477.45709615399</v>
      </c>
      <c r="Y138" s="289">
        <f t="shared" si="19"/>
        <v>818477.45709615399</v>
      </c>
      <c r="Z138" s="289">
        <f t="shared" si="19"/>
        <v>818477.45709615399</v>
      </c>
      <c r="AA138" s="289">
        <f t="shared" si="19"/>
        <v>818477.45709615399</v>
      </c>
      <c r="AB138" s="289">
        <f t="shared" si="19"/>
        <v>818477.45709615399</v>
      </c>
      <c r="AC138" s="289">
        <v>1990816.9347549786</v>
      </c>
      <c r="AD138" s="289">
        <v>1990816.9347549786</v>
      </c>
      <c r="AE138" s="289" t="e">
        <f>AE82+#REF!</f>
        <v>#REF!</v>
      </c>
      <c r="AF138" s="289" t="e">
        <f>AF82+#REF!</f>
        <v>#REF!</v>
      </c>
      <c r="AG138" s="289" t="e">
        <f>AG82+#REF!</f>
        <v>#REF!</v>
      </c>
      <c r="AH138" s="289" t="e">
        <f>AH82+#REF!</f>
        <v>#REF!</v>
      </c>
      <c r="AI138" s="289" t="e">
        <f>AI82+#REF!</f>
        <v>#REF!</v>
      </c>
      <c r="AJ138" s="289" t="e">
        <f>AJ82+#REF!</f>
        <v>#REF!</v>
      </c>
      <c r="AK138" s="289" t="e">
        <f>AK82+#REF!</f>
        <v>#REF!</v>
      </c>
      <c r="AL138" s="289" t="e">
        <f>AL82+#REF!</f>
        <v>#REF!</v>
      </c>
      <c r="AM138" s="290" t="e">
        <f>AM82+#REF!</f>
        <v>#REF!</v>
      </c>
    </row>
    <row r="139" spans="2:39">
      <c r="B139" s="362" t="s">
        <v>460</v>
      </c>
      <c r="C139" s="363" t="s">
        <v>417</v>
      </c>
      <c r="D139" s="255">
        <f t="shared" ref="D139:AM139" si="20">D83</f>
        <v>0</v>
      </c>
      <c r="E139" s="255">
        <f t="shared" si="20"/>
        <v>0</v>
      </c>
      <c r="F139" s="255">
        <f t="shared" si="20"/>
        <v>0</v>
      </c>
      <c r="G139" s="255">
        <f t="shared" si="20"/>
        <v>0</v>
      </c>
      <c r="H139" s="255">
        <f t="shared" si="20"/>
        <v>0</v>
      </c>
      <c r="I139" s="255">
        <f t="shared" si="20"/>
        <v>0</v>
      </c>
      <c r="J139" s="255">
        <f t="shared" si="20"/>
        <v>0</v>
      </c>
      <c r="K139" s="255">
        <f t="shared" si="20"/>
        <v>0</v>
      </c>
      <c r="L139" s="255">
        <f t="shared" si="20"/>
        <v>0</v>
      </c>
      <c r="M139" s="255">
        <f t="shared" si="20"/>
        <v>0</v>
      </c>
      <c r="N139" s="255">
        <f t="shared" si="20"/>
        <v>0</v>
      </c>
      <c r="O139" s="255">
        <f t="shared" si="20"/>
        <v>0</v>
      </c>
      <c r="P139" s="255">
        <f t="shared" si="20"/>
        <v>0</v>
      </c>
      <c r="Q139" s="255">
        <f t="shared" si="20"/>
        <v>0</v>
      </c>
      <c r="R139" s="255">
        <f t="shared" si="20"/>
        <v>0</v>
      </c>
      <c r="S139" s="255">
        <f t="shared" si="20"/>
        <v>0</v>
      </c>
      <c r="T139" s="255">
        <f t="shared" si="20"/>
        <v>0</v>
      </c>
      <c r="U139" s="255">
        <f t="shared" si="20"/>
        <v>0</v>
      </c>
      <c r="V139" s="255">
        <f t="shared" si="20"/>
        <v>0</v>
      </c>
      <c r="W139" s="255">
        <f t="shared" si="20"/>
        <v>0</v>
      </c>
      <c r="X139" s="255">
        <f t="shared" si="20"/>
        <v>0</v>
      </c>
      <c r="Y139" s="255">
        <f t="shared" si="20"/>
        <v>0</v>
      </c>
      <c r="Z139" s="255">
        <f t="shared" si="20"/>
        <v>0</v>
      </c>
      <c r="AA139" s="255">
        <f t="shared" si="20"/>
        <v>0</v>
      </c>
      <c r="AB139" s="255">
        <f t="shared" si="20"/>
        <v>0</v>
      </c>
      <c r="AC139" s="255">
        <f t="shared" si="20"/>
        <v>0</v>
      </c>
      <c r="AD139" s="255">
        <f t="shared" si="20"/>
        <v>0</v>
      </c>
      <c r="AE139" s="255">
        <f t="shared" si="20"/>
        <v>0</v>
      </c>
      <c r="AF139" s="255">
        <f t="shared" si="20"/>
        <v>0</v>
      </c>
      <c r="AG139" s="255">
        <f t="shared" si="20"/>
        <v>0</v>
      </c>
      <c r="AH139" s="255">
        <f t="shared" si="20"/>
        <v>0</v>
      </c>
      <c r="AI139" s="255">
        <f t="shared" si="20"/>
        <v>0</v>
      </c>
      <c r="AJ139" s="255">
        <f t="shared" si="20"/>
        <v>0</v>
      </c>
      <c r="AK139" s="255">
        <f t="shared" si="20"/>
        <v>0</v>
      </c>
      <c r="AL139" s="255">
        <f t="shared" si="20"/>
        <v>0</v>
      </c>
      <c r="AM139" s="293">
        <f t="shared" si="20"/>
        <v>0</v>
      </c>
    </row>
    <row r="140" spans="2:39">
      <c r="B140" s="362" t="s">
        <v>428</v>
      </c>
      <c r="C140" s="363" t="s">
        <v>417</v>
      </c>
      <c r="D140" s="255">
        <f>D97</f>
        <v>0</v>
      </c>
      <c r="E140" s="255">
        <f t="shared" ref="E140:AM141" si="21">E97</f>
        <v>0</v>
      </c>
      <c r="F140" s="255">
        <f t="shared" si="21"/>
        <v>0</v>
      </c>
      <c r="G140" s="255">
        <f t="shared" si="21"/>
        <v>0</v>
      </c>
      <c r="H140" s="255">
        <f t="shared" si="21"/>
        <v>0</v>
      </c>
      <c r="I140" s="255">
        <f t="shared" si="21"/>
        <v>0</v>
      </c>
      <c r="J140" s="255">
        <f t="shared" si="21"/>
        <v>0</v>
      </c>
      <c r="K140" s="255">
        <f t="shared" si="21"/>
        <v>0</v>
      </c>
      <c r="L140" s="255">
        <f t="shared" si="21"/>
        <v>0</v>
      </c>
      <c r="M140" s="255">
        <f t="shared" si="21"/>
        <v>0</v>
      </c>
      <c r="N140" s="255">
        <f t="shared" si="21"/>
        <v>0</v>
      </c>
      <c r="O140" s="255">
        <f t="shared" si="21"/>
        <v>0</v>
      </c>
      <c r="P140" s="255">
        <f t="shared" si="21"/>
        <v>0</v>
      </c>
      <c r="Q140" s="255">
        <f t="shared" si="21"/>
        <v>0</v>
      </c>
      <c r="R140" s="255">
        <f t="shared" si="21"/>
        <v>0</v>
      </c>
      <c r="S140" s="255">
        <f t="shared" si="21"/>
        <v>0</v>
      </c>
      <c r="T140" s="255">
        <f t="shared" si="21"/>
        <v>0</v>
      </c>
      <c r="U140" s="255">
        <f t="shared" si="21"/>
        <v>0</v>
      </c>
      <c r="V140" s="255">
        <f t="shared" si="21"/>
        <v>0</v>
      </c>
      <c r="W140" s="255">
        <f t="shared" si="21"/>
        <v>0</v>
      </c>
      <c r="X140" s="255">
        <f t="shared" si="21"/>
        <v>0</v>
      </c>
      <c r="Y140" s="255">
        <f t="shared" si="21"/>
        <v>0</v>
      </c>
      <c r="Z140" s="255">
        <f t="shared" si="21"/>
        <v>0</v>
      </c>
      <c r="AA140" s="255">
        <f t="shared" si="21"/>
        <v>0</v>
      </c>
      <c r="AB140" s="255">
        <f t="shared" si="21"/>
        <v>0</v>
      </c>
      <c r="AC140" s="255">
        <f t="shared" si="21"/>
        <v>0</v>
      </c>
      <c r="AD140" s="255">
        <f t="shared" si="21"/>
        <v>0</v>
      </c>
      <c r="AE140" s="255">
        <f t="shared" si="21"/>
        <v>0</v>
      </c>
      <c r="AF140" s="255">
        <f t="shared" si="21"/>
        <v>0</v>
      </c>
      <c r="AG140" s="255">
        <f t="shared" si="21"/>
        <v>0</v>
      </c>
      <c r="AH140" s="255">
        <f t="shared" si="21"/>
        <v>0</v>
      </c>
      <c r="AI140" s="255">
        <f t="shared" si="21"/>
        <v>0</v>
      </c>
      <c r="AJ140" s="255">
        <f t="shared" si="21"/>
        <v>0</v>
      </c>
      <c r="AK140" s="255">
        <f t="shared" si="21"/>
        <v>0</v>
      </c>
      <c r="AL140" s="255">
        <f t="shared" si="21"/>
        <v>0</v>
      </c>
      <c r="AM140" s="293">
        <f t="shared" si="21"/>
        <v>0</v>
      </c>
    </row>
    <row r="141" spans="2:39">
      <c r="B141" s="364" t="s">
        <v>429</v>
      </c>
      <c r="C141" s="332" t="s">
        <v>417</v>
      </c>
      <c r="D141" s="297">
        <f>D98</f>
        <v>0</v>
      </c>
      <c r="E141" s="297">
        <f t="shared" si="21"/>
        <v>347755.94283846155</v>
      </c>
      <c r="F141" s="297">
        <f t="shared" si="21"/>
        <v>347755.94283846155</v>
      </c>
      <c r="G141" s="297">
        <f t="shared" si="21"/>
        <v>347755.94283846155</v>
      </c>
      <c r="H141" s="297">
        <f t="shared" si="21"/>
        <v>347755.94283846155</v>
      </c>
      <c r="I141" s="297">
        <f t="shared" si="21"/>
        <v>347755.94283846155</v>
      </c>
      <c r="J141" s="297">
        <f t="shared" si="21"/>
        <v>347755.94283846155</v>
      </c>
      <c r="K141" s="297">
        <f t="shared" si="21"/>
        <v>347755.94283846155</v>
      </c>
      <c r="L141" s="297">
        <f t="shared" si="21"/>
        <v>347755.94283846155</v>
      </c>
      <c r="M141" s="297">
        <f t="shared" si="21"/>
        <v>347755.94283846155</v>
      </c>
      <c r="N141" s="297">
        <f t="shared" si="21"/>
        <v>347755.94283846155</v>
      </c>
      <c r="O141" s="297">
        <f t="shared" si="21"/>
        <v>347755.94283846155</v>
      </c>
      <c r="P141" s="297">
        <f t="shared" si="21"/>
        <v>347755.94283846155</v>
      </c>
      <c r="Q141" s="297">
        <f t="shared" si="21"/>
        <v>347755.94283846155</v>
      </c>
      <c r="R141" s="297">
        <f t="shared" si="21"/>
        <v>347755.94283846155</v>
      </c>
      <c r="S141" s="297">
        <f t="shared" si="21"/>
        <v>347755.94283846155</v>
      </c>
      <c r="T141" s="297">
        <f t="shared" si="21"/>
        <v>347755.94283846155</v>
      </c>
      <c r="U141" s="297">
        <f t="shared" si="21"/>
        <v>347755.94283846155</v>
      </c>
      <c r="V141" s="297">
        <f t="shared" si="21"/>
        <v>347755.94283846155</v>
      </c>
      <c r="W141" s="297">
        <f t="shared" si="21"/>
        <v>347755.94283846155</v>
      </c>
      <c r="X141" s="297">
        <f t="shared" si="21"/>
        <v>347755.94283846155</v>
      </c>
      <c r="Y141" s="297">
        <f t="shared" si="21"/>
        <v>347755.94283846155</v>
      </c>
      <c r="Z141" s="297">
        <f t="shared" si="21"/>
        <v>347755.94283846155</v>
      </c>
      <c r="AA141" s="297">
        <f t="shared" si="21"/>
        <v>347755.94283846155</v>
      </c>
      <c r="AB141" s="297">
        <f t="shared" si="21"/>
        <v>347755.94283846155</v>
      </c>
      <c r="AC141" s="297">
        <f t="shared" si="21"/>
        <v>347755.94283846155</v>
      </c>
      <c r="AD141" s="297">
        <f t="shared" si="21"/>
        <v>0</v>
      </c>
      <c r="AE141" s="297">
        <f t="shared" si="21"/>
        <v>0</v>
      </c>
      <c r="AF141" s="297">
        <f t="shared" si="21"/>
        <v>0</v>
      </c>
      <c r="AG141" s="297">
        <f t="shared" si="21"/>
        <v>0</v>
      </c>
      <c r="AH141" s="297">
        <f t="shared" si="21"/>
        <v>0</v>
      </c>
      <c r="AI141" s="297">
        <f t="shared" si="21"/>
        <v>0</v>
      </c>
      <c r="AJ141" s="297">
        <f t="shared" si="21"/>
        <v>0</v>
      </c>
      <c r="AK141" s="297">
        <f t="shared" si="21"/>
        <v>0</v>
      </c>
      <c r="AL141" s="297">
        <f t="shared" si="21"/>
        <v>0</v>
      </c>
      <c r="AM141" s="298">
        <f t="shared" si="21"/>
        <v>0</v>
      </c>
    </row>
    <row r="142" spans="2:39" ht="12.95">
      <c r="B142" s="365" t="s">
        <v>461</v>
      </c>
      <c r="C142" s="366" t="s">
        <v>417</v>
      </c>
      <c r="D142" s="302">
        <f>SUM(D137:D141)</f>
        <v>9512376.0280576926</v>
      </c>
      <c r="E142" s="302">
        <f t="shared" ref="E142:AM142" si="22">SUM(E137:E141)</f>
        <v>1166233.3999346155</v>
      </c>
      <c r="F142" s="302">
        <f t="shared" si="22"/>
        <v>1166233.3999346155</v>
      </c>
      <c r="G142" s="302">
        <f t="shared" si="22"/>
        <v>1166233.3999346155</v>
      </c>
      <c r="H142" s="302">
        <f t="shared" si="22"/>
        <v>1166233.3999346155</v>
      </c>
      <c r="I142" s="302">
        <f t="shared" si="22"/>
        <v>1166233.3999346155</v>
      </c>
      <c r="J142" s="302">
        <f t="shared" si="22"/>
        <v>1166233.3999346155</v>
      </c>
      <c r="K142" s="302">
        <f t="shared" si="22"/>
        <v>1166233.3999346155</v>
      </c>
      <c r="L142" s="302">
        <f t="shared" si="22"/>
        <v>1166233.3999346155</v>
      </c>
      <c r="M142" s="302">
        <f t="shared" si="22"/>
        <v>1166233.3999346155</v>
      </c>
      <c r="N142" s="302">
        <f t="shared" si="22"/>
        <v>1166233.3999346155</v>
      </c>
      <c r="O142" s="302">
        <f t="shared" si="22"/>
        <v>1166233.3999346155</v>
      </c>
      <c r="P142" s="302">
        <f t="shared" si="22"/>
        <v>1166233.3999346155</v>
      </c>
      <c r="Q142" s="302">
        <f t="shared" si="22"/>
        <v>1166233.3999346155</v>
      </c>
      <c r="R142" s="302">
        <f t="shared" si="22"/>
        <v>1166233.3999346155</v>
      </c>
      <c r="S142" s="302">
        <f t="shared" si="22"/>
        <v>1166233.3999346155</v>
      </c>
      <c r="T142" s="302">
        <f t="shared" si="22"/>
        <v>1166233.3999346155</v>
      </c>
      <c r="U142" s="302">
        <f t="shared" si="22"/>
        <v>1166233.3999346155</v>
      </c>
      <c r="V142" s="302">
        <f t="shared" si="22"/>
        <v>1166233.3999346155</v>
      </c>
      <c r="W142" s="302">
        <f t="shared" si="22"/>
        <v>1166233.3999346155</v>
      </c>
      <c r="X142" s="302">
        <f t="shared" si="22"/>
        <v>1166233.3999346155</v>
      </c>
      <c r="Y142" s="302">
        <f t="shared" si="22"/>
        <v>1166233.3999346155</v>
      </c>
      <c r="Z142" s="302">
        <f t="shared" si="22"/>
        <v>1166233.3999346155</v>
      </c>
      <c r="AA142" s="302">
        <f t="shared" si="22"/>
        <v>1166233.3999346155</v>
      </c>
      <c r="AB142" s="302">
        <f t="shared" si="22"/>
        <v>1166233.3999346155</v>
      </c>
      <c r="AC142" s="302">
        <f t="shared" si="22"/>
        <v>2338572.87759344</v>
      </c>
      <c r="AD142" s="302">
        <f t="shared" si="22"/>
        <v>1990816.9347549786</v>
      </c>
      <c r="AE142" s="302" t="e">
        <f t="shared" si="22"/>
        <v>#REF!</v>
      </c>
      <c r="AF142" s="302" t="e">
        <f t="shared" si="22"/>
        <v>#REF!</v>
      </c>
      <c r="AG142" s="302" t="e">
        <f t="shared" si="22"/>
        <v>#REF!</v>
      </c>
      <c r="AH142" s="302" t="e">
        <f t="shared" si="22"/>
        <v>#REF!</v>
      </c>
      <c r="AI142" s="302" t="e">
        <f t="shared" si="22"/>
        <v>#REF!</v>
      </c>
      <c r="AJ142" s="302" t="e">
        <f t="shared" si="22"/>
        <v>#REF!</v>
      </c>
      <c r="AK142" s="302" t="e">
        <f t="shared" si="22"/>
        <v>#REF!</v>
      </c>
      <c r="AL142" s="302" t="e">
        <f t="shared" si="22"/>
        <v>#REF!</v>
      </c>
      <c r="AM142" s="302" t="e">
        <f t="shared" si="22"/>
        <v>#REF!</v>
      </c>
    </row>
    <row r="143" spans="2:39" ht="12.95">
      <c r="B143" s="367" t="s">
        <v>462</v>
      </c>
      <c r="C143" s="366" t="s">
        <v>417</v>
      </c>
      <c r="D143" s="320">
        <f>D136-D142</f>
        <v>-8774841.3421078995</v>
      </c>
      <c r="E143" s="321">
        <f t="shared" ref="E143:AM143" si="23">E136-E138-E139</f>
        <v>-80942.77114635997</v>
      </c>
      <c r="F143" s="321">
        <f t="shared" si="23"/>
        <v>-80942.77114635997</v>
      </c>
      <c r="G143" s="321">
        <f t="shared" si="23"/>
        <v>-80942.77114635997</v>
      </c>
      <c r="H143" s="321">
        <f t="shared" si="23"/>
        <v>-80942.77114635997</v>
      </c>
      <c r="I143" s="321">
        <f t="shared" si="23"/>
        <v>-80942.77114635997</v>
      </c>
      <c r="J143" s="321">
        <f t="shared" si="23"/>
        <v>-80942.77114635997</v>
      </c>
      <c r="K143" s="321">
        <f t="shared" si="23"/>
        <v>-80942.77114635997</v>
      </c>
      <c r="L143" s="321">
        <f t="shared" si="23"/>
        <v>-80942.77114635997</v>
      </c>
      <c r="M143" s="321">
        <f t="shared" si="23"/>
        <v>-80942.77114635997</v>
      </c>
      <c r="N143" s="321">
        <f t="shared" si="23"/>
        <v>-80942.77114635997</v>
      </c>
      <c r="O143" s="321">
        <f t="shared" si="23"/>
        <v>-80942.77114635997</v>
      </c>
      <c r="P143" s="321">
        <f t="shared" si="23"/>
        <v>-80942.77114635997</v>
      </c>
      <c r="Q143" s="321">
        <f t="shared" si="23"/>
        <v>-80942.77114635997</v>
      </c>
      <c r="R143" s="321">
        <f t="shared" si="23"/>
        <v>-80942.77114635997</v>
      </c>
      <c r="S143" s="321">
        <f t="shared" si="23"/>
        <v>-80942.77114635997</v>
      </c>
      <c r="T143" s="321">
        <f t="shared" si="23"/>
        <v>-80942.77114635997</v>
      </c>
      <c r="U143" s="321">
        <f t="shared" si="23"/>
        <v>-80942.77114635997</v>
      </c>
      <c r="V143" s="321">
        <f t="shared" si="23"/>
        <v>-80942.77114635997</v>
      </c>
      <c r="W143" s="321">
        <f t="shared" si="23"/>
        <v>-80942.77114635997</v>
      </c>
      <c r="X143" s="321">
        <f t="shared" si="23"/>
        <v>-80942.77114635997</v>
      </c>
      <c r="Y143" s="321">
        <f t="shared" si="23"/>
        <v>-80942.77114635997</v>
      </c>
      <c r="Z143" s="321">
        <f t="shared" si="23"/>
        <v>-80942.77114635997</v>
      </c>
      <c r="AA143" s="321">
        <f t="shared" si="23"/>
        <v>-80942.77114635997</v>
      </c>
      <c r="AB143" s="321">
        <f t="shared" si="23"/>
        <v>-80942.77114635997</v>
      </c>
      <c r="AC143" s="321">
        <f t="shared" si="23"/>
        <v>-1990816.9347549786</v>
      </c>
      <c r="AD143" s="321">
        <f t="shared" si="23"/>
        <v>-1990816.9347549786</v>
      </c>
      <c r="AE143" s="321" t="e">
        <f t="shared" si="23"/>
        <v>#REF!</v>
      </c>
      <c r="AF143" s="321" t="e">
        <f t="shared" si="23"/>
        <v>#REF!</v>
      </c>
      <c r="AG143" s="321" t="e">
        <f t="shared" si="23"/>
        <v>#REF!</v>
      </c>
      <c r="AH143" s="321" t="e">
        <f t="shared" si="23"/>
        <v>#REF!</v>
      </c>
      <c r="AI143" s="321" t="e">
        <f t="shared" si="23"/>
        <v>#REF!</v>
      </c>
      <c r="AJ143" s="321" t="e">
        <f t="shared" si="23"/>
        <v>#REF!</v>
      </c>
      <c r="AK143" s="321" t="e">
        <f t="shared" si="23"/>
        <v>#REF!</v>
      </c>
      <c r="AL143" s="321" t="e">
        <f t="shared" si="23"/>
        <v>#REF!</v>
      </c>
      <c r="AM143" s="322" t="e">
        <f t="shared" si="23"/>
        <v>#REF!</v>
      </c>
    </row>
    <row r="146" spans="1:39" ht="12.95">
      <c r="B146" s="357" t="s">
        <v>463</v>
      </c>
      <c r="C146" s="284" t="s">
        <v>364</v>
      </c>
    </row>
    <row r="147" spans="1:39">
      <c r="B147" s="276" t="s">
        <v>464</v>
      </c>
      <c r="C147" s="259" t="s">
        <v>417</v>
      </c>
      <c r="D147" s="347">
        <f>D78*$D$17</f>
        <v>2127852.0947719389</v>
      </c>
      <c r="E147" s="348">
        <f t="shared" ref="E147:AM147" si="24">E78*$D$17</f>
        <v>2127852.0947719389</v>
      </c>
      <c r="F147" s="348">
        <f t="shared" si="24"/>
        <v>2127852.0947719389</v>
      </c>
      <c r="G147" s="348">
        <f t="shared" si="24"/>
        <v>2127852.0947719389</v>
      </c>
      <c r="H147" s="348">
        <f t="shared" si="24"/>
        <v>2127852.0947719389</v>
      </c>
      <c r="I147" s="348">
        <f t="shared" si="24"/>
        <v>2127852.0947719389</v>
      </c>
      <c r="J147" s="348">
        <f t="shared" si="24"/>
        <v>2127852.0947719389</v>
      </c>
      <c r="K147" s="348">
        <f t="shared" si="24"/>
        <v>2127852.0947719389</v>
      </c>
      <c r="L147" s="348">
        <f t="shared" si="24"/>
        <v>2127852.0947719389</v>
      </c>
      <c r="M147" s="348">
        <f t="shared" si="24"/>
        <v>2127852.0947719389</v>
      </c>
      <c r="N147" s="348">
        <f t="shared" si="24"/>
        <v>2127852.0947719389</v>
      </c>
      <c r="O147" s="348">
        <f t="shared" si="24"/>
        <v>2127852.0947719389</v>
      </c>
      <c r="P147" s="348">
        <f t="shared" si="24"/>
        <v>2127852.0947719389</v>
      </c>
      <c r="Q147" s="348">
        <f t="shared" si="24"/>
        <v>2127852.0947719389</v>
      </c>
      <c r="R147" s="348">
        <f t="shared" si="24"/>
        <v>2127852.0947719389</v>
      </c>
      <c r="S147" s="348">
        <f t="shared" si="24"/>
        <v>2127852.0947719389</v>
      </c>
      <c r="T147" s="348">
        <f t="shared" si="24"/>
        <v>2127852.0947719389</v>
      </c>
      <c r="U147" s="348">
        <f t="shared" si="24"/>
        <v>2127852.0947719389</v>
      </c>
      <c r="V147" s="348">
        <f t="shared" si="24"/>
        <v>2127852.0947719389</v>
      </c>
      <c r="W147" s="348">
        <f t="shared" si="24"/>
        <v>2127852.0947719389</v>
      </c>
      <c r="X147" s="348">
        <f t="shared" si="24"/>
        <v>2127852.0947719389</v>
      </c>
      <c r="Y147" s="348">
        <f t="shared" si="24"/>
        <v>2127852.0947719389</v>
      </c>
      <c r="Z147" s="348">
        <f t="shared" si="24"/>
        <v>2127852.0947719389</v>
      </c>
      <c r="AA147" s="348">
        <f t="shared" si="24"/>
        <v>2127852.0947719389</v>
      </c>
      <c r="AB147" s="348">
        <f t="shared" si="24"/>
        <v>2127852.0947719389</v>
      </c>
      <c r="AC147" s="348">
        <f t="shared" si="24"/>
        <v>0</v>
      </c>
      <c r="AD147" s="348">
        <f t="shared" si="24"/>
        <v>0</v>
      </c>
      <c r="AE147" s="348">
        <f t="shared" si="24"/>
        <v>0</v>
      </c>
      <c r="AF147" s="348">
        <f t="shared" si="24"/>
        <v>0</v>
      </c>
      <c r="AG147" s="348">
        <f t="shared" si="24"/>
        <v>0</v>
      </c>
      <c r="AH147" s="348">
        <f t="shared" si="24"/>
        <v>0</v>
      </c>
      <c r="AI147" s="348">
        <f t="shared" si="24"/>
        <v>0</v>
      </c>
      <c r="AJ147" s="348">
        <f t="shared" si="24"/>
        <v>0</v>
      </c>
      <c r="AK147" s="348">
        <f t="shared" si="24"/>
        <v>0</v>
      </c>
      <c r="AL147" s="348">
        <f t="shared" si="24"/>
        <v>0</v>
      </c>
      <c r="AM147" s="349">
        <f t="shared" si="24"/>
        <v>0</v>
      </c>
    </row>
    <row r="148" spans="1:39">
      <c r="B148" s="276" t="s">
        <v>465</v>
      </c>
      <c r="C148" s="259" t="s">
        <v>417</v>
      </c>
      <c r="D148" s="347">
        <f>SUM(D137:D141)</f>
        <v>9512376.0280576926</v>
      </c>
      <c r="E148" s="348">
        <f>SUM(E137:E141)</f>
        <v>1166233.3999346155</v>
      </c>
      <c r="F148" s="348">
        <f t="shared" ref="F148:AM148" si="25">SUM(F137:F141)</f>
        <v>1166233.3999346155</v>
      </c>
      <c r="G148" s="348">
        <f t="shared" si="25"/>
        <v>1166233.3999346155</v>
      </c>
      <c r="H148" s="348">
        <f t="shared" si="25"/>
        <v>1166233.3999346155</v>
      </c>
      <c r="I148" s="348">
        <f t="shared" si="25"/>
        <v>1166233.3999346155</v>
      </c>
      <c r="J148" s="348">
        <f t="shared" si="25"/>
        <v>1166233.3999346155</v>
      </c>
      <c r="K148" s="348">
        <f t="shared" si="25"/>
        <v>1166233.3999346155</v>
      </c>
      <c r="L148" s="348">
        <f t="shared" si="25"/>
        <v>1166233.3999346155</v>
      </c>
      <c r="M148" s="348">
        <f t="shared" si="25"/>
        <v>1166233.3999346155</v>
      </c>
      <c r="N148" s="348">
        <f t="shared" si="25"/>
        <v>1166233.3999346155</v>
      </c>
      <c r="O148" s="348">
        <f t="shared" si="25"/>
        <v>1166233.3999346155</v>
      </c>
      <c r="P148" s="348">
        <f t="shared" si="25"/>
        <v>1166233.3999346155</v>
      </c>
      <c r="Q148" s="348">
        <f t="shared" si="25"/>
        <v>1166233.3999346155</v>
      </c>
      <c r="R148" s="348">
        <f t="shared" si="25"/>
        <v>1166233.3999346155</v>
      </c>
      <c r="S148" s="348">
        <f t="shared" si="25"/>
        <v>1166233.3999346155</v>
      </c>
      <c r="T148" s="348">
        <f t="shared" si="25"/>
        <v>1166233.3999346155</v>
      </c>
      <c r="U148" s="348">
        <f t="shared" si="25"/>
        <v>1166233.3999346155</v>
      </c>
      <c r="V148" s="348">
        <f t="shared" si="25"/>
        <v>1166233.3999346155</v>
      </c>
      <c r="W148" s="348">
        <f t="shared" si="25"/>
        <v>1166233.3999346155</v>
      </c>
      <c r="X148" s="348">
        <f t="shared" si="25"/>
        <v>1166233.3999346155</v>
      </c>
      <c r="Y148" s="348">
        <f t="shared" si="25"/>
        <v>1166233.3999346155</v>
      </c>
      <c r="Z148" s="348">
        <f t="shared" si="25"/>
        <v>1166233.3999346155</v>
      </c>
      <c r="AA148" s="348">
        <f t="shared" si="25"/>
        <v>1166233.3999346155</v>
      </c>
      <c r="AB148" s="348">
        <f t="shared" si="25"/>
        <v>1166233.3999346155</v>
      </c>
      <c r="AC148" s="348">
        <f t="shared" si="25"/>
        <v>2338572.87759344</v>
      </c>
      <c r="AD148" s="348">
        <f t="shared" si="25"/>
        <v>1990816.9347549786</v>
      </c>
      <c r="AE148" s="348" t="e">
        <f t="shared" si="25"/>
        <v>#REF!</v>
      </c>
      <c r="AF148" s="348" t="e">
        <f t="shared" si="25"/>
        <v>#REF!</v>
      </c>
      <c r="AG148" s="348" t="e">
        <f t="shared" si="25"/>
        <v>#REF!</v>
      </c>
      <c r="AH148" s="348" t="e">
        <f t="shared" si="25"/>
        <v>#REF!</v>
      </c>
      <c r="AI148" s="348" t="e">
        <f t="shared" si="25"/>
        <v>#REF!</v>
      </c>
      <c r="AJ148" s="348" t="e">
        <f t="shared" si="25"/>
        <v>#REF!</v>
      </c>
      <c r="AK148" s="348" t="e">
        <f t="shared" si="25"/>
        <v>#REF!</v>
      </c>
      <c r="AL148" s="348" t="e">
        <f t="shared" si="25"/>
        <v>#REF!</v>
      </c>
      <c r="AM148" s="349" t="e">
        <f t="shared" si="25"/>
        <v>#REF!</v>
      </c>
    </row>
    <row r="149" spans="1:39" ht="12.95">
      <c r="B149" s="367" t="s">
        <v>466</v>
      </c>
      <c r="C149" s="366" t="s">
        <v>417</v>
      </c>
      <c r="D149" s="301">
        <f>D147-D148</f>
        <v>-7384523.9332857542</v>
      </c>
      <c r="E149" s="302">
        <f t="shared" ref="E149:AM149" si="26">E147-E148</f>
        <v>961618.69483732339</v>
      </c>
      <c r="F149" s="302">
        <f t="shared" si="26"/>
        <v>961618.69483732339</v>
      </c>
      <c r="G149" s="302">
        <f t="shared" si="26"/>
        <v>961618.69483732339</v>
      </c>
      <c r="H149" s="302">
        <f t="shared" si="26"/>
        <v>961618.69483732339</v>
      </c>
      <c r="I149" s="302">
        <f t="shared" si="26"/>
        <v>961618.69483732339</v>
      </c>
      <c r="J149" s="302">
        <f t="shared" si="26"/>
        <v>961618.69483732339</v>
      </c>
      <c r="K149" s="302">
        <f t="shared" si="26"/>
        <v>961618.69483732339</v>
      </c>
      <c r="L149" s="302">
        <f t="shared" si="26"/>
        <v>961618.69483732339</v>
      </c>
      <c r="M149" s="302">
        <f t="shared" si="26"/>
        <v>961618.69483732339</v>
      </c>
      <c r="N149" s="302">
        <f t="shared" si="26"/>
        <v>961618.69483732339</v>
      </c>
      <c r="O149" s="302">
        <f t="shared" si="26"/>
        <v>961618.69483732339</v>
      </c>
      <c r="P149" s="302">
        <f t="shared" si="26"/>
        <v>961618.69483732339</v>
      </c>
      <c r="Q149" s="302">
        <f t="shared" si="26"/>
        <v>961618.69483732339</v>
      </c>
      <c r="R149" s="302">
        <f t="shared" si="26"/>
        <v>961618.69483732339</v>
      </c>
      <c r="S149" s="302">
        <f t="shared" si="26"/>
        <v>961618.69483732339</v>
      </c>
      <c r="T149" s="302">
        <f t="shared" si="26"/>
        <v>961618.69483732339</v>
      </c>
      <c r="U149" s="302">
        <f t="shared" si="26"/>
        <v>961618.69483732339</v>
      </c>
      <c r="V149" s="302">
        <f t="shared" si="26"/>
        <v>961618.69483732339</v>
      </c>
      <c r="W149" s="302">
        <f t="shared" si="26"/>
        <v>961618.69483732339</v>
      </c>
      <c r="X149" s="302">
        <f t="shared" si="26"/>
        <v>961618.69483732339</v>
      </c>
      <c r="Y149" s="302">
        <f t="shared" si="26"/>
        <v>961618.69483732339</v>
      </c>
      <c r="Z149" s="302">
        <f t="shared" si="26"/>
        <v>961618.69483732339</v>
      </c>
      <c r="AA149" s="302">
        <f t="shared" si="26"/>
        <v>961618.69483732339</v>
      </c>
      <c r="AB149" s="302">
        <f t="shared" si="26"/>
        <v>961618.69483732339</v>
      </c>
      <c r="AC149" s="302">
        <f t="shared" si="26"/>
        <v>-2338572.87759344</v>
      </c>
      <c r="AD149" s="302">
        <f t="shared" si="26"/>
        <v>-1990816.9347549786</v>
      </c>
      <c r="AE149" s="302" t="e">
        <f t="shared" si="26"/>
        <v>#REF!</v>
      </c>
      <c r="AF149" s="302" t="e">
        <f t="shared" si="26"/>
        <v>#REF!</v>
      </c>
      <c r="AG149" s="302" t="e">
        <f t="shared" si="26"/>
        <v>#REF!</v>
      </c>
      <c r="AH149" s="302" t="e">
        <f t="shared" si="26"/>
        <v>#REF!</v>
      </c>
      <c r="AI149" s="302" t="e">
        <f t="shared" si="26"/>
        <v>#REF!</v>
      </c>
      <c r="AJ149" s="302" t="e">
        <f t="shared" si="26"/>
        <v>#REF!</v>
      </c>
      <c r="AK149" s="302" t="e">
        <f t="shared" si="26"/>
        <v>#REF!</v>
      </c>
      <c r="AL149" s="302" t="e">
        <f t="shared" si="26"/>
        <v>#REF!</v>
      </c>
      <c r="AM149" s="303" t="e">
        <f t="shared" si="26"/>
        <v>#REF!</v>
      </c>
    </row>
    <row r="150" spans="1:39" s="331" customFormat="1" ht="12.95">
      <c r="B150" s="368" t="s">
        <v>467</v>
      </c>
      <c r="C150" s="334" t="s">
        <v>417</v>
      </c>
      <c r="D150" s="369">
        <f>D149+D128</f>
        <v>-7604478.9403962819</v>
      </c>
      <c r="E150" s="370">
        <f t="shared" ref="E150:AM150" si="27">E149+E128</f>
        <v>741663.68772679544</v>
      </c>
      <c r="F150" s="370">
        <f t="shared" si="27"/>
        <v>741663.68772679544</v>
      </c>
      <c r="G150" s="370">
        <f t="shared" si="27"/>
        <v>741663.68772679544</v>
      </c>
      <c r="H150" s="370">
        <f t="shared" si="27"/>
        <v>741663.68772679544</v>
      </c>
      <c r="I150" s="370">
        <f t="shared" si="27"/>
        <v>741663.68772679544</v>
      </c>
      <c r="J150" s="370">
        <f t="shared" si="27"/>
        <v>741663.68772679544</v>
      </c>
      <c r="K150" s="370">
        <f t="shared" si="27"/>
        <v>741663.68772679544</v>
      </c>
      <c r="L150" s="370">
        <f t="shared" si="27"/>
        <v>741663.68772679544</v>
      </c>
      <c r="M150" s="370">
        <f t="shared" si="27"/>
        <v>741663.68772679544</v>
      </c>
      <c r="N150" s="370">
        <f t="shared" si="27"/>
        <v>741663.68772679544</v>
      </c>
      <c r="O150" s="370">
        <f t="shared" si="27"/>
        <v>741663.68772679544</v>
      </c>
      <c r="P150" s="370">
        <f t="shared" si="27"/>
        <v>741663.68772679544</v>
      </c>
      <c r="Q150" s="370">
        <f t="shared" si="27"/>
        <v>741663.68772679544</v>
      </c>
      <c r="R150" s="370">
        <f t="shared" si="27"/>
        <v>741663.68772679544</v>
      </c>
      <c r="S150" s="370">
        <f t="shared" si="27"/>
        <v>741663.68772679544</v>
      </c>
      <c r="T150" s="370">
        <f t="shared" si="27"/>
        <v>741663.68772679544</v>
      </c>
      <c r="U150" s="370">
        <f t="shared" si="27"/>
        <v>741663.68772679544</v>
      </c>
      <c r="V150" s="370">
        <f t="shared" si="27"/>
        <v>741663.68772679544</v>
      </c>
      <c r="W150" s="370">
        <f t="shared" si="27"/>
        <v>741663.68772679544</v>
      </c>
      <c r="X150" s="370">
        <f t="shared" si="27"/>
        <v>741663.68772679544</v>
      </c>
      <c r="Y150" s="370">
        <f t="shared" si="27"/>
        <v>741663.68772679544</v>
      </c>
      <c r="Z150" s="370">
        <f t="shared" si="27"/>
        <v>741663.68772679544</v>
      </c>
      <c r="AA150" s="370">
        <f t="shared" si="27"/>
        <v>741663.68772679544</v>
      </c>
      <c r="AB150" s="370">
        <f t="shared" si="27"/>
        <v>741663.68772679544</v>
      </c>
      <c r="AC150" s="370">
        <f t="shared" si="27"/>
        <v>-2338572.87759344</v>
      </c>
      <c r="AD150" s="370">
        <f t="shared" si="27"/>
        <v>-1990816.9347549786</v>
      </c>
      <c r="AE150" s="370" t="e">
        <f t="shared" si="27"/>
        <v>#REF!</v>
      </c>
      <c r="AF150" s="370" t="e">
        <f t="shared" si="27"/>
        <v>#REF!</v>
      </c>
      <c r="AG150" s="370" t="e">
        <f t="shared" si="27"/>
        <v>#REF!</v>
      </c>
      <c r="AH150" s="370" t="e">
        <f t="shared" si="27"/>
        <v>#REF!</v>
      </c>
      <c r="AI150" s="370" t="e">
        <f t="shared" si="27"/>
        <v>#REF!</v>
      </c>
      <c r="AJ150" s="370" t="e">
        <f t="shared" si="27"/>
        <v>#REF!</v>
      </c>
      <c r="AK150" s="370" t="e">
        <f t="shared" si="27"/>
        <v>#REF!</v>
      </c>
      <c r="AL150" s="370" t="e">
        <f t="shared" si="27"/>
        <v>#REF!</v>
      </c>
      <c r="AM150" s="371" t="e">
        <f t="shared" si="27"/>
        <v>#REF!</v>
      </c>
    </row>
    <row r="151" spans="1:39" s="372" customFormat="1" ht="12.95">
      <c r="A151" s="331"/>
      <c r="B151" s="276" t="s">
        <v>468</v>
      </c>
      <c r="C151" s="259" t="s">
        <v>331</v>
      </c>
      <c r="D151" s="327">
        <f>SUM(D147:AB147)</f>
        <v>53196302.369298458</v>
      </c>
      <c r="F151" s="373"/>
      <c r="G151" s="373"/>
      <c r="H151" s="373"/>
      <c r="I151" s="373"/>
      <c r="J151" s="373"/>
      <c r="K151" s="373"/>
      <c r="L151" s="373"/>
      <c r="M151" s="373"/>
      <c r="N151" s="373"/>
      <c r="O151" s="373"/>
      <c r="P151" s="373"/>
      <c r="Q151" s="373"/>
      <c r="R151" s="373"/>
      <c r="S151" s="373"/>
      <c r="T151" s="373"/>
      <c r="U151" s="373"/>
      <c r="V151" s="373"/>
      <c r="W151" s="373"/>
      <c r="X151" s="373"/>
      <c r="Y151" s="373"/>
      <c r="Z151" s="373"/>
      <c r="AA151" s="373"/>
      <c r="AB151" s="373"/>
      <c r="AC151" s="373"/>
      <c r="AD151" s="373"/>
      <c r="AE151" s="373"/>
      <c r="AF151" s="373"/>
      <c r="AG151" s="373"/>
      <c r="AH151" s="373"/>
      <c r="AI151" s="373"/>
      <c r="AJ151" s="373"/>
      <c r="AK151" s="373"/>
      <c r="AL151" s="373"/>
      <c r="AM151" s="373"/>
    </row>
    <row r="152" spans="1:39" s="372" customFormat="1" ht="12.95">
      <c r="A152" s="331"/>
      <c r="B152" s="276" t="s">
        <v>469</v>
      </c>
      <c r="C152" s="259" t="s">
        <v>331</v>
      </c>
      <c r="D152" s="327">
        <f>SUM(D149:AB149)</f>
        <v>15694324.742810015</v>
      </c>
      <c r="E152" s="373"/>
      <c r="F152" s="373"/>
      <c r="G152" s="373"/>
      <c r="H152" s="373"/>
      <c r="I152" s="373"/>
      <c r="J152" s="373"/>
      <c r="K152" s="373"/>
      <c r="L152" s="373"/>
      <c r="M152" s="373"/>
      <c r="N152" s="373"/>
      <c r="O152" s="373"/>
      <c r="P152" s="373"/>
      <c r="Q152" s="373"/>
      <c r="R152" s="373"/>
      <c r="S152" s="373"/>
      <c r="T152" s="373"/>
      <c r="U152" s="373"/>
      <c r="V152" s="373"/>
      <c r="W152" s="373"/>
      <c r="X152" s="373"/>
      <c r="Y152" s="373"/>
      <c r="Z152" s="373"/>
      <c r="AA152" s="373"/>
      <c r="AB152" s="373"/>
      <c r="AC152" s="373"/>
      <c r="AD152" s="373"/>
      <c r="AE152" s="373"/>
      <c r="AF152" s="373"/>
      <c r="AG152" s="373"/>
      <c r="AH152" s="373"/>
      <c r="AI152" s="373"/>
      <c r="AJ152" s="373"/>
      <c r="AK152" s="373"/>
      <c r="AL152" s="373"/>
      <c r="AM152" s="373"/>
    </row>
    <row r="153" spans="1:39" s="372" customFormat="1" ht="12.95">
      <c r="A153" s="331"/>
      <c r="B153" s="276" t="s">
        <v>470</v>
      </c>
      <c r="C153" s="259" t="s">
        <v>331</v>
      </c>
      <c r="D153" s="327">
        <f>SUM(D150:AB150)</f>
        <v>10195449.565046811</v>
      </c>
      <c r="E153" s="373"/>
      <c r="F153" s="373"/>
      <c r="G153" s="373"/>
      <c r="H153" s="373"/>
      <c r="I153" s="373"/>
      <c r="J153" s="373"/>
      <c r="K153" s="373"/>
      <c r="L153" s="373"/>
      <c r="M153" s="373"/>
      <c r="N153" s="373"/>
      <c r="O153" s="373"/>
      <c r="P153" s="373"/>
      <c r="Q153" s="373"/>
      <c r="R153" s="373"/>
      <c r="S153" s="373"/>
      <c r="T153" s="373"/>
      <c r="U153" s="373"/>
      <c r="V153" s="373"/>
      <c r="W153" s="373"/>
      <c r="X153" s="373"/>
      <c r="Y153" s="373"/>
      <c r="Z153" s="373"/>
      <c r="AA153" s="373"/>
      <c r="AB153" s="373"/>
      <c r="AC153" s="373"/>
      <c r="AD153" s="373"/>
      <c r="AE153" s="373"/>
      <c r="AF153" s="373"/>
      <c r="AG153" s="373"/>
      <c r="AH153" s="373"/>
      <c r="AI153" s="373"/>
      <c r="AJ153" s="373"/>
      <c r="AK153" s="373"/>
      <c r="AL153" s="373"/>
      <c r="AM153" s="373"/>
    </row>
    <row r="155" spans="1:39">
      <c r="B155" s="279" t="s">
        <v>498</v>
      </c>
      <c r="C155" s="374">
        <f>IRR(D149:AB149)</f>
        <v>0.12200144292156034</v>
      </c>
    </row>
    <row r="156" spans="1:39">
      <c r="B156" s="279" t="s">
        <v>499</v>
      </c>
      <c r="C156" s="374">
        <f>IRR(D150:AB150)</f>
        <v>8.3205399224679066E-2</v>
      </c>
    </row>
    <row r="157" spans="1:39">
      <c r="B157" s="885" t="s">
        <v>500</v>
      </c>
      <c r="C157" s="725" t="str">
        <f>CostofCap_DiscountRate</f>
        <v>Cost of Capital Imp Rate</v>
      </c>
      <c r="D157" s="356">
        <f>NPV(CstofCapImpDiscRate,$D$149:$AB$149)</f>
        <v>13562767.450620886</v>
      </c>
    </row>
    <row r="158" spans="1:39">
      <c r="B158" s="885"/>
      <c r="C158" s="726" t="str">
        <f>SocDiscountRateVal</f>
        <v xml:space="preserve">Social Discount </v>
      </c>
      <c r="D158" s="260">
        <f>NPV(SocDiscRate,$D$149:$AB$149)</f>
        <v>90196.135546897072</v>
      </c>
    </row>
    <row r="159" spans="1:39">
      <c r="B159" s="886"/>
      <c r="C159" s="727" t="str">
        <f>'ProgrBiogas Electricity Fin Anl'!C162</f>
        <v>ESCO Discount Rate</v>
      </c>
      <c r="D159" s="375">
        <f>NPV(PvESCODiscRate,$D$149:$AB$149)</f>
        <v>-2197426.6840527356</v>
      </c>
    </row>
    <row r="160" spans="1:39">
      <c r="B160" s="884" t="s">
        <v>501</v>
      </c>
      <c r="C160" s="725" t="str">
        <f>+C157</f>
        <v>Cost of Capital Imp Rate</v>
      </c>
      <c r="D160" s="356">
        <f>NPV(CstofCapImpDiscRate,$D$150:$AB$150)</f>
        <v>8565663.4293662664</v>
      </c>
    </row>
    <row r="161" spans="2:4">
      <c r="B161" s="885"/>
      <c r="C161" s="726" t="str">
        <f>C158</f>
        <v xml:space="preserve">Social Discount </v>
      </c>
      <c r="D161" s="260">
        <f>NPV(SocDiscRate,$D$150:$AB$150)</f>
        <v>-1634941.5836161212</v>
      </c>
    </row>
    <row r="162" spans="2:4">
      <c r="B162" s="886"/>
      <c r="C162" s="727" t="str">
        <f>C159</f>
        <v>ESCO Discount Rate</v>
      </c>
      <c r="D162" s="375">
        <f>NPV(PvESCODiscRate,$D$150:$AB$150)</f>
        <v>-3285673.2222053558</v>
      </c>
    </row>
  </sheetData>
  <mergeCells count="6">
    <mergeCell ref="B160:B162"/>
    <mergeCell ref="B33:D33"/>
    <mergeCell ref="B43:D43"/>
    <mergeCell ref="B51:D51"/>
    <mergeCell ref="B59:D59"/>
    <mergeCell ref="B157:B159"/>
  </mergeCells>
  <hyperlinks>
    <hyperlink ref="E23" r:id="rId1" xr:uid="{7D3845C4-D6E5-4DD6-9B75-64C661C3EF53}"/>
  </hyperlinks>
  <pageMargins left="0.75" right="0.75" top="1" bottom="1" header="0.5" footer="0.5"/>
  <pageSetup orientation="portrait" horizontalDpi="1200" verticalDpi="1200" r:id="rId2"/>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4B3FFA-E77A-4E11-87C8-37048D4481CC}">
  <sheetPr codeName="Sheet10"/>
  <dimension ref="A1:AD71"/>
  <sheetViews>
    <sheetView workbookViewId="0">
      <selection activeCell="D7" sqref="D7"/>
    </sheetView>
  </sheetViews>
  <sheetFormatPr defaultColWidth="8.7109375" defaultRowHeight="14.45"/>
  <cols>
    <col min="1" max="2" width="10.28515625" style="56" customWidth="1"/>
    <col min="3" max="3" width="18.7109375" style="56" bestFit="1" customWidth="1"/>
    <col min="4" max="9" width="10.28515625" style="56" customWidth="1"/>
    <col min="10" max="29" width="11.28515625" style="56" customWidth="1"/>
    <col min="30" max="30" width="19.85546875" style="56" customWidth="1"/>
    <col min="31" max="16384" width="8.7109375" style="56"/>
  </cols>
  <sheetData>
    <row r="1" spans="1:30" s="52" customFormat="1">
      <c r="A1" s="52" t="s">
        <v>643</v>
      </c>
      <c r="B1" s="52" t="s">
        <v>644</v>
      </c>
      <c r="C1" s="52" t="s">
        <v>645</v>
      </c>
      <c r="D1" s="52" t="s">
        <v>646</v>
      </c>
      <c r="E1" s="52" t="s">
        <v>364</v>
      </c>
      <c r="F1" s="52" t="s">
        <v>647</v>
      </c>
      <c r="G1" s="52" t="s">
        <v>648</v>
      </c>
      <c r="H1" s="52" t="s">
        <v>649</v>
      </c>
      <c r="I1" s="52" t="s">
        <v>650</v>
      </c>
      <c r="J1" s="52" t="s">
        <v>651</v>
      </c>
      <c r="K1" s="52" t="s">
        <v>652</v>
      </c>
      <c r="L1" s="52" t="s">
        <v>653</v>
      </c>
      <c r="M1" s="52" t="s">
        <v>654</v>
      </c>
      <c r="N1" s="52" t="s">
        <v>655</v>
      </c>
      <c r="O1" s="52" t="s">
        <v>656</v>
      </c>
      <c r="P1" s="52" t="s">
        <v>657</v>
      </c>
      <c r="Q1" s="52" t="s">
        <v>658</v>
      </c>
      <c r="R1" s="52" t="s">
        <v>659</v>
      </c>
      <c r="S1" s="52" t="s">
        <v>660</v>
      </c>
      <c r="T1" s="52" t="s">
        <v>661</v>
      </c>
      <c r="U1" s="52" t="s">
        <v>662</v>
      </c>
      <c r="V1" s="52" t="s">
        <v>663</v>
      </c>
      <c r="W1" s="52" t="s">
        <v>664</v>
      </c>
      <c r="X1" s="52" t="s">
        <v>665</v>
      </c>
      <c r="Y1" s="52" t="s">
        <v>666</v>
      </c>
      <c r="Z1" s="52" t="s">
        <v>667</v>
      </c>
      <c r="AA1" s="52" t="s">
        <v>668</v>
      </c>
      <c r="AB1" s="52" t="s">
        <v>669</v>
      </c>
      <c r="AC1" s="52" t="s">
        <v>670</v>
      </c>
      <c r="AD1" s="52" t="s">
        <v>671</v>
      </c>
    </row>
    <row r="2" spans="1:30">
      <c r="A2" s="56" t="s">
        <v>511</v>
      </c>
      <c r="B2" s="56" t="s">
        <v>672</v>
      </c>
      <c r="C2" s="56" t="s">
        <v>673</v>
      </c>
      <c r="D2" s="56" t="s">
        <v>674</v>
      </c>
      <c r="E2" s="56" t="s">
        <v>675</v>
      </c>
      <c r="F2" s="56">
        <v>7471</v>
      </c>
      <c r="G2" s="56">
        <v>7491</v>
      </c>
      <c r="H2" s="56">
        <v>7474</v>
      </c>
      <c r="I2" s="56">
        <v>7602</v>
      </c>
      <c r="J2" s="56">
        <v>8653</v>
      </c>
      <c r="K2" s="56">
        <v>9199</v>
      </c>
      <c r="L2" s="56">
        <v>6445</v>
      </c>
      <c r="M2" s="56">
        <v>7339</v>
      </c>
      <c r="N2" s="56">
        <v>5429</v>
      </c>
      <c r="O2" s="56">
        <v>6002</v>
      </c>
      <c r="P2" s="56">
        <v>6571</v>
      </c>
      <c r="Q2" s="56">
        <v>8179</v>
      </c>
      <c r="R2" s="56">
        <v>6715</v>
      </c>
      <c r="S2" s="56">
        <v>6651</v>
      </c>
      <c r="T2" s="56">
        <v>6721</v>
      </c>
      <c r="U2" s="56">
        <v>7432</v>
      </c>
      <c r="V2" s="56">
        <v>7304</v>
      </c>
      <c r="W2" s="56">
        <v>5213</v>
      </c>
      <c r="X2" s="56">
        <v>7280</v>
      </c>
      <c r="Y2" s="56">
        <v>7476</v>
      </c>
      <c r="Z2" s="56">
        <v>6989</v>
      </c>
      <c r="AA2" s="56">
        <v>6697</v>
      </c>
      <c r="AB2" s="56">
        <v>6737</v>
      </c>
      <c r="AC2" s="56">
        <v>6854</v>
      </c>
      <c r="AD2" s="56">
        <f>AVERAGE(F2:AC2)</f>
        <v>7080.166666666667</v>
      </c>
    </row>
    <row r="3" spans="1:30">
      <c r="A3" s="56" t="s">
        <v>511</v>
      </c>
      <c r="B3" s="56" t="s">
        <v>676</v>
      </c>
      <c r="C3" s="56" t="s">
        <v>673</v>
      </c>
      <c r="D3" s="56" t="s">
        <v>674</v>
      </c>
      <c r="E3" s="56" t="s">
        <v>675</v>
      </c>
      <c r="G3" s="56">
        <v>5352</v>
      </c>
      <c r="H3" s="56">
        <v>5380</v>
      </c>
      <c r="I3" s="56">
        <v>5603</v>
      </c>
      <c r="J3" s="56">
        <v>6479</v>
      </c>
      <c r="K3" s="56">
        <v>5498</v>
      </c>
      <c r="L3" s="56">
        <v>4980</v>
      </c>
      <c r="M3" s="56">
        <v>5107</v>
      </c>
      <c r="N3" s="56">
        <v>5220</v>
      </c>
      <c r="O3" s="56">
        <v>4794</v>
      </c>
      <c r="P3" s="56">
        <v>5850</v>
      </c>
      <c r="Q3" s="56">
        <v>5999</v>
      </c>
      <c r="R3" s="56">
        <v>6248</v>
      </c>
      <c r="S3" s="56">
        <v>6870</v>
      </c>
      <c r="T3" s="56">
        <v>6625</v>
      </c>
      <c r="U3" s="56">
        <v>7320</v>
      </c>
      <c r="V3" s="56">
        <v>9327</v>
      </c>
      <c r="W3" s="56">
        <v>8729</v>
      </c>
      <c r="X3" s="56">
        <v>8721</v>
      </c>
      <c r="Y3" s="56">
        <v>8965</v>
      </c>
      <c r="Z3" s="56">
        <v>9971</v>
      </c>
      <c r="AA3" s="56">
        <v>9822</v>
      </c>
      <c r="AB3" s="56">
        <v>10339</v>
      </c>
      <c r="AC3" s="56">
        <v>11480</v>
      </c>
      <c r="AD3" s="56">
        <f>AVERAGE(F3:AC3)</f>
        <v>7159.95652173913</v>
      </c>
    </row>
    <row r="4" spans="1:30">
      <c r="A4" s="56" t="s">
        <v>511</v>
      </c>
      <c r="B4" s="56" t="s">
        <v>677</v>
      </c>
      <c r="C4" s="56" t="s">
        <v>673</v>
      </c>
      <c r="D4" s="56" t="s">
        <v>674</v>
      </c>
      <c r="E4" s="56" t="s">
        <v>675</v>
      </c>
      <c r="G4" s="56">
        <v>2747</v>
      </c>
      <c r="H4" s="56">
        <v>2781</v>
      </c>
      <c r="I4" s="56">
        <v>2919</v>
      </c>
      <c r="J4" s="56">
        <v>3516</v>
      </c>
      <c r="K4" s="56">
        <v>2865</v>
      </c>
      <c r="L4" s="56">
        <v>2588</v>
      </c>
      <c r="M4" s="56">
        <v>2620</v>
      </c>
      <c r="N4" s="56">
        <v>2712</v>
      </c>
      <c r="O4" s="56">
        <v>2570</v>
      </c>
      <c r="P4" s="56">
        <v>3011</v>
      </c>
      <c r="Q4" s="56">
        <v>2926</v>
      </c>
      <c r="R4" s="56">
        <v>3124</v>
      </c>
      <c r="S4" s="56">
        <v>3560</v>
      </c>
      <c r="T4" s="56">
        <v>3269</v>
      </c>
      <c r="U4" s="56">
        <v>3549</v>
      </c>
      <c r="V4" s="56">
        <v>4632</v>
      </c>
      <c r="W4" s="56">
        <v>4391</v>
      </c>
      <c r="X4" s="56">
        <v>4269</v>
      </c>
      <c r="Y4" s="56">
        <v>4519</v>
      </c>
      <c r="Z4" s="56">
        <v>4808</v>
      </c>
      <c r="AA4" s="56">
        <v>4691</v>
      </c>
      <c r="AB4" s="56">
        <v>5027</v>
      </c>
      <c r="AD4" s="56">
        <f>AVERAGE(F4:AC4)</f>
        <v>3504.2727272727275</v>
      </c>
    </row>
    <row r="5" spans="1:30">
      <c r="A5" s="56" t="s">
        <v>511</v>
      </c>
      <c r="B5" s="56" t="s">
        <v>678</v>
      </c>
      <c r="C5" s="56" t="s">
        <v>673</v>
      </c>
      <c r="D5" s="56" t="s">
        <v>674</v>
      </c>
      <c r="E5" s="56" t="s">
        <v>675</v>
      </c>
      <c r="G5" s="56">
        <v>1474</v>
      </c>
      <c r="H5" s="56">
        <v>1515</v>
      </c>
      <c r="I5" s="56">
        <v>1590</v>
      </c>
      <c r="J5" s="56">
        <v>1954</v>
      </c>
      <c r="K5" s="56">
        <v>1553</v>
      </c>
      <c r="L5" s="56">
        <v>1400</v>
      </c>
      <c r="M5" s="56">
        <v>1403</v>
      </c>
      <c r="N5" s="56">
        <v>1445</v>
      </c>
      <c r="O5" s="56">
        <v>1393</v>
      </c>
      <c r="P5" s="56">
        <v>1678</v>
      </c>
      <c r="Q5" s="56">
        <v>1728</v>
      </c>
      <c r="R5" s="56">
        <v>1798</v>
      </c>
      <c r="S5" s="56">
        <v>2096</v>
      </c>
      <c r="T5" s="56">
        <v>1994</v>
      </c>
      <c r="U5" s="56">
        <v>2173</v>
      </c>
      <c r="V5" s="56">
        <v>2841</v>
      </c>
      <c r="W5" s="56">
        <v>2815</v>
      </c>
      <c r="X5" s="56">
        <v>2866</v>
      </c>
      <c r="Y5" s="56">
        <v>2812</v>
      </c>
      <c r="Z5" s="56">
        <v>2805</v>
      </c>
      <c r="AA5" s="56">
        <v>2790</v>
      </c>
      <c r="AB5" s="56">
        <v>2993</v>
      </c>
      <c r="AD5" s="56">
        <f>AVERAGE(F5:AC5)</f>
        <v>2050.7272727272725</v>
      </c>
    </row>
    <row r="6" spans="1:30">
      <c r="AD6" s="56">
        <f>AVERAGE(AD2:AD5)</f>
        <v>4948.780797101449</v>
      </c>
    </row>
    <row r="8" spans="1:30">
      <c r="B8" s="52"/>
    </row>
    <row r="9" spans="1:30">
      <c r="A9" s="56" t="s">
        <v>559</v>
      </c>
      <c r="B9" s="56" t="s">
        <v>560</v>
      </c>
      <c r="C9" s="56" t="s">
        <v>561</v>
      </c>
      <c r="D9" s="56" t="s">
        <v>562</v>
      </c>
      <c r="E9" s="56" t="s">
        <v>563</v>
      </c>
      <c r="F9" s="56" t="s">
        <v>679</v>
      </c>
      <c r="G9" s="56" t="s">
        <v>680</v>
      </c>
      <c r="H9" s="56" t="s">
        <v>681</v>
      </c>
      <c r="I9" s="56" t="s">
        <v>682</v>
      </c>
      <c r="J9" s="56" t="s">
        <v>683</v>
      </c>
      <c r="K9" s="56" t="s">
        <v>684</v>
      </c>
      <c r="L9" s="56" t="s">
        <v>685</v>
      </c>
      <c r="M9" s="56" t="s">
        <v>686</v>
      </c>
      <c r="N9" s="56" t="s">
        <v>687</v>
      </c>
      <c r="O9" s="56" t="s">
        <v>688</v>
      </c>
      <c r="P9" s="56" t="s">
        <v>689</v>
      </c>
      <c r="Q9" s="56" t="s">
        <v>690</v>
      </c>
      <c r="R9" s="56" t="s">
        <v>691</v>
      </c>
      <c r="S9" s="56" t="s">
        <v>692</v>
      </c>
      <c r="T9" s="56" t="s">
        <v>693</v>
      </c>
      <c r="U9" s="56" t="s">
        <v>694</v>
      </c>
      <c r="V9" s="56" t="s">
        <v>695</v>
      </c>
      <c r="W9" s="56" t="s">
        <v>696</v>
      </c>
      <c r="X9" s="56" t="s">
        <v>697</v>
      </c>
      <c r="Y9" s="56" t="s">
        <v>698</v>
      </c>
      <c r="Z9" s="56" t="s">
        <v>699</v>
      </c>
      <c r="AA9" s="56" t="s">
        <v>700</v>
      </c>
      <c r="AB9" s="56" t="s">
        <v>701</v>
      </c>
      <c r="AC9" s="56" t="s">
        <v>702</v>
      </c>
      <c r="AD9" s="56" t="s">
        <v>703</v>
      </c>
    </row>
    <row r="10" spans="1:30">
      <c r="A10" s="56" t="s">
        <v>511</v>
      </c>
      <c r="B10" s="56" t="s">
        <v>704</v>
      </c>
      <c r="C10" s="56" t="s">
        <v>523</v>
      </c>
      <c r="D10" s="56" t="s">
        <v>674</v>
      </c>
      <c r="E10" s="56" t="s">
        <v>675</v>
      </c>
      <c r="F10" s="56">
        <v>8643</v>
      </c>
      <c r="G10" s="56">
        <v>10613</v>
      </c>
      <c r="H10" s="56">
        <v>10620</v>
      </c>
      <c r="I10" s="56">
        <v>10953</v>
      </c>
      <c r="J10" s="56">
        <v>9204</v>
      </c>
      <c r="K10" s="56">
        <v>9132</v>
      </c>
      <c r="L10" s="56">
        <v>10841</v>
      </c>
      <c r="M10" s="56">
        <v>14409</v>
      </c>
      <c r="N10" s="56">
        <v>10111</v>
      </c>
      <c r="O10" s="56">
        <v>10962</v>
      </c>
      <c r="P10" s="56">
        <v>11570</v>
      </c>
      <c r="Q10" s="56">
        <v>14127</v>
      </c>
      <c r="R10" s="56">
        <v>12466</v>
      </c>
      <c r="S10" s="56">
        <v>13728</v>
      </c>
      <c r="T10" s="56">
        <v>15503</v>
      </c>
      <c r="U10" s="56">
        <v>16276</v>
      </c>
      <c r="V10" s="56">
        <v>16721</v>
      </c>
      <c r="W10" s="56">
        <v>17489</v>
      </c>
      <c r="X10" s="56">
        <v>18718</v>
      </c>
      <c r="Y10" s="56">
        <v>19653</v>
      </c>
      <c r="Z10" s="56">
        <v>21672</v>
      </c>
      <c r="AA10" s="56">
        <v>21109</v>
      </c>
      <c r="AB10" s="56">
        <v>21244</v>
      </c>
      <c r="AC10" s="56">
        <v>21662</v>
      </c>
      <c r="AD10" s="56">
        <f>AVERAGE(F10:AC10)</f>
        <v>14476.083333333334</v>
      </c>
    </row>
    <row r="11" spans="1:30">
      <c r="A11" s="56" t="s">
        <v>511</v>
      </c>
      <c r="B11" s="56" t="s">
        <v>705</v>
      </c>
      <c r="C11" s="56" t="s">
        <v>523</v>
      </c>
      <c r="D11" s="56" t="s">
        <v>674</v>
      </c>
      <c r="E11" s="56" t="s">
        <v>675</v>
      </c>
      <c r="F11" s="56">
        <v>13590</v>
      </c>
      <c r="G11" s="56">
        <v>16826</v>
      </c>
      <c r="H11" s="56">
        <v>17381</v>
      </c>
      <c r="I11" s="56">
        <v>16175</v>
      </c>
      <c r="J11" s="56">
        <v>17150</v>
      </c>
      <c r="K11" s="56">
        <v>16204</v>
      </c>
      <c r="L11" s="56">
        <v>17427</v>
      </c>
      <c r="M11" s="56">
        <v>18753</v>
      </c>
      <c r="N11" s="56">
        <v>15319</v>
      </c>
      <c r="O11" s="56">
        <v>16132</v>
      </c>
      <c r="P11" s="56">
        <v>20060</v>
      </c>
      <c r="Q11" s="56">
        <v>26404</v>
      </c>
      <c r="R11" s="56">
        <v>19692</v>
      </c>
      <c r="S11" s="56">
        <v>21367</v>
      </c>
      <c r="T11" s="56">
        <v>21990</v>
      </c>
      <c r="U11" s="56">
        <v>25398</v>
      </c>
      <c r="V11" s="56">
        <v>29539</v>
      </c>
      <c r="W11" s="56">
        <v>30592</v>
      </c>
      <c r="X11" s="56">
        <v>32542</v>
      </c>
      <c r="Y11" s="56">
        <v>34210</v>
      </c>
      <c r="Z11" s="56">
        <v>37331</v>
      </c>
      <c r="AA11" s="56">
        <v>36745</v>
      </c>
      <c r="AB11" s="56">
        <v>37361</v>
      </c>
      <c r="AC11" s="56">
        <v>32919</v>
      </c>
      <c r="AD11" s="56">
        <f>AVERAGE(F11:AC11)</f>
        <v>23796.125</v>
      </c>
    </row>
    <row r="12" spans="1:30">
      <c r="A12" s="56" t="s">
        <v>511</v>
      </c>
      <c r="B12" s="56" t="s">
        <v>706</v>
      </c>
      <c r="C12" s="56" t="s">
        <v>523</v>
      </c>
      <c r="D12" s="56" t="s">
        <v>674</v>
      </c>
      <c r="E12" s="56" t="s">
        <v>675</v>
      </c>
      <c r="F12" s="56">
        <v>6688</v>
      </c>
      <c r="G12" s="56">
        <v>8921</v>
      </c>
      <c r="H12" s="56">
        <v>10138</v>
      </c>
      <c r="I12" s="56">
        <v>8932</v>
      </c>
      <c r="J12" s="56">
        <v>8543</v>
      </c>
      <c r="K12" s="56">
        <v>8867</v>
      </c>
      <c r="L12" s="56">
        <v>9117</v>
      </c>
      <c r="M12" s="56">
        <v>10878</v>
      </c>
      <c r="N12" s="56">
        <v>10011</v>
      </c>
      <c r="O12" s="56">
        <v>10593</v>
      </c>
      <c r="P12" s="56">
        <v>11863</v>
      </c>
      <c r="Q12" s="56">
        <v>12793</v>
      </c>
      <c r="R12" s="56">
        <v>10613</v>
      </c>
      <c r="S12" s="56">
        <v>12132</v>
      </c>
      <c r="T12" s="56">
        <v>14206</v>
      </c>
      <c r="U12" s="56">
        <v>15555</v>
      </c>
      <c r="V12" s="56">
        <v>15070</v>
      </c>
      <c r="W12" s="56">
        <v>17202</v>
      </c>
      <c r="X12" s="56">
        <v>18672</v>
      </c>
      <c r="Y12" s="56">
        <v>20165</v>
      </c>
      <c r="Z12" s="56">
        <v>22265</v>
      </c>
      <c r="AA12" s="56">
        <v>22296</v>
      </c>
      <c r="AB12" s="56">
        <v>19339</v>
      </c>
      <c r="AC12" s="56">
        <v>19064</v>
      </c>
      <c r="AD12" s="56">
        <f>AVERAGE(F12:AC12)</f>
        <v>13496.791666666666</v>
      </c>
    </row>
    <row r="13" spans="1:30">
      <c r="A13" s="56" t="s">
        <v>511</v>
      </c>
      <c r="B13" s="56" t="s">
        <v>707</v>
      </c>
      <c r="C13" s="56" t="s">
        <v>523</v>
      </c>
      <c r="D13" s="56" t="s">
        <v>674</v>
      </c>
      <c r="E13" s="56" t="s">
        <v>675</v>
      </c>
      <c r="F13" s="56">
        <v>12401</v>
      </c>
      <c r="G13" s="56">
        <v>13575</v>
      </c>
      <c r="H13" s="56">
        <v>14136</v>
      </c>
      <c r="I13" s="56">
        <v>11034</v>
      </c>
      <c r="J13" s="56">
        <v>12478</v>
      </c>
      <c r="K13" s="56">
        <v>11750</v>
      </c>
      <c r="L13" s="56">
        <v>11394</v>
      </c>
      <c r="M13" s="56">
        <v>13653</v>
      </c>
      <c r="N13" s="56">
        <v>13357</v>
      </c>
      <c r="O13" s="56">
        <v>13574</v>
      </c>
      <c r="P13" s="56">
        <v>13688</v>
      </c>
      <c r="Q13" s="56">
        <v>14806</v>
      </c>
      <c r="R13" s="56">
        <v>15817</v>
      </c>
      <c r="S13" s="56">
        <v>17340</v>
      </c>
      <c r="T13" s="56">
        <v>18356</v>
      </c>
      <c r="U13" s="56">
        <v>20866</v>
      </c>
      <c r="V13" s="56">
        <v>20540</v>
      </c>
      <c r="W13" s="56">
        <v>21059</v>
      </c>
      <c r="X13" s="56">
        <v>22825</v>
      </c>
      <c r="Y13" s="56">
        <v>23651</v>
      </c>
      <c r="Z13" s="56">
        <v>25695</v>
      </c>
      <c r="AA13" s="56">
        <v>25251</v>
      </c>
      <c r="AB13" s="56">
        <v>25863</v>
      </c>
      <c r="AC13" s="56">
        <v>26976</v>
      </c>
      <c r="AD13" s="56">
        <f>AVERAGE(F13:AC13)</f>
        <v>17503.541666666668</v>
      </c>
    </row>
    <row r="14" spans="1:30">
      <c r="A14" s="56" t="s">
        <v>511</v>
      </c>
      <c r="B14" s="56" t="s">
        <v>708</v>
      </c>
      <c r="C14" s="56" t="s">
        <v>523</v>
      </c>
      <c r="D14" s="56" t="s">
        <v>674</v>
      </c>
      <c r="E14" s="56" t="s">
        <v>675</v>
      </c>
      <c r="F14" s="56">
        <v>13106</v>
      </c>
      <c r="G14" s="56">
        <v>12114</v>
      </c>
      <c r="H14" s="56">
        <v>12917</v>
      </c>
      <c r="I14" s="56">
        <v>13738</v>
      </c>
      <c r="J14" s="56">
        <v>11150</v>
      </c>
      <c r="K14" s="56">
        <v>11631</v>
      </c>
      <c r="L14" s="56">
        <v>13259</v>
      </c>
      <c r="M14" s="56">
        <v>14354</v>
      </c>
      <c r="N14" s="56">
        <v>13874</v>
      </c>
      <c r="O14" s="56">
        <v>14691</v>
      </c>
      <c r="P14" s="56">
        <v>15567</v>
      </c>
      <c r="Q14" s="56">
        <v>15204</v>
      </c>
      <c r="R14" s="56">
        <v>16711</v>
      </c>
      <c r="S14" s="56">
        <v>16245</v>
      </c>
      <c r="T14" s="56">
        <v>18269</v>
      </c>
      <c r="U14" s="56">
        <v>18385</v>
      </c>
      <c r="V14" s="56">
        <v>20288</v>
      </c>
      <c r="W14" s="56">
        <v>21102</v>
      </c>
      <c r="X14" s="56">
        <v>24446</v>
      </c>
      <c r="Y14" s="56">
        <v>25433</v>
      </c>
      <c r="Z14" s="56">
        <v>27941</v>
      </c>
      <c r="AA14" s="56">
        <v>26755</v>
      </c>
      <c r="AB14" s="56">
        <v>28157</v>
      </c>
      <c r="AC14" s="56">
        <v>24236</v>
      </c>
      <c r="AD14" s="56">
        <f>AVERAGE(F14:AC14)</f>
        <v>17898.875</v>
      </c>
    </row>
    <row r="15" spans="1:30">
      <c r="AD15" s="52">
        <f>AVERAGE(AD10:AD14)</f>
        <v>17434.283333333333</v>
      </c>
    </row>
    <row r="17" spans="1:30">
      <c r="A17" s="56" t="s">
        <v>559</v>
      </c>
      <c r="B17" s="56" t="s">
        <v>560</v>
      </c>
      <c r="C17" s="56" t="s">
        <v>561</v>
      </c>
      <c r="D17" s="56" t="s">
        <v>562</v>
      </c>
      <c r="E17" s="56" t="s">
        <v>563</v>
      </c>
      <c r="F17" s="56" t="s">
        <v>679</v>
      </c>
      <c r="G17" s="56" t="s">
        <v>680</v>
      </c>
      <c r="H17" s="56" t="s">
        <v>681</v>
      </c>
      <c r="I17" s="56" t="s">
        <v>682</v>
      </c>
      <c r="J17" s="56" t="s">
        <v>683</v>
      </c>
      <c r="K17" s="56" t="s">
        <v>684</v>
      </c>
      <c r="L17" s="56" t="s">
        <v>685</v>
      </c>
      <c r="M17" s="56" t="s">
        <v>686</v>
      </c>
      <c r="N17" s="56" t="s">
        <v>687</v>
      </c>
      <c r="O17" s="56" t="s">
        <v>688</v>
      </c>
      <c r="P17" s="56" t="s">
        <v>689</v>
      </c>
      <c r="Q17" s="56" t="s">
        <v>690</v>
      </c>
      <c r="R17" s="56" t="s">
        <v>691</v>
      </c>
      <c r="S17" s="56" t="s">
        <v>692</v>
      </c>
      <c r="T17" s="56" t="s">
        <v>693</v>
      </c>
      <c r="U17" s="56" t="s">
        <v>694</v>
      </c>
      <c r="V17" s="56" t="s">
        <v>695</v>
      </c>
      <c r="W17" s="56" t="s">
        <v>696</v>
      </c>
      <c r="X17" s="56" t="s">
        <v>697</v>
      </c>
      <c r="Y17" s="56" t="s">
        <v>698</v>
      </c>
      <c r="Z17" s="56" t="s">
        <v>699</v>
      </c>
      <c r="AA17" s="56" t="s">
        <v>700</v>
      </c>
      <c r="AB17" s="56" t="s">
        <v>701</v>
      </c>
      <c r="AC17" s="56" t="s">
        <v>702</v>
      </c>
      <c r="AD17" s="56" t="s">
        <v>703</v>
      </c>
    </row>
    <row r="18" spans="1:30">
      <c r="A18" s="56" t="s">
        <v>511</v>
      </c>
      <c r="B18" s="56" t="s">
        <v>709</v>
      </c>
      <c r="C18" s="56" t="s">
        <v>710</v>
      </c>
      <c r="D18" s="56" t="s">
        <v>674</v>
      </c>
      <c r="E18" s="56" t="s">
        <v>675</v>
      </c>
      <c r="F18" s="56">
        <v>6250</v>
      </c>
      <c r="G18" s="56">
        <v>6250</v>
      </c>
      <c r="H18" s="56">
        <v>6250</v>
      </c>
      <c r="I18" s="56">
        <v>6250</v>
      </c>
      <c r="J18" s="56">
        <v>6250</v>
      </c>
      <c r="K18" s="56">
        <v>6250</v>
      </c>
      <c r="L18" s="56">
        <v>6250</v>
      </c>
      <c r="M18" s="56">
        <v>6250</v>
      </c>
      <c r="N18" s="56">
        <v>6250</v>
      </c>
      <c r="O18" s="56">
        <v>6250</v>
      </c>
      <c r="P18" s="56">
        <v>6250</v>
      </c>
      <c r="Q18" s="56">
        <v>6250</v>
      </c>
      <c r="R18" s="56">
        <v>6250</v>
      </c>
      <c r="S18" s="56">
        <v>6250</v>
      </c>
      <c r="T18" s="56">
        <v>6250</v>
      </c>
      <c r="U18" s="56">
        <v>6875</v>
      </c>
      <c r="V18" s="56">
        <v>7291</v>
      </c>
      <c r="W18" s="56">
        <v>8000</v>
      </c>
      <c r="X18" s="56">
        <v>7887</v>
      </c>
      <c r="Y18" s="56">
        <v>8060</v>
      </c>
      <c r="Z18" s="56">
        <v>7966</v>
      </c>
      <c r="AA18" s="56">
        <v>8000</v>
      </c>
      <c r="AB18" s="56">
        <v>8106</v>
      </c>
      <c r="AC18" s="56">
        <v>8428</v>
      </c>
      <c r="AD18" s="56">
        <f t="shared" ref="AD18:AD48" si="0">AVERAGE(F18:AC18)</f>
        <v>6848.458333333333</v>
      </c>
    </row>
    <row r="19" spans="1:30">
      <c r="A19" s="56" t="s">
        <v>511</v>
      </c>
      <c r="B19" s="56" t="s">
        <v>711</v>
      </c>
      <c r="C19" s="56" t="s">
        <v>710</v>
      </c>
      <c r="D19" s="56" t="s">
        <v>674</v>
      </c>
      <c r="E19" s="56" t="s">
        <v>675</v>
      </c>
      <c r="K19" s="56">
        <v>80000</v>
      </c>
      <c r="L19" s="56">
        <v>57531</v>
      </c>
      <c r="M19" s="56">
        <v>57692</v>
      </c>
      <c r="N19" s="56">
        <v>58547</v>
      </c>
      <c r="O19" s="56">
        <v>51539</v>
      </c>
      <c r="P19" s="56">
        <v>78832</v>
      </c>
      <c r="Q19" s="56">
        <v>73887</v>
      </c>
      <c r="R19" s="56">
        <v>66197</v>
      </c>
      <c r="S19" s="56">
        <v>64046</v>
      </c>
      <c r="T19" s="56">
        <v>66124</v>
      </c>
      <c r="U19" s="56">
        <v>79450</v>
      </c>
      <c r="V19" s="56">
        <v>81003</v>
      </c>
      <c r="W19" s="56">
        <v>28679</v>
      </c>
      <c r="X19" s="56">
        <v>17192</v>
      </c>
      <c r="Y19" s="56">
        <v>38917</v>
      </c>
      <c r="Z19" s="56">
        <v>43417</v>
      </c>
      <c r="AA19" s="56">
        <v>36435</v>
      </c>
      <c r="AB19" s="56">
        <v>43862</v>
      </c>
      <c r="AC19" s="56">
        <v>45510</v>
      </c>
      <c r="AD19" s="56">
        <f t="shared" si="0"/>
        <v>56255.789473684214</v>
      </c>
    </row>
    <row r="20" spans="1:30">
      <c r="A20" s="56" t="s">
        <v>511</v>
      </c>
      <c r="B20" s="56" t="s">
        <v>712</v>
      </c>
      <c r="C20" s="56" t="s">
        <v>710</v>
      </c>
      <c r="D20" s="56" t="s">
        <v>674</v>
      </c>
      <c r="E20" s="56" t="s">
        <v>675</v>
      </c>
      <c r="F20" s="56">
        <v>55968</v>
      </c>
      <c r="G20" s="56">
        <v>57196</v>
      </c>
      <c r="H20" s="56">
        <v>58424</v>
      </c>
      <c r="I20" s="56">
        <v>58822</v>
      </c>
      <c r="J20" s="56">
        <v>64211</v>
      </c>
      <c r="K20" s="56">
        <v>66667</v>
      </c>
      <c r="L20" s="56">
        <v>57538</v>
      </c>
      <c r="M20" s="56">
        <v>58621</v>
      </c>
      <c r="N20" s="56">
        <v>60224</v>
      </c>
      <c r="O20" s="56">
        <v>63366</v>
      </c>
      <c r="P20" s="56">
        <v>75244</v>
      </c>
      <c r="Q20" s="56">
        <v>74909</v>
      </c>
      <c r="R20" s="56">
        <v>66215</v>
      </c>
      <c r="S20" s="56">
        <v>66864</v>
      </c>
      <c r="T20" s="56">
        <v>70929</v>
      </c>
      <c r="U20" s="56">
        <v>84856</v>
      </c>
      <c r="V20" s="56">
        <v>81200</v>
      </c>
      <c r="W20" s="56">
        <v>84000</v>
      </c>
      <c r="X20" s="56">
        <v>82214</v>
      </c>
      <c r="Y20" s="56">
        <v>88637</v>
      </c>
      <c r="Z20" s="56">
        <v>90367</v>
      </c>
      <c r="AA20" s="56">
        <v>85157</v>
      </c>
      <c r="AB20" s="56">
        <v>86058</v>
      </c>
      <c r="AC20" s="56">
        <v>91157</v>
      </c>
      <c r="AD20" s="56">
        <f t="shared" si="0"/>
        <v>72035.166666666672</v>
      </c>
    </row>
    <row r="21" spans="1:30">
      <c r="A21" s="56" t="s">
        <v>511</v>
      </c>
      <c r="B21" s="56" t="s">
        <v>713</v>
      </c>
      <c r="C21" s="56" t="s">
        <v>710</v>
      </c>
      <c r="D21" s="56" t="s">
        <v>674</v>
      </c>
      <c r="E21" s="56" t="s">
        <v>675</v>
      </c>
      <c r="F21" s="56">
        <v>104404</v>
      </c>
      <c r="G21" s="56">
        <v>100978</v>
      </c>
      <c r="H21" s="56">
        <v>95000</v>
      </c>
      <c r="I21" s="56">
        <v>90909</v>
      </c>
      <c r="J21" s="56">
        <v>100000</v>
      </c>
      <c r="K21" s="56">
        <v>97094</v>
      </c>
      <c r="L21" s="56">
        <v>96296</v>
      </c>
      <c r="M21" s="56">
        <v>99563</v>
      </c>
      <c r="N21" s="56">
        <v>88889</v>
      </c>
      <c r="O21" s="56">
        <v>91730</v>
      </c>
      <c r="P21" s="56">
        <v>94886</v>
      </c>
      <c r="Q21" s="56">
        <v>79737</v>
      </c>
      <c r="R21" s="56">
        <v>66300</v>
      </c>
      <c r="S21" s="56">
        <v>82116</v>
      </c>
      <c r="T21" s="56">
        <v>83348</v>
      </c>
      <c r="U21" s="56">
        <v>109877</v>
      </c>
      <c r="V21" s="56">
        <v>100220</v>
      </c>
      <c r="W21" s="56">
        <v>104181</v>
      </c>
      <c r="X21" s="56">
        <v>100704</v>
      </c>
      <c r="Y21" s="56">
        <v>99004</v>
      </c>
      <c r="Z21" s="56">
        <v>100750</v>
      </c>
      <c r="AA21" s="56">
        <v>92618</v>
      </c>
      <c r="AB21" s="56">
        <v>92290</v>
      </c>
      <c r="AC21" s="56">
        <v>97495</v>
      </c>
      <c r="AD21" s="56">
        <f t="shared" si="0"/>
        <v>94516.208333333328</v>
      </c>
    </row>
    <row r="22" spans="1:30">
      <c r="A22" s="56" t="s">
        <v>511</v>
      </c>
      <c r="B22" s="56" t="s">
        <v>714</v>
      </c>
      <c r="C22" s="56" t="s">
        <v>710</v>
      </c>
      <c r="D22" s="56" t="s">
        <v>674</v>
      </c>
      <c r="E22" s="56" t="s">
        <v>675</v>
      </c>
      <c r="F22" s="56">
        <v>89744</v>
      </c>
      <c r="G22" s="56">
        <v>89888</v>
      </c>
      <c r="H22" s="56">
        <v>90000</v>
      </c>
      <c r="I22" s="56">
        <v>90909</v>
      </c>
      <c r="J22" s="56">
        <v>90000</v>
      </c>
      <c r="K22" s="56">
        <v>99783</v>
      </c>
      <c r="L22" s="56">
        <v>106697</v>
      </c>
      <c r="M22" s="56">
        <v>173010</v>
      </c>
      <c r="N22" s="56">
        <v>91118</v>
      </c>
      <c r="O22" s="56">
        <v>102786</v>
      </c>
      <c r="P22" s="56">
        <v>39529</v>
      </c>
      <c r="Q22" s="56">
        <v>62502</v>
      </c>
      <c r="R22" s="56">
        <v>70686</v>
      </c>
      <c r="S22" s="56">
        <v>74817</v>
      </c>
      <c r="T22" s="56">
        <v>67191</v>
      </c>
      <c r="U22" s="56">
        <v>55738</v>
      </c>
      <c r="V22" s="56">
        <v>55789</v>
      </c>
      <c r="W22" s="56">
        <v>45057</v>
      </c>
      <c r="X22" s="56">
        <v>41898</v>
      </c>
      <c r="Y22" s="56">
        <v>38672</v>
      </c>
      <c r="Z22" s="56">
        <v>48295</v>
      </c>
      <c r="AA22" s="56">
        <v>35043</v>
      </c>
      <c r="AB22" s="56">
        <v>36044</v>
      </c>
      <c r="AC22" s="56">
        <v>44852</v>
      </c>
      <c r="AD22" s="56">
        <f t="shared" si="0"/>
        <v>72502</v>
      </c>
    </row>
    <row r="23" spans="1:30">
      <c r="A23" s="56" t="s">
        <v>511</v>
      </c>
      <c r="B23" s="56" t="s">
        <v>715</v>
      </c>
      <c r="C23" s="56" t="s">
        <v>710</v>
      </c>
      <c r="D23" s="56" t="s">
        <v>674</v>
      </c>
      <c r="E23" s="56" t="s">
        <v>675</v>
      </c>
      <c r="F23" s="56">
        <v>16673</v>
      </c>
      <c r="G23" s="56">
        <v>16724</v>
      </c>
      <c r="H23" s="56">
        <v>16775</v>
      </c>
      <c r="I23" s="56">
        <v>16826</v>
      </c>
      <c r="J23" s="56">
        <v>16877</v>
      </c>
      <c r="K23" s="56">
        <v>16929</v>
      </c>
      <c r="L23" s="56">
        <v>16980</v>
      </c>
      <c r="M23" s="56">
        <v>17031</v>
      </c>
      <c r="N23" s="56">
        <v>17082</v>
      </c>
      <c r="O23" s="56">
        <v>17187</v>
      </c>
      <c r="P23" s="56">
        <v>17348</v>
      </c>
      <c r="Q23" s="56">
        <v>17508</v>
      </c>
      <c r="R23" s="56">
        <v>17668</v>
      </c>
      <c r="S23" s="56">
        <v>17828</v>
      </c>
      <c r="T23" s="56">
        <v>17988</v>
      </c>
      <c r="U23" s="56">
        <v>18148</v>
      </c>
      <c r="V23" s="56">
        <v>18309</v>
      </c>
      <c r="W23" s="56">
        <v>18552</v>
      </c>
      <c r="X23" s="56">
        <v>18585</v>
      </c>
      <c r="Y23" s="56">
        <v>18482</v>
      </c>
      <c r="Z23" s="56">
        <v>20286</v>
      </c>
      <c r="AA23" s="56">
        <v>18251</v>
      </c>
      <c r="AB23" s="56">
        <v>18956</v>
      </c>
      <c r="AC23" s="56">
        <v>19280</v>
      </c>
      <c r="AD23" s="56">
        <f t="shared" si="0"/>
        <v>17761.375</v>
      </c>
    </row>
    <row r="24" spans="1:30">
      <c r="A24" s="56" t="s">
        <v>511</v>
      </c>
      <c r="B24" s="56" t="s">
        <v>716</v>
      </c>
      <c r="C24" s="56" t="s">
        <v>710</v>
      </c>
      <c r="D24" s="56" t="s">
        <v>674</v>
      </c>
      <c r="E24" s="56" t="s">
        <v>675</v>
      </c>
      <c r="F24" s="56">
        <v>12447</v>
      </c>
      <c r="G24" s="56">
        <v>12909</v>
      </c>
      <c r="H24" s="56">
        <v>12973</v>
      </c>
      <c r="I24" s="56">
        <v>13036</v>
      </c>
      <c r="J24" s="56">
        <v>12982</v>
      </c>
      <c r="K24" s="56">
        <v>12931</v>
      </c>
      <c r="L24" s="56">
        <v>15741</v>
      </c>
      <c r="M24" s="56">
        <v>19461</v>
      </c>
      <c r="N24" s="56">
        <v>13487</v>
      </c>
      <c r="O24" s="56">
        <v>20024</v>
      </c>
      <c r="P24" s="56">
        <v>18907</v>
      </c>
      <c r="Q24" s="56">
        <v>24958</v>
      </c>
      <c r="R24" s="56">
        <v>21817</v>
      </c>
      <c r="S24" s="56">
        <v>22177</v>
      </c>
      <c r="T24" s="56">
        <v>22596</v>
      </c>
      <c r="U24" s="56">
        <v>30003</v>
      </c>
      <c r="V24" s="56">
        <v>26363</v>
      </c>
      <c r="W24" s="56">
        <v>27337</v>
      </c>
      <c r="X24" s="56">
        <v>25642</v>
      </c>
      <c r="Y24" s="56">
        <v>21105</v>
      </c>
      <c r="Z24" s="56">
        <v>67849</v>
      </c>
      <c r="AA24" s="56">
        <v>62850</v>
      </c>
      <c r="AB24" s="56">
        <v>23205</v>
      </c>
      <c r="AC24" s="56">
        <v>23905</v>
      </c>
      <c r="AD24" s="56">
        <f t="shared" si="0"/>
        <v>23529.375</v>
      </c>
    </row>
    <row r="25" spans="1:30">
      <c r="A25" s="56" t="s">
        <v>511</v>
      </c>
      <c r="B25" s="56" t="s">
        <v>717</v>
      </c>
      <c r="C25" s="56" t="s">
        <v>710</v>
      </c>
      <c r="D25" s="56" t="s">
        <v>674</v>
      </c>
      <c r="E25" s="56" t="s">
        <v>675</v>
      </c>
      <c r="F25" s="56">
        <v>142857</v>
      </c>
      <c r="G25" s="56">
        <v>147278</v>
      </c>
      <c r="H25" s="56">
        <v>151773</v>
      </c>
      <c r="I25" s="56">
        <v>156275</v>
      </c>
      <c r="J25" s="56">
        <v>160786</v>
      </c>
      <c r="K25" s="56">
        <v>165309</v>
      </c>
      <c r="L25" s="56">
        <v>169846</v>
      </c>
      <c r="M25" s="56">
        <v>175000</v>
      </c>
      <c r="N25" s="56">
        <v>178967</v>
      </c>
      <c r="O25" s="56">
        <v>183104</v>
      </c>
      <c r="P25" s="56">
        <v>186800</v>
      </c>
      <c r="Q25" s="56">
        <v>190487</v>
      </c>
      <c r="R25" s="56">
        <v>194156</v>
      </c>
      <c r="S25" s="56">
        <v>197799</v>
      </c>
      <c r="T25" s="56">
        <v>201407</v>
      </c>
      <c r="U25" s="56">
        <v>204970</v>
      </c>
      <c r="V25" s="56">
        <v>208479</v>
      </c>
      <c r="W25" s="56">
        <v>214286</v>
      </c>
      <c r="X25" s="56">
        <v>214286</v>
      </c>
      <c r="Y25" s="56">
        <v>218557</v>
      </c>
      <c r="Z25" s="56">
        <v>222771</v>
      </c>
      <c r="AA25" s="56">
        <v>226242</v>
      </c>
      <c r="AB25" s="56">
        <v>229794</v>
      </c>
      <c r="AC25" s="56">
        <v>233345</v>
      </c>
      <c r="AD25" s="56">
        <f t="shared" si="0"/>
        <v>190607.25</v>
      </c>
    </row>
    <row r="26" spans="1:30">
      <c r="A26" s="56" t="s">
        <v>511</v>
      </c>
      <c r="B26" s="56" t="s">
        <v>718</v>
      </c>
      <c r="C26" s="56" t="s">
        <v>710</v>
      </c>
      <c r="D26" s="56" t="s">
        <v>674</v>
      </c>
      <c r="E26" s="56" t="s">
        <v>675</v>
      </c>
      <c r="F26" s="56">
        <v>103542</v>
      </c>
      <c r="G26" s="56">
        <v>108000</v>
      </c>
      <c r="H26" s="56">
        <v>95000</v>
      </c>
      <c r="I26" s="56">
        <v>104130</v>
      </c>
      <c r="J26" s="56">
        <v>100000</v>
      </c>
      <c r="K26" s="56">
        <v>90000</v>
      </c>
      <c r="L26" s="56">
        <v>120000</v>
      </c>
      <c r="M26" s="56">
        <v>146753</v>
      </c>
      <c r="N26" s="56">
        <v>100000</v>
      </c>
      <c r="O26" s="56">
        <v>143047</v>
      </c>
      <c r="P26" s="56">
        <v>144059</v>
      </c>
      <c r="Q26" s="56">
        <v>85868</v>
      </c>
      <c r="R26" s="56">
        <v>73719</v>
      </c>
      <c r="S26" s="56">
        <v>111132</v>
      </c>
      <c r="T26" s="56">
        <v>116957</v>
      </c>
      <c r="U26" s="56">
        <v>120151</v>
      </c>
      <c r="V26" s="56">
        <v>93352</v>
      </c>
      <c r="W26" s="56">
        <v>104689</v>
      </c>
      <c r="X26" s="56">
        <v>96944</v>
      </c>
      <c r="Y26" s="56">
        <v>100979</v>
      </c>
      <c r="Z26" s="56">
        <v>100263</v>
      </c>
      <c r="AA26" s="56">
        <v>90153</v>
      </c>
      <c r="AB26" s="56">
        <v>97011</v>
      </c>
      <c r="AC26" s="56">
        <v>100413</v>
      </c>
      <c r="AD26" s="56">
        <f t="shared" si="0"/>
        <v>106090.08333333333</v>
      </c>
    </row>
    <row r="27" spans="1:30">
      <c r="A27" s="56" t="s">
        <v>511</v>
      </c>
      <c r="B27" s="56" t="s">
        <v>719</v>
      </c>
      <c r="C27" s="56" t="s">
        <v>710</v>
      </c>
      <c r="D27" s="56" t="s">
        <v>674</v>
      </c>
      <c r="E27" s="56" t="s">
        <v>675</v>
      </c>
      <c r="F27" s="56">
        <v>31778</v>
      </c>
      <c r="G27" s="56">
        <v>31715</v>
      </c>
      <c r="H27" s="56">
        <v>32040</v>
      </c>
      <c r="I27" s="56">
        <v>32258</v>
      </c>
      <c r="J27" s="56">
        <v>33333</v>
      </c>
      <c r="K27" s="56">
        <v>33333</v>
      </c>
      <c r="L27" s="56">
        <v>33333</v>
      </c>
      <c r="M27" s="56">
        <v>33333</v>
      </c>
      <c r="N27" s="56">
        <v>33333</v>
      </c>
      <c r="O27" s="56">
        <v>30000</v>
      </c>
      <c r="P27" s="56">
        <v>33333</v>
      </c>
      <c r="Q27" s="56">
        <v>33333</v>
      </c>
      <c r="R27" s="56">
        <v>33333</v>
      </c>
      <c r="S27" s="56">
        <v>33333</v>
      </c>
      <c r="T27" s="56">
        <v>33333</v>
      </c>
      <c r="U27" s="56">
        <v>31841</v>
      </c>
      <c r="V27" s="56">
        <v>31134</v>
      </c>
      <c r="W27" s="56">
        <v>28571</v>
      </c>
      <c r="X27" s="56">
        <v>28571</v>
      </c>
      <c r="Y27" s="56">
        <v>29979</v>
      </c>
      <c r="Z27" s="56">
        <v>30688</v>
      </c>
      <c r="AA27" s="56">
        <v>30431</v>
      </c>
      <c r="AB27" s="56">
        <v>30358</v>
      </c>
      <c r="AC27" s="56">
        <v>30285</v>
      </c>
      <c r="AD27" s="56">
        <f t="shared" si="0"/>
        <v>31790.791666666668</v>
      </c>
    </row>
    <row r="28" spans="1:30">
      <c r="A28" s="56" t="s">
        <v>511</v>
      </c>
      <c r="B28" s="56" t="s">
        <v>720</v>
      </c>
      <c r="C28" s="56" t="s">
        <v>710</v>
      </c>
      <c r="D28" s="56" t="s">
        <v>674</v>
      </c>
      <c r="E28" s="56" t="s">
        <v>675</v>
      </c>
      <c r="F28" s="56">
        <v>42185</v>
      </c>
      <c r="G28" s="56">
        <v>41620</v>
      </c>
      <c r="H28" s="56">
        <v>41840</v>
      </c>
      <c r="I28" s="56">
        <v>39988</v>
      </c>
      <c r="J28" s="56">
        <v>39583</v>
      </c>
      <c r="K28" s="56">
        <v>40000</v>
      </c>
      <c r="L28" s="56">
        <v>38824</v>
      </c>
      <c r="M28" s="56">
        <v>38857</v>
      </c>
      <c r="N28" s="56">
        <v>38803</v>
      </c>
      <c r="O28" s="56">
        <v>38619</v>
      </c>
      <c r="P28" s="56">
        <v>38318</v>
      </c>
      <c r="Q28" s="56">
        <v>38889</v>
      </c>
      <c r="R28" s="56">
        <v>35899</v>
      </c>
      <c r="S28" s="56">
        <v>33646</v>
      </c>
      <c r="T28" s="56">
        <v>31375</v>
      </c>
      <c r="U28" s="56">
        <v>29013</v>
      </c>
      <c r="V28" s="56">
        <v>26623</v>
      </c>
      <c r="W28" s="56">
        <v>22727</v>
      </c>
      <c r="X28" s="56">
        <v>22727</v>
      </c>
      <c r="Y28" s="56">
        <v>20985</v>
      </c>
      <c r="Z28" s="56">
        <v>18171</v>
      </c>
      <c r="AA28" s="56">
        <v>21953</v>
      </c>
      <c r="AB28" s="56">
        <v>21695</v>
      </c>
      <c r="AC28" s="56">
        <v>21931</v>
      </c>
      <c r="AD28" s="56">
        <f t="shared" si="0"/>
        <v>32677.958333333332</v>
      </c>
    </row>
    <row r="29" spans="1:30">
      <c r="A29" s="56" t="s">
        <v>511</v>
      </c>
      <c r="B29" s="56" t="s">
        <v>721</v>
      </c>
      <c r="C29" s="56" t="s">
        <v>710</v>
      </c>
      <c r="D29" s="56" t="s">
        <v>674</v>
      </c>
      <c r="E29" s="56" t="s">
        <v>675</v>
      </c>
      <c r="F29" s="56">
        <v>10345</v>
      </c>
      <c r="G29" s="56">
        <v>10667</v>
      </c>
      <c r="H29" s="56">
        <v>10625</v>
      </c>
      <c r="I29" s="56">
        <v>10556</v>
      </c>
      <c r="J29" s="56">
        <v>10526</v>
      </c>
      <c r="K29" s="56">
        <v>10952</v>
      </c>
      <c r="L29" s="56">
        <v>13362</v>
      </c>
      <c r="M29" s="56">
        <v>12000</v>
      </c>
      <c r="N29" s="56">
        <v>11985</v>
      </c>
      <c r="O29" s="56">
        <v>11872</v>
      </c>
      <c r="P29" s="56">
        <v>9952</v>
      </c>
      <c r="Q29" s="56">
        <v>10116</v>
      </c>
      <c r="R29" s="56">
        <v>12835</v>
      </c>
      <c r="S29" s="56">
        <v>12406</v>
      </c>
      <c r="T29" s="56">
        <v>12892</v>
      </c>
      <c r="U29" s="56">
        <v>12961</v>
      </c>
      <c r="V29" s="56">
        <v>12808</v>
      </c>
      <c r="W29" s="56">
        <v>9497</v>
      </c>
      <c r="X29" s="56">
        <v>12371</v>
      </c>
      <c r="Y29" s="56">
        <v>11369</v>
      </c>
      <c r="Z29" s="56">
        <v>14458</v>
      </c>
      <c r="AA29" s="56">
        <v>12776</v>
      </c>
      <c r="AB29" s="56">
        <v>12670</v>
      </c>
      <c r="AC29" s="56">
        <v>12797</v>
      </c>
      <c r="AD29" s="56">
        <f t="shared" si="0"/>
        <v>11783.25</v>
      </c>
    </row>
    <row r="30" spans="1:30">
      <c r="A30" s="56" t="s">
        <v>511</v>
      </c>
      <c r="B30" s="56" t="s">
        <v>722</v>
      </c>
      <c r="C30" s="56" t="s">
        <v>710</v>
      </c>
      <c r="D30" s="56" t="s">
        <v>674</v>
      </c>
      <c r="E30" s="56" t="s">
        <v>675</v>
      </c>
      <c r="F30" s="56">
        <v>49719</v>
      </c>
      <c r="G30" s="56">
        <v>49810</v>
      </c>
      <c r="H30" s="56">
        <v>49899</v>
      </c>
      <c r="I30" s="56">
        <v>49984</v>
      </c>
      <c r="J30" s="56">
        <v>50064</v>
      </c>
      <c r="K30" s="56">
        <v>50137</v>
      </c>
      <c r="L30" s="56">
        <v>50000</v>
      </c>
      <c r="M30" s="56">
        <v>50000</v>
      </c>
      <c r="N30" s="56">
        <v>50856</v>
      </c>
      <c r="O30" s="56">
        <v>51553</v>
      </c>
      <c r="P30" s="56">
        <v>52348</v>
      </c>
      <c r="Q30" s="56">
        <v>53203</v>
      </c>
      <c r="R30" s="56">
        <v>54089</v>
      </c>
      <c r="S30" s="56">
        <v>54975</v>
      </c>
      <c r="T30" s="56">
        <v>55831</v>
      </c>
      <c r="U30" s="56">
        <v>56628</v>
      </c>
      <c r="V30" s="56">
        <v>57337</v>
      </c>
      <c r="W30" s="56">
        <v>58182</v>
      </c>
      <c r="X30" s="56">
        <v>58182</v>
      </c>
      <c r="Y30" s="56">
        <v>58603</v>
      </c>
      <c r="Z30" s="56">
        <v>60053</v>
      </c>
      <c r="AA30" s="56">
        <v>60884</v>
      </c>
      <c r="AB30" s="56">
        <v>61627</v>
      </c>
      <c r="AC30" s="56">
        <v>62370</v>
      </c>
      <c r="AD30" s="56">
        <f t="shared" si="0"/>
        <v>54430.583333333336</v>
      </c>
    </row>
    <row r="31" spans="1:30">
      <c r="A31" s="56" t="s">
        <v>511</v>
      </c>
      <c r="B31" s="56" t="s">
        <v>723</v>
      </c>
      <c r="C31" s="56" t="s">
        <v>710</v>
      </c>
      <c r="D31" s="56" t="s">
        <v>674</v>
      </c>
      <c r="E31" s="56" t="s">
        <v>675</v>
      </c>
      <c r="F31" s="56">
        <v>61991</v>
      </c>
      <c r="G31" s="56">
        <v>61285</v>
      </c>
      <c r="H31" s="56">
        <v>63158</v>
      </c>
      <c r="I31" s="56">
        <v>63218</v>
      </c>
      <c r="J31" s="56">
        <v>62980</v>
      </c>
      <c r="K31" s="56">
        <v>63291</v>
      </c>
      <c r="L31" s="56">
        <v>15648</v>
      </c>
      <c r="M31" s="56">
        <v>13514</v>
      </c>
      <c r="N31" s="56">
        <v>13143</v>
      </c>
      <c r="O31" s="56">
        <v>11857</v>
      </c>
      <c r="P31" s="56">
        <v>73726</v>
      </c>
      <c r="Q31" s="56">
        <v>88673</v>
      </c>
      <c r="R31" s="56">
        <v>84739</v>
      </c>
      <c r="S31" s="56">
        <v>64602</v>
      </c>
      <c r="T31" s="56">
        <v>82510</v>
      </c>
      <c r="U31" s="56">
        <v>92601</v>
      </c>
      <c r="V31" s="56">
        <v>91275</v>
      </c>
      <c r="W31" s="56">
        <v>73170</v>
      </c>
      <c r="X31" s="56">
        <v>41321</v>
      </c>
      <c r="Y31" s="56">
        <v>63793</v>
      </c>
      <c r="Z31" s="56">
        <v>66735</v>
      </c>
      <c r="AA31" s="56">
        <v>54565</v>
      </c>
      <c r="AB31" s="56">
        <v>61698</v>
      </c>
      <c r="AC31" s="56">
        <v>60999</v>
      </c>
      <c r="AD31" s="56">
        <f t="shared" si="0"/>
        <v>59603.833333333336</v>
      </c>
    </row>
    <row r="32" spans="1:30">
      <c r="A32" s="56" t="s">
        <v>511</v>
      </c>
      <c r="B32" s="56" t="s">
        <v>724</v>
      </c>
      <c r="C32" s="56" t="s">
        <v>710</v>
      </c>
      <c r="D32" s="56" t="s">
        <v>674</v>
      </c>
      <c r="E32" s="56" t="s">
        <v>675</v>
      </c>
      <c r="F32" s="56">
        <v>75000</v>
      </c>
      <c r="G32" s="56">
        <v>83689</v>
      </c>
      <c r="H32" s="56">
        <v>80000</v>
      </c>
      <c r="I32" s="56">
        <v>72000</v>
      </c>
      <c r="J32" s="56">
        <v>77442</v>
      </c>
      <c r="K32" s="56">
        <v>76209</v>
      </c>
      <c r="L32" s="56">
        <v>70000</v>
      </c>
      <c r="M32" s="56">
        <v>73333</v>
      </c>
      <c r="N32" s="56">
        <v>76263</v>
      </c>
      <c r="O32" s="56">
        <v>76596</v>
      </c>
      <c r="P32" s="56">
        <v>72201</v>
      </c>
      <c r="Q32" s="56">
        <v>72472</v>
      </c>
      <c r="R32" s="56">
        <v>84541</v>
      </c>
      <c r="S32" s="56">
        <v>76923</v>
      </c>
      <c r="T32" s="56">
        <v>76242</v>
      </c>
      <c r="U32" s="56">
        <v>61373</v>
      </c>
      <c r="V32" s="56">
        <v>56079</v>
      </c>
      <c r="W32" s="56">
        <v>43047</v>
      </c>
      <c r="X32" s="56">
        <v>34723</v>
      </c>
      <c r="Y32" s="56">
        <v>50875</v>
      </c>
      <c r="Z32" s="56">
        <v>7699</v>
      </c>
      <c r="AA32" s="56">
        <v>6496</v>
      </c>
      <c r="AB32" s="56">
        <v>7273</v>
      </c>
      <c r="AC32" s="56">
        <v>50236</v>
      </c>
      <c r="AD32" s="56">
        <f t="shared" si="0"/>
        <v>60863</v>
      </c>
    </row>
    <row r="33" spans="1:30">
      <c r="A33" s="56" t="s">
        <v>511</v>
      </c>
      <c r="B33" s="56" t="s">
        <v>725</v>
      </c>
      <c r="C33" s="56" t="s">
        <v>710</v>
      </c>
      <c r="D33" s="56" t="s">
        <v>674</v>
      </c>
      <c r="E33" s="56" t="s">
        <v>675</v>
      </c>
      <c r="F33" s="56">
        <v>5042</v>
      </c>
      <c r="G33" s="56">
        <v>6868</v>
      </c>
      <c r="H33" s="56">
        <v>4928</v>
      </c>
      <c r="I33" s="56">
        <v>4574</v>
      </c>
      <c r="J33" s="56">
        <v>3858</v>
      </c>
      <c r="K33" s="56">
        <v>4336</v>
      </c>
      <c r="L33" s="56">
        <v>4907</v>
      </c>
      <c r="M33" s="56">
        <v>5178</v>
      </c>
      <c r="N33" s="56">
        <v>5404</v>
      </c>
      <c r="O33" s="56">
        <v>5414</v>
      </c>
      <c r="P33" s="56">
        <v>6058</v>
      </c>
      <c r="Q33" s="56">
        <v>5853</v>
      </c>
      <c r="R33" s="56">
        <v>6216</v>
      </c>
      <c r="S33" s="56">
        <v>11165</v>
      </c>
      <c r="T33" s="56">
        <v>10698</v>
      </c>
      <c r="U33" s="56">
        <v>8878</v>
      </c>
      <c r="V33" s="56">
        <v>9676</v>
      </c>
      <c r="W33" s="56">
        <v>9545</v>
      </c>
      <c r="X33" s="56">
        <v>9201</v>
      </c>
      <c r="Y33" s="56">
        <v>10098</v>
      </c>
      <c r="Z33" s="56">
        <v>11428</v>
      </c>
      <c r="AA33" s="56">
        <v>10941</v>
      </c>
      <c r="AB33" s="56">
        <v>10614</v>
      </c>
      <c r="AC33" s="56">
        <v>10639</v>
      </c>
      <c r="AD33" s="56">
        <f t="shared" si="0"/>
        <v>7563.291666666667</v>
      </c>
    </row>
    <row r="34" spans="1:30">
      <c r="A34" s="56" t="s">
        <v>511</v>
      </c>
      <c r="B34" s="56" t="s">
        <v>726</v>
      </c>
      <c r="C34" s="56" t="s">
        <v>710</v>
      </c>
      <c r="D34" s="56" t="s">
        <v>674</v>
      </c>
      <c r="E34" s="56" t="s">
        <v>675</v>
      </c>
      <c r="I34" s="56">
        <v>35000</v>
      </c>
      <c r="J34" s="56">
        <v>38235</v>
      </c>
      <c r="K34" s="56">
        <v>45455</v>
      </c>
      <c r="L34" s="56">
        <v>54374</v>
      </c>
      <c r="M34" s="56">
        <v>62500</v>
      </c>
      <c r="N34" s="56">
        <v>58880</v>
      </c>
      <c r="O34" s="56">
        <v>51895</v>
      </c>
      <c r="P34" s="56">
        <v>101350</v>
      </c>
      <c r="Q34" s="56">
        <v>92129</v>
      </c>
      <c r="R34" s="56">
        <v>71960</v>
      </c>
      <c r="S34" s="56">
        <v>72976</v>
      </c>
      <c r="T34" s="56">
        <v>76037</v>
      </c>
      <c r="U34" s="56">
        <v>87385</v>
      </c>
      <c r="V34" s="56">
        <v>90287</v>
      </c>
      <c r="W34" s="56">
        <v>79182</v>
      </c>
      <c r="X34" s="56">
        <v>58972</v>
      </c>
      <c r="Y34" s="56">
        <v>60221</v>
      </c>
      <c r="Z34" s="56">
        <v>67226</v>
      </c>
      <c r="AA34" s="56">
        <v>73831</v>
      </c>
      <c r="AB34" s="56">
        <v>74343</v>
      </c>
      <c r="AC34" s="56">
        <v>73024</v>
      </c>
      <c r="AD34" s="56">
        <f t="shared" si="0"/>
        <v>67869.619047619053</v>
      </c>
    </row>
    <row r="35" spans="1:30">
      <c r="A35" s="56" t="s">
        <v>511</v>
      </c>
      <c r="B35" s="56" t="s">
        <v>727</v>
      </c>
      <c r="C35" s="56" t="s">
        <v>710</v>
      </c>
      <c r="D35" s="56" t="s">
        <v>674</v>
      </c>
      <c r="E35" s="56" t="s">
        <v>675</v>
      </c>
      <c r="F35" s="56">
        <v>6000</v>
      </c>
      <c r="G35" s="56">
        <v>6079</v>
      </c>
      <c r="H35" s="56">
        <v>6079</v>
      </c>
      <c r="I35" s="56">
        <v>6084</v>
      </c>
      <c r="J35" s="56">
        <v>6095</v>
      </c>
      <c r="K35" s="56">
        <v>6110</v>
      </c>
      <c r="L35" s="56">
        <v>6129</v>
      </c>
      <c r="M35" s="56">
        <v>6151</v>
      </c>
      <c r="N35" s="56">
        <v>6176</v>
      </c>
      <c r="O35" s="56">
        <v>6191</v>
      </c>
      <c r="P35" s="56">
        <v>6197</v>
      </c>
      <c r="Q35" s="56">
        <v>6203</v>
      </c>
      <c r="R35" s="56">
        <v>6209</v>
      </c>
      <c r="S35" s="56">
        <v>6215</v>
      </c>
      <c r="T35" s="56">
        <v>6220</v>
      </c>
      <c r="U35" s="56">
        <v>6222</v>
      </c>
      <c r="V35" s="56">
        <v>6222</v>
      </c>
      <c r="W35" s="56">
        <v>6250</v>
      </c>
      <c r="X35" s="56">
        <v>6250</v>
      </c>
      <c r="Y35" s="56">
        <v>6236</v>
      </c>
      <c r="Z35" s="56">
        <v>6237</v>
      </c>
      <c r="AA35" s="56">
        <v>6233</v>
      </c>
      <c r="AB35" s="56">
        <v>6235</v>
      </c>
      <c r="AC35" s="56">
        <v>6237</v>
      </c>
      <c r="AD35" s="56">
        <f t="shared" si="0"/>
        <v>6177.5</v>
      </c>
    </row>
    <row r="36" spans="1:30">
      <c r="A36" s="56" t="s">
        <v>511</v>
      </c>
      <c r="B36" s="56" t="s">
        <v>728</v>
      </c>
      <c r="C36" s="56" t="s">
        <v>710</v>
      </c>
      <c r="D36" s="56" t="s">
        <v>674</v>
      </c>
      <c r="E36" s="56" t="s">
        <v>675</v>
      </c>
      <c r="F36" s="56">
        <v>3850</v>
      </c>
      <c r="G36" s="56">
        <v>3674</v>
      </c>
      <c r="H36" s="56">
        <v>3769</v>
      </c>
      <c r="I36" s="56">
        <v>3422</v>
      </c>
      <c r="J36" s="56">
        <v>3823</v>
      </c>
      <c r="K36" s="56">
        <v>3983</v>
      </c>
      <c r="L36" s="56">
        <v>3545</v>
      </c>
      <c r="M36" s="56">
        <v>3626</v>
      </c>
      <c r="N36" s="56">
        <v>3418</v>
      </c>
      <c r="O36" s="56">
        <v>4224</v>
      </c>
      <c r="P36" s="56">
        <v>5217</v>
      </c>
      <c r="Q36" s="56">
        <v>4794</v>
      </c>
      <c r="R36" s="56">
        <v>5379</v>
      </c>
      <c r="S36" s="56">
        <v>5603</v>
      </c>
      <c r="T36" s="56">
        <v>6147</v>
      </c>
      <c r="U36" s="56">
        <v>5850</v>
      </c>
      <c r="V36" s="56">
        <v>6030</v>
      </c>
      <c r="W36" s="56">
        <v>6996</v>
      </c>
      <c r="X36" s="56">
        <v>7031</v>
      </c>
      <c r="Y36" s="56">
        <v>8887</v>
      </c>
      <c r="Z36" s="56">
        <v>10054</v>
      </c>
      <c r="AA36" s="56">
        <v>10755</v>
      </c>
      <c r="AB36" s="56">
        <v>6821</v>
      </c>
      <c r="AC36" s="56">
        <v>6866</v>
      </c>
      <c r="AD36" s="56">
        <f t="shared" si="0"/>
        <v>5573.5</v>
      </c>
    </row>
    <row r="37" spans="1:30">
      <c r="A37" s="56" t="s">
        <v>511</v>
      </c>
      <c r="B37" s="56" t="s">
        <v>729</v>
      </c>
      <c r="C37" s="56" t="s">
        <v>710</v>
      </c>
      <c r="D37" s="56" t="s">
        <v>674</v>
      </c>
      <c r="E37" s="56" t="s">
        <v>675</v>
      </c>
      <c r="F37" s="56">
        <v>102745</v>
      </c>
      <c r="G37" s="56">
        <v>97674</v>
      </c>
      <c r="H37" s="56">
        <v>103442</v>
      </c>
      <c r="I37" s="56">
        <v>104545</v>
      </c>
      <c r="J37" s="56">
        <v>111111</v>
      </c>
      <c r="K37" s="56">
        <v>106635</v>
      </c>
      <c r="L37" s="56">
        <v>114406</v>
      </c>
      <c r="M37" s="56">
        <v>93638</v>
      </c>
      <c r="N37" s="56">
        <v>102838</v>
      </c>
      <c r="O37" s="56">
        <v>120517</v>
      </c>
      <c r="P37" s="56">
        <v>138535</v>
      </c>
      <c r="Q37" s="56">
        <v>82236</v>
      </c>
      <c r="R37" s="56">
        <v>99081</v>
      </c>
      <c r="S37" s="56">
        <v>112046</v>
      </c>
      <c r="T37" s="56">
        <v>96268</v>
      </c>
      <c r="U37" s="56">
        <v>107516</v>
      </c>
      <c r="V37" s="56">
        <v>107670</v>
      </c>
      <c r="W37" s="56">
        <v>100247</v>
      </c>
      <c r="X37" s="56">
        <v>90148</v>
      </c>
      <c r="Y37" s="56">
        <v>101328</v>
      </c>
      <c r="Z37" s="56">
        <v>98908</v>
      </c>
      <c r="AA37" s="56">
        <v>97454</v>
      </c>
      <c r="AB37" s="56">
        <v>100719</v>
      </c>
      <c r="AC37" s="56">
        <v>100528</v>
      </c>
      <c r="AD37" s="56">
        <f t="shared" si="0"/>
        <v>103759.79166666667</v>
      </c>
    </row>
    <row r="38" spans="1:30">
      <c r="A38" s="56" t="s">
        <v>511</v>
      </c>
      <c r="B38" s="56" t="s">
        <v>730</v>
      </c>
      <c r="C38" s="56" t="s">
        <v>710</v>
      </c>
      <c r="D38" s="56" t="s">
        <v>674</v>
      </c>
      <c r="E38" s="56" t="s">
        <v>675</v>
      </c>
      <c r="F38" s="56">
        <v>100000</v>
      </c>
      <c r="G38" s="56">
        <v>100000</v>
      </c>
      <c r="H38" s="56">
        <v>100156</v>
      </c>
      <c r="I38" s="56">
        <v>100000</v>
      </c>
      <c r="J38" s="56">
        <v>100551</v>
      </c>
      <c r="K38" s="56">
        <v>100730</v>
      </c>
      <c r="L38" s="56">
        <v>100920</v>
      </c>
      <c r="M38" s="56">
        <v>101141</v>
      </c>
      <c r="N38" s="56">
        <v>100000</v>
      </c>
      <c r="O38" s="56">
        <v>102224</v>
      </c>
      <c r="P38" s="56">
        <v>105210</v>
      </c>
      <c r="Q38" s="56">
        <v>107571</v>
      </c>
      <c r="R38" s="56">
        <v>109495</v>
      </c>
      <c r="S38" s="56">
        <v>111484</v>
      </c>
      <c r="T38" s="56">
        <v>113450</v>
      </c>
      <c r="U38" s="56">
        <v>115360</v>
      </c>
      <c r="V38" s="56">
        <v>117193</v>
      </c>
      <c r="W38" s="56">
        <v>121429</v>
      </c>
      <c r="X38" s="56">
        <v>118966</v>
      </c>
      <c r="Y38" s="56">
        <v>120791</v>
      </c>
      <c r="Z38" s="56">
        <v>124558</v>
      </c>
      <c r="AA38" s="56">
        <v>126650</v>
      </c>
      <c r="AB38" s="56">
        <v>128598</v>
      </c>
      <c r="AC38" s="56">
        <v>130546</v>
      </c>
      <c r="AD38" s="56">
        <f t="shared" si="0"/>
        <v>110709.29166666667</v>
      </c>
    </row>
    <row r="39" spans="1:30">
      <c r="A39" s="56" t="s">
        <v>511</v>
      </c>
      <c r="B39" s="56" t="s">
        <v>731</v>
      </c>
      <c r="C39" s="56" t="s">
        <v>710</v>
      </c>
      <c r="D39" s="56" t="s">
        <v>674</v>
      </c>
      <c r="E39" s="56" t="s">
        <v>675</v>
      </c>
      <c r="F39" s="56">
        <v>68722</v>
      </c>
      <c r="G39" s="56">
        <v>68562</v>
      </c>
      <c r="H39" s="56">
        <v>70171</v>
      </c>
      <c r="I39" s="56">
        <v>67500</v>
      </c>
      <c r="J39" s="56">
        <v>66166</v>
      </c>
      <c r="K39" s="56">
        <v>63519</v>
      </c>
      <c r="L39" s="56">
        <v>55162</v>
      </c>
      <c r="M39" s="56">
        <v>51020</v>
      </c>
      <c r="N39" s="56">
        <v>49791</v>
      </c>
      <c r="O39" s="56">
        <v>56085</v>
      </c>
      <c r="P39" s="56">
        <v>183147</v>
      </c>
      <c r="Q39" s="56">
        <v>178274</v>
      </c>
      <c r="R39" s="56">
        <v>126014</v>
      </c>
      <c r="S39" s="56">
        <v>120250</v>
      </c>
      <c r="T39" s="56">
        <v>126269</v>
      </c>
      <c r="U39" s="56">
        <v>136200</v>
      </c>
      <c r="V39" s="56">
        <v>135044</v>
      </c>
      <c r="W39" s="56">
        <v>119193</v>
      </c>
      <c r="X39" s="56">
        <v>102259</v>
      </c>
      <c r="Y39" s="56">
        <v>95265</v>
      </c>
      <c r="Z39" s="56">
        <v>87928</v>
      </c>
      <c r="AA39" s="56">
        <v>78840</v>
      </c>
      <c r="AB39" s="56">
        <v>92781</v>
      </c>
      <c r="AC39" s="56">
        <v>93905</v>
      </c>
      <c r="AD39" s="56">
        <f t="shared" si="0"/>
        <v>95502.791666666672</v>
      </c>
    </row>
    <row r="40" spans="1:30">
      <c r="A40" s="56" t="s">
        <v>511</v>
      </c>
      <c r="B40" s="56" t="s">
        <v>732</v>
      </c>
      <c r="C40" s="56" t="s">
        <v>710</v>
      </c>
      <c r="D40" s="56" t="s">
        <v>674</v>
      </c>
      <c r="E40" s="56" t="s">
        <v>675</v>
      </c>
      <c r="I40" s="56">
        <v>60714</v>
      </c>
      <c r="J40" s="56">
        <v>59524</v>
      </c>
      <c r="K40" s="56">
        <v>60000</v>
      </c>
      <c r="L40" s="56">
        <v>67438</v>
      </c>
      <c r="M40" s="56">
        <v>60000</v>
      </c>
      <c r="N40" s="56">
        <v>55690</v>
      </c>
      <c r="O40" s="56">
        <v>55597</v>
      </c>
      <c r="P40" s="56">
        <v>245572</v>
      </c>
      <c r="Q40" s="56">
        <v>264256</v>
      </c>
      <c r="R40" s="56">
        <v>143078</v>
      </c>
      <c r="S40" s="56">
        <v>135230</v>
      </c>
      <c r="T40" s="56">
        <v>142348</v>
      </c>
      <c r="U40" s="56">
        <v>179745</v>
      </c>
      <c r="V40" s="56">
        <v>170565</v>
      </c>
      <c r="W40" s="56">
        <v>140603</v>
      </c>
      <c r="X40" s="56">
        <v>128042</v>
      </c>
      <c r="Y40" s="56">
        <v>166126</v>
      </c>
      <c r="Z40" s="56">
        <v>158892</v>
      </c>
      <c r="AA40" s="56">
        <v>144443</v>
      </c>
      <c r="AB40" s="56">
        <v>141116</v>
      </c>
      <c r="AC40" s="56">
        <v>148973</v>
      </c>
      <c r="AD40" s="56">
        <f t="shared" si="0"/>
        <v>129902.47619047618</v>
      </c>
    </row>
    <row r="41" spans="1:30">
      <c r="A41" s="56" t="s">
        <v>511</v>
      </c>
      <c r="B41" s="56" t="s">
        <v>733</v>
      </c>
      <c r="C41" s="56" t="s">
        <v>710</v>
      </c>
      <c r="D41" s="56" t="s">
        <v>674</v>
      </c>
      <c r="E41" s="56" t="s">
        <v>675</v>
      </c>
      <c r="F41" s="56">
        <v>49351</v>
      </c>
      <c r="G41" s="56">
        <v>49817</v>
      </c>
      <c r="H41" s="56">
        <v>50000</v>
      </c>
      <c r="I41" s="56">
        <v>50000</v>
      </c>
      <c r="J41" s="56">
        <v>50000</v>
      </c>
      <c r="K41" s="56">
        <v>50000</v>
      </c>
      <c r="L41" s="56">
        <v>50000</v>
      </c>
      <c r="M41" s="56">
        <v>50000</v>
      </c>
      <c r="N41" s="56">
        <v>50000</v>
      </c>
      <c r="O41" s="56">
        <v>50000</v>
      </c>
      <c r="P41" s="56">
        <v>50000</v>
      </c>
      <c r="Q41" s="56">
        <v>51409</v>
      </c>
      <c r="R41" s="56">
        <v>52381</v>
      </c>
      <c r="S41" s="56">
        <v>50000</v>
      </c>
      <c r="T41" s="56">
        <v>48696</v>
      </c>
      <c r="U41" s="56">
        <v>50093</v>
      </c>
      <c r="V41" s="56">
        <v>51397</v>
      </c>
      <c r="W41" s="56">
        <v>53571</v>
      </c>
      <c r="X41" s="56">
        <v>58000</v>
      </c>
      <c r="Y41" s="56">
        <v>61272</v>
      </c>
      <c r="Z41" s="56">
        <v>53902</v>
      </c>
      <c r="AA41" s="56">
        <v>54367</v>
      </c>
      <c r="AB41" s="56">
        <v>54670</v>
      </c>
      <c r="AC41" s="56">
        <v>54973</v>
      </c>
      <c r="AD41" s="56">
        <f t="shared" si="0"/>
        <v>51829.125</v>
      </c>
    </row>
    <row r="42" spans="1:30">
      <c r="A42" s="56" t="s">
        <v>511</v>
      </c>
      <c r="B42" s="56" t="s">
        <v>734</v>
      </c>
      <c r="C42" s="56" t="s">
        <v>710</v>
      </c>
      <c r="D42" s="56" t="s">
        <v>674</v>
      </c>
      <c r="E42" s="56" t="s">
        <v>675</v>
      </c>
      <c r="F42" s="56">
        <v>4000</v>
      </c>
      <c r="G42" s="56">
        <v>4000</v>
      </c>
      <c r="H42" s="56">
        <v>4000</v>
      </c>
      <c r="I42" s="56">
        <v>4000</v>
      </c>
      <c r="J42" s="56">
        <v>4000</v>
      </c>
      <c r="K42" s="56">
        <v>4000</v>
      </c>
      <c r="L42" s="56">
        <v>4000</v>
      </c>
      <c r="M42" s="56">
        <v>4000</v>
      </c>
      <c r="N42" s="56">
        <v>4000</v>
      </c>
      <c r="O42" s="56">
        <v>4000</v>
      </c>
      <c r="P42" s="56">
        <v>4000</v>
      </c>
      <c r="Q42" s="56">
        <v>4000</v>
      </c>
      <c r="R42" s="56">
        <v>4268</v>
      </c>
      <c r="S42" s="56">
        <v>4369</v>
      </c>
      <c r="T42" s="56">
        <v>4412</v>
      </c>
      <c r="U42" s="56">
        <v>4375</v>
      </c>
      <c r="V42" s="56">
        <v>4429</v>
      </c>
      <c r="W42" s="56">
        <v>5588</v>
      </c>
      <c r="X42" s="56">
        <v>6333</v>
      </c>
      <c r="Y42" s="56">
        <v>6094</v>
      </c>
      <c r="Z42" s="56">
        <v>6196</v>
      </c>
      <c r="AA42" s="56">
        <v>6571</v>
      </c>
      <c r="AB42" s="56">
        <v>6287</v>
      </c>
      <c r="AC42" s="56">
        <v>6264</v>
      </c>
      <c r="AD42" s="56">
        <f t="shared" si="0"/>
        <v>4716.083333333333</v>
      </c>
    </row>
    <row r="43" spans="1:30">
      <c r="A43" s="56" t="s">
        <v>511</v>
      </c>
      <c r="B43" s="56" t="s">
        <v>735</v>
      </c>
      <c r="C43" s="56" t="s">
        <v>710</v>
      </c>
      <c r="D43" s="56" t="s">
        <v>674</v>
      </c>
      <c r="E43" s="56" t="s">
        <v>675</v>
      </c>
      <c r="J43" s="56">
        <v>67047</v>
      </c>
      <c r="K43" s="56">
        <v>67563</v>
      </c>
      <c r="L43" s="56">
        <v>68079</v>
      </c>
      <c r="M43" s="56">
        <v>68595</v>
      </c>
      <c r="N43" s="56">
        <v>69112</v>
      </c>
      <c r="O43" s="56">
        <v>70890</v>
      </c>
      <c r="P43" s="56">
        <v>62020</v>
      </c>
      <c r="Q43" s="56">
        <v>50580</v>
      </c>
      <c r="R43" s="56">
        <v>51609</v>
      </c>
      <c r="S43" s="56">
        <v>166154</v>
      </c>
      <c r="T43" s="56">
        <v>350924</v>
      </c>
      <c r="U43" s="56">
        <v>327752</v>
      </c>
      <c r="V43" s="56">
        <v>304878</v>
      </c>
      <c r="W43" s="56">
        <v>250085</v>
      </c>
      <c r="X43" s="56">
        <v>282102</v>
      </c>
      <c r="Y43" s="56">
        <v>316760</v>
      </c>
      <c r="Z43" s="56">
        <v>350752</v>
      </c>
      <c r="AA43" s="56">
        <v>366156</v>
      </c>
      <c r="AB43" s="56">
        <v>385483</v>
      </c>
      <c r="AC43" s="56">
        <v>367464</v>
      </c>
      <c r="AD43" s="56">
        <f t="shared" si="0"/>
        <v>202200.25</v>
      </c>
    </row>
    <row r="44" spans="1:30">
      <c r="A44" s="56" t="s">
        <v>511</v>
      </c>
      <c r="B44" s="56" t="s">
        <v>736</v>
      </c>
      <c r="C44" s="56" t="s">
        <v>710</v>
      </c>
      <c r="D44" s="56" t="s">
        <v>674</v>
      </c>
      <c r="E44" s="56" t="s">
        <v>675</v>
      </c>
      <c r="F44" s="56">
        <v>8960</v>
      </c>
      <c r="G44" s="56">
        <v>17693</v>
      </c>
      <c r="H44" s="56">
        <v>6862</v>
      </c>
      <c r="I44" s="56">
        <v>9865</v>
      </c>
      <c r="J44" s="56">
        <v>8062</v>
      </c>
      <c r="K44" s="56">
        <v>6823</v>
      </c>
      <c r="L44" s="56">
        <v>5897</v>
      </c>
      <c r="M44" s="56">
        <v>11262</v>
      </c>
      <c r="N44" s="56">
        <v>11503</v>
      </c>
      <c r="O44" s="56">
        <v>11254</v>
      </c>
      <c r="P44" s="56">
        <v>8557</v>
      </c>
      <c r="Q44" s="56">
        <v>9740</v>
      </c>
      <c r="R44" s="56">
        <v>9533</v>
      </c>
      <c r="S44" s="56">
        <v>13799</v>
      </c>
      <c r="T44" s="56">
        <v>10650</v>
      </c>
      <c r="U44" s="56">
        <v>13339</v>
      </c>
      <c r="V44" s="56">
        <v>16531</v>
      </c>
      <c r="W44" s="56">
        <v>15950</v>
      </c>
      <c r="X44" s="56">
        <v>14180</v>
      </c>
      <c r="Y44" s="56">
        <v>17852</v>
      </c>
      <c r="Z44" s="56">
        <v>20232</v>
      </c>
      <c r="AA44" s="56">
        <v>18339</v>
      </c>
      <c r="AB44" s="56">
        <v>17867</v>
      </c>
      <c r="AC44" s="56">
        <v>18634</v>
      </c>
      <c r="AD44" s="56">
        <f t="shared" si="0"/>
        <v>12641</v>
      </c>
    </row>
    <row r="45" spans="1:30">
      <c r="A45" s="56" t="s">
        <v>511</v>
      </c>
      <c r="B45" s="56" t="s">
        <v>737</v>
      </c>
      <c r="C45" s="56" t="s">
        <v>710</v>
      </c>
      <c r="D45" s="56" t="s">
        <v>674</v>
      </c>
      <c r="E45" s="56" t="s">
        <v>675</v>
      </c>
      <c r="F45" s="56">
        <v>5027</v>
      </c>
      <c r="G45" s="56">
        <v>4748</v>
      </c>
      <c r="H45" s="56">
        <v>3775</v>
      </c>
      <c r="I45" s="56">
        <v>4455</v>
      </c>
      <c r="J45" s="56">
        <v>7103</v>
      </c>
      <c r="K45" s="56">
        <v>6083</v>
      </c>
      <c r="L45" s="56">
        <v>6024</v>
      </c>
      <c r="M45" s="56">
        <v>6880</v>
      </c>
      <c r="N45" s="56">
        <v>5952</v>
      </c>
      <c r="O45" s="56">
        <v>6003</v>
      </c>
      <c r="P45" s="56">
        <v>7245</v>
      </c>
      <c r="Q45" s="56">
        <v>6718</v>
      </c>
      <c r="R45" s="56">
        <v>8584</v>
      </c>
      <c r="S45" s="56">
        <v>8973</v>
      </c>
      <c r="T45" s="56">
        <v>11932</v>
      </c>
      <c r="U45" s="56">
        <v>9230</v>
      </c>
      <c r="V45" s="56">
        <v>10858</v>
      </c>
      <c r="W45" s="56">
        <v>11634</v>
      </c>
      <c r="X45" s="56">
        <v>7242</v>
      </c>
      <c r="Y45" s="56">
        <v>11244</v>
      </c>
      <c r="Z45" s="56">
        <v>10079</v>
      </c>
      <c r="AA45" s="56">
        <v>11805</v>
      </c>
      <c r="AB45" s="56">
        <v>11545</v>
      </c>
      <c r="AC45" s="56">
        <v>11626</v>
      </c>
      <c r="AD45" s="56">
        <f t="shared" si="0"/>
        <v>8115.208333333333</v>
      </c>
    </row>
    <row r="46" spans="1:30">
      <c r="A46" s="56" t="s">
        <v>511</v>
      </c>
      <c r="B46" s="56" t="s">
        <v>738</v>
      </c>
      <c r="C46" s="56" t="s">
        <v>710</v>
      </c>
      <c r="D46" s="56" t="s">
        <v>674</v>
      </c>
      <c r="E46" s="56" t="s">
        <v>675</v>
      </c>
      <c r="F46" s="56">
        <v>4586</v>
      </c>
      <c r="G46" s="56">
        <v>4719</v>
      </c>
      <c r="H46" s="56">
        <v>4934</v>
      </c>
      <c r="I46" s="56">
        <v>4545</v>
      </c>
      <c r="J46" s="56">
        <v>3889</v>
      </c>
      <c r="K46" s="56">
        <v>4783</v>
      </c>
      <c r="L46" s="56">
        <v>6667</v>
      </c>
      <c r="M46" s="56">
        <v>6662</v>
      </c>
      <c r="N46" s="56">
        <v>6875</v>
      </c>
      <c r="O46" s="56">
        <v>7269</v>
      </c>
      <c r="P46" s="56">
        <v>7093</v>
      </c>
      <c r="Q46" s="56">
        <v>6318</v>
      </c>
      <c r="R46" s="56">
        <v>7870</v>
      </c>
      <c r="S46" s="56">
        <v>7662</v>
      </c>
      <c r="T46" s="56">
        <v>12804</v>
      </c>
      <c r="U46" s="56">
        <v>12205</v>
      </c>
      <c r="V46" s="56">
        <v>11584</v>
      </c>
      <c r="W46" s="56">
        <v>8913</v>
      </c>
      <c r="X46" s="56">
        <v>9633</v>
      </c>
      <c r="Y46" s="56">
        <v>10421</v>
      </c>
      <c r="Z46" s="56">
        <v>10853</v>
      </c>
      <c r="AA46" s="56">
        <v>11032</v>
      </c>
      <c r="AB46" s="56">
        <v>11276</v>
      </c>
      <c r="AC46" s="56">
        <v>11520</v>
      </c>
      <c r="AD46" s="56">
        <f t="shared" si="0"/>
        <v>8088.041666666667</v>
      </c>
    </row>
    <row r="47" spans="1:30">
      <c r="A47" s="56" t="s">
        <v>511</v>
      </c>
      <c r="B47" s="56" t="s">
        <v>739</v>
      </c>
      <c r="C47" s="56" t="s">
        <v>710</v>
      </c>
      <c r="D47" s="56" t="s">
        <v>674</v>
      </c>
      <c r="E47" s="56" t="s">
        <v>675</v>
      </c>
      <c r="F47" s="56">
        <v>51797</v>
      </c>
      <c r="G47" s="56">
        <v>51652</v>
      </c>
      <c r="H47" s="56">
        <v>51267</v>
      </c>
      <c r="I47" s="56">
        <v>50925</v>
      </c>
      <c r="J47" s="56">
        <v>50483</v>
      </c>
      <c r="K47" s="56">
        <v>49927</v>
      </c>
      <c r="L47" s="56">
        <v>49270</v>
      </c>
      <c r="M47" s="56">
        <v>48481</v>
      </c>
      <c r="N47" s="56">
        <v>48571</v>
      </c>
      <c r="O47" s="56">
        <v>46070</v>
      </c>
      <c r="P47" s="56">
        <v>44382</v>
      </c>
      <c r="Q47" s="56">
        <v>42621</v>
      </c>
      <c r="R47" s="56">
        <v>40834</v>
      </c>
      <c r="S47" s="56">
        <v>38970</v>
      </c>
      <c r="T47" s="56">
        <v>37317</v>
      </c>
      <c r="U47" s="56">
        <v>34615</v>
      </c>
      <c r="V47" s="56">
        <v>34581</v>
      </c>
      <c r="W47" s="56">
        <v>33333</v>
      </c>
      <c r="X47" s="56">
        <v>33333</v>
      </c>
      <c r="Y47" s="56">
        <v>32678</v>
      </c>
      <c r="Z47" s="56">
        <v>29120</v>
      </c>
      <c r="AA47" s="56">
        <v>27631</v>
      </c>
      <c r="AB47" s="56">
        <v>26170</v>
      </c>
      <c r="AC47" s="56">
        <v>24710</v>
      </c>
      <c r="AD47" s="56">
        <f t="shared" si="0"/>
        <v>40780.75</v>
      </c>
    </row>
    <row r="48" spans="1:30">
      <c r="A48" s="56" t="s">
        <v>511</v>
      </c>
      <c r="B48" s="56" t="s">
        <v>740</v>
      </c>
      <c r="C48" s="56" t="s">
        <v>710</v>
      </c>
      <c r="D48" s="56" t="s">
        <v>674</v>
      </c>
      <c r="E48" s="56" t="s">
        <v>675</v>
      </c>
      <c r="F48" s="56">
        <v>124390</v>
      </c>
      <c r="G48" s="56">
        <v>123810</v>
      </c>
      <c r="H48" s="56">
        <v>112878</v>
      </c>
      <c r="I48" s="56">
        <v>123256</v>
      </c>
      <c r="J48" s="56">
        <v>100404</v>
      </c>
      <c r="K48" s="56">
        <v>92282</v>
      </c>
      <c r="L48" s="56">
        <v>52398</v>
      </c>
      <c r="M48" s="56">
        <v>46673</v>
      </c>
      <c r="N48" s="56">
        <v>145895</v>
      </c>
      <c r="O48" s="56">
        <v>123861</v>
      </c>
      <c r="P48" s="56">
        <v>73949</v>
      </c>
      <c r="Q48" s="56">
        <v>70833</v>
      </c>
      <c r="R48" s="56">
        <v>70496</v>
      </c>
      <c r="S48" s="56">
        <v>78276</v>
      </c>
      <c r="T48" s="56">
        <v>88017</v>
      </c>
      <c r="U48" s="56">
        <v>104224</v>
      </c>
      <c r="V48" s="56">
        <v>112649</v>
      </c>
      <c r="W48" s="56">
        <v>76709</v>
      </c>
      <c r="X48" s="56">
        <v>54255</v>
      </c>
      <c r="Y48" s="56">
        <v>61082</v>
      </c>
      <c r="Z48" s="56">
        <v>68465</v>
      </c>
      <c r="AA48" s="56">
        <v>45031</v>
      </c>
      <c r="AB48" s="56">
        <v>68450</v>
      </c>
      <c r="AC48" s="56">
        <v>61808</v>
      </c>
      <c r="AD48" s="56">
        <f t="shared" si="0"/>
        <v>86670.458333333328</v>
      </c>
    </row>
    <row r="49" spans="1:30">
      <c r="AD49" s="52">
        <f>AVERAGE(AD18:AD48)</f>
        <v>59141.751657369234</v>
      </c>
    </row>
    <row r="52" spans="1:30">
      <c r="A52" s="56" t="s">
        <v>559</v>
      </c>
      <c r="B52" s="56" t="s">
        <v>560</v>
      </c>
      <c r="C52" s="56" t="s">
        <v>561</v>
      </c>
      <c r="D52" s="56" t="s">
        <v>562</v>
      </c>
      <c r="E52" s="56" t="s">
        <v>563</v>
      </c>
      <c r="F52" s="56" t="s">
        <v>679</v>
      </c>
      <c r="G52" s="56" t="s">
        <v>680</v>
      </c>
      <c r="H52" s="56" t="s">
        <v>681</v>
      </c>
      <c r="I52" s="56" t="s">
        <v>682</v>
      </c>
      <c r="J52" s="56" t="s">
        <v>683</v>
      </c>
      <c r="K52" s="56" t="s">
        <v>684</v>
      </c>
      <c r="L52" s="56" t="s">
        <v>685</v>
      </c>
      <c r="M52" s="56" t="s">
        <v>686</v>
      </c>
      <c r="N52" s="56" t="s">
        <v>687</v>
      </c>
      <c r="O52" s="56" t="s">
        <v>688</v>
      </c>
      <c r="P52" s="56" t="s">
        <v>689</v>
      </c>
      <c r="Q52" s="56" t="s">
        <v>690</v>
      </c>
      <c r="R52" s="56" t="s">
        <v>691</v>
      </c>
      <c r="S52" s="56" t="s">
        <v>692</v>
      </c>
      <c r="T52" s="56" t="s">
        <v>693</v>
      </c>
      <c r="U52" s="56" t="s">
        <v>694</v>
      </c>
      <c r="V52" s="56" t="s">
        <v>695</v>
      </c>
      <c r="W52" s="56" t="s">
        <v>696</v>
      </c>
      <c r="X52" s="56" t="s">
        <v>697</v>
      </c>
      <c r="Y52" s="56" t="s">
        <v>698</v>
      </c>
      <c r="Z52" s="56" t="s">
        <v>699</v>
      </c>
      <c r="AA52" s="56" t="s">
        <v>700</v>
      </c>
      <c r="AB52" s="56" t="s">
        <v>701</v>
      </c>
      <c r="AC52" s="56" t="s">
        <v>702</v>
      </c>
      <c r="AD52" s="56" t="s">
        <v>703</v>
      </c>
    </row>
    <row r="53" spans="1:30">
      <c r="A53" s="56" t="s">
        <v>511</v>
      </c>
      <c r="B53" s="56" t="s">
        <v>741</v>
      </c>
      <c r="C53" s="56" t="s">
        <v>525</v>
      </c>
      <c r="D53" s="56" t="s">
        <v>674</v>
      </c>
      <c r="E53" s="56" t="s">
        <v>675</v>
      </c>
      <c r="F53" s="56">
        <v>3499</v>
      </c>
      <c r="G53" s="56">
        <v>10784</v>
      </c>
      <c r="H53" s="56">
        <v>9249</v>
      </c>
      <c r="I53" s="56">
        <v>7759</v>
      </c>
      <c r="J53" s="56">
        <v>6696</v>
      </c>
      <c r="K53" s="56">
        <v>6724</v>
      </c>
      <c r="L53" s="56">
        <v>6262</v>
      </c>
      <c r="M53" s="56">
        <v>4772</v>
      </c>
      <c r="N53" s="56">
        <v>6471</v>
      </c>
      <c r="O53" s="56">
        <v>7144</v>
      </c>
      <c r="P53" s="56">
        <v>8770</v>
      </c>
      <c r="Q53" s="56">
        <v>8457</v>
      </c>
      <c r="R53" s="56">
        <v>9971</v>
      </c>
      <c r="S53" s="56">
        <v>10431</v>
      </c>
      <c r="T53" s="56">
        <v>14872</v>
      </c>
      <c r="U53" s="56">
        <v>14336</v>
      </c>
      <c r="V53" s="56">
        <v>11691</v>
      </c>
      <c r="W53" s="56">
        <v>12620</v>
      </c>
      <c r="X53" s="56">
        <v>14011</v>
      </c>
      <c r="Y53" s="56">
        <v>15889</v>
      </c>
      <c r="Z53" s="56">
        <v>16670</v>
      </c>
      <c r="AA53" s="56">
        <v>16675</v>
      </c>
      <c r="AB53" s="56">
        <v>16569</v>
      </c>
      <c r="AC53" s="56">
        <v>17042</v>
      </c>
      <c r="AD53" s="56">
        <f t="shared" ref="AD53:AD63" si="1">AVERAGE(F53:AC53)</f>
        <v>10723.5</v>
      </c>
    </row>
    <row r="54" spans="1:30">
      <c r="A54" s="56" t="s">
        <v>511</v>
      </c>
      <c r="B54" s="56" t="s">
        <v>742</v>
      </c>
      <c r="C54" s="56" t="s">
        <v>525</v>
      </c>
      <c r="D54" s="56" t="s">
        <v>674</v>
      </c>
      <c r="E54" s="56" t="s">
        <v>675</v>
      </c>
      <c r="I54" s="56">
        <v>40000</v>
      </c>
      <c r="J54" s="56">
        <v>41176</v>
      </c>
      <c r="K54" s="56">
        <v>41111</v>
      </c>
      <c r="L54" s="56">
        <v>40000</v>
      </c>
      <c r="M54" s="56">
        <v>40710</v>
      </c>
      <c r="N54" s="56">
        <v>41176</v>
      </c>
      <c r="O54" s="56">
        <v>40789</v>
      </c>
      <c r="P54" s="56">
        <v>40000</v>
      </c>
      <c r="Q54" s="56">
        <v>40732</v>
      </c>
      <c r="R54" s="56">
        <v>40909</v>
      </c>
      <c r="S54" s="56">
        <v>40942</v>
      </c>
      <c r="T54" s="56">
        <v>40984</v>
      </c>
      <c r="U54" s="56">
        <v>41008</v>
      </c>
      <c r="V54" s="56">
        <v>41026</v>
      </c>
      <c r="W54" s="56">
        <v>41333</v>
      </c>
      <c r="X54" s="56">
        <v>41333</v>
      </c>
      <c r="Y54" s="56">
        <v>41197</v>
      </c>
      <c r="Z54" s="56">
        <v>41195</v>
      </c>
      <c r="AA54" s="56">
        <v>41203</v>
      </c>
      <c r="AB54" s="56">
        <v>41230</v>
      </c>
      <c r="AC54" s="56">
        <v>41257</v>
      </c>
      <c r="AD54" s="56">
        <f t="shared" si="1"/>
        <v>40919.571428571428</v>
      </c>
    </row>
    <row r="55" spans="1:30">
      <c r="A55" s="56" t="s">
        <v>511</v>
      </c>
      <c r="B55" s="56" t="s">
        <v>743</v>
      </c>
      <c r="C55" s="56" t="s">
        <v>525</v>
      </c>
      <c r="D55" s="56" t="s">
        <v>674</v>
      </c>
      <c r="E55" s="56" t="s">
        <v>675</v>
      </c>
      <c r="F55" s="56">
        <v>10935</v>
      </c>
      <c r="G55" s="56">
        <v>10647</v>
      </c>
      <c r="H55" s="56">
        <v>10677</v>
      </c>
      <c r="I55" s="56">
        <v>8065</v>
      </c>
      <c r="J55" s="56">
        <v>9638</v>
      </c>
      <c r="K55" s="56">
        <v>10743</v>
      </c>
      <c r="L55" s="56">
        <v>10473</v>
      </c>
      <c r="M55" s="56">
        <v>12192</v>
      </c>
      <c r="N55" s="56">
        <v>9795</v>
      </c>
      <c r="O55" s="56">
        <v>11862</v>
      </c>
      <c r="P55" s="56">
        <v>11207</v>
      </c>
      <c r="Q55" s="56">
        <v>14008</v>
      </c>
      <c r="R55" s="56">
        <v>12574</v>
      </c>
      <c r="S55" s="56">
        <v>13230</v>
      </c>
      <c r="T55" s="56">
        <v>11929</v>
      </c>
      <c r="U55" s="56">
        <v>15196</v>
      </c>
      <c r="V55" s="56">
        <v>15622</v>
      </c>
      <c r="W55" s="56">
        <v>16444</v>
      </c>
      <c r="X55" s="56">
        <v>18417</v>
      </c>
      <c r="Y55" s="56">
        <v>18933</v>
      </c>
      <c r="Z55" s="56">
        <v>21071</v>
      </c>
      <c r="AA55" s="56">
        <v>20529</v>
      </c>
      <c r="AB55" s="56">
        <v>20888</v>
      </c>
      <c r="AC55" s="56">
        <v>21284</v>
      </c>
      <c r="AD55" s="56">
        <f t="shared" si="1"/>
        <v>14014.958333333334</v>
      </c>
    </row>
    <row r="56" spans="1:30">
      <c r="A56" s="56" t="s">
        <v>511</v>
      </c>
      <c r="B56" s="56" t="s">
        <v>744</v>
      </c>
      <c r="C56" s="56" t="s">
        <v>525</v>
      </c>
      <c r="D56" s="56" t="s">
        <v>674</v>
      </c>
      <c r="E56" s="56" t="s">
        <v>675</v>
      </c>
      <c r="F56" s="56">
        <v>6960</v>
      </c>
      <c r="G56" s="56">
        <v>9448</v>
      </c>
      <c r="H56" s="56">
        <v>9958</v>
      </c>
      <c r="I56" s="56">
        <v>7624</v>
      </c>
      <c r="J56" s="56">
        <v>8281</v>
      </c>
      <c r="K56" s="56">
        <v>8909</v>
      </c>
      <c r="L56" s="56">
        <v>8293</v>
      </c>
      <c r="M56" s="56">
        <v>9580</v>
      </c>
      <c r="N56" s="56">
        <v>8811</v>
      </c>
      <c r="O56" s="56">
        <v>8994</v>
      </c>
      <c r="P56" s="56">
        <v>10258</v>
      </c>
      <c r="Q56" s="56">
        <v>10476</v>
      </c>
      <c r="R56" s="56">
        <v>12689</v>
      </c>
      <c r="S56" s="56">
        <v>12647</v>
      </c>
      <c r="T56" s="56">
        <v>13352</v>
      </c>
      <c r="U56" s="56">
        <v>15492</v>
      </c>
      <c r="V56" s="56">
        <v>17303</v>
      </c>
      <c r="W56" s="56">
        <v>17107</v>
      </c>
      <c r="X56" s="56">
        <v>17836</v>
      </c>
      <c r="Y56" s="56">
        <v>19131</v>
      </c>
      <c r="Z56" s="56">
        <v>20154</v>
      </c>
      <c r="AA56" s="56">
        <v>19687</v>
      </c>
      <c r="AB56" s="56">
        <v>20432</v>
      </c>
      <c r="AC56" s="56">
        <v>21377</v>
      </c>
      <c r="AD56" s="56">
        <f t="shared" si="1"/>
        <v>13116.625</v>
      </c>
    </row>
    <row r="57" spans="1:30">
      <c r="A57" s="56" t="s">
        <v>511</v>
      </c>
      <c r="B57" s="56" t="s">
        <v>745</v>
      </c>
      <c r="C57" s="56" t="s">
        <v>525</v>
      </c>
      <c r="D57" s="56" t="s">
        <v>674</v>
      </c>
      <c r="E57" s="56" t="s">
        <v>675</v>
      </c>
      <c r="F57" s="56">
        <v>6787</v>
      </c>
      <c r="G57" s="56">
        <v>6854</v>
      </c>
      <c r="H57" s="56">
        <v>7056</v>
      </c>
      <c r="I57" s="56">
        <v>4575</v>
      </c>
      <c r="J57" s="56">
        <v>5677</v>
      </c>
      <c r="K57" s="56">
        <v>8804</v>
      </c>
      <c r="L57" s="56">
        <v>8843</v>
      </c>
      <c r="M57" s="56">
        <v>8286</v>
      </c>
      <c r="N57" s="56">
        <v>14642</v>
      </c>
      <c r="O57" s="56">
        <v>10246</v>
      </c>
      <c r="P57" s="56">
        <v>10727</v>
      </c>
      <c r="Q57" s="56">
        <v>9628</v>
      </c>
      <c r="R57" s="56">
        <v>13759</v>
      </c>
      <c r="S57" s="56">
        <v>11116</v>
      </c>
      <c r="T57" s="56">
        <v>11165</v>
      </c>
      <c r="U57" s="56">
        <v>14436</v>
      </c>
      <c r="V57" s="56">
        <v>16049</v>
      </c>
      <c r="W57" s="56">
        <v>13800</v>
      </c>
      <c r="X57" s="56">
        <v>14055</v>
      </c>
      <c r="Y57" s="56">
        <v>16041</v>
      </c>
      <c r="Z57" s="56">
        <v>17085</v>
      </c>
      <c r="AA57" s="56">
        <v>17317</v>
      </c>
      <c r="AB57" s="56">
        <v>17098</v>
      </c>
      <c r="AC57" s="56">
        <v>17535</v>
      </c>
      <c r="AD57" s="56">
        <f t="shared" si="1"/>
        <v>11732.541666666666</v>
      </c>
    </row>
    <row r="58" spans="1:30">
      <c r="A58" s="56" t="s">
        <v>511</v>
      </c>
      <c r="B58" s="56" t="s">
        <v>746</v>
      </c>
      <c r="C58" s="56" t="s">
        <v>525</v>
      </c>
      <c r="D58" s="56" t="s">
        <v>674</v>
      </c>
      <c r="E58" s="56" t="s">
        <v>675</v>
      </c>
      <c r="F58" s="56">
        <v>6126</v>
      </c>
      <c r="G58" s="56">
        <v>4836</v>
      </c>
      <c r="H58" s="56">
        <v>6682</v>
      </c>
      <c r="I58" s="56">
        <v>5466</v>
      </c>
      <c r="J58" s="56">
        <v>5001</v>
      </c>
      <c r="K58" s="56">
        <v>7867</v>
      </c>
      <c r="L58" s="56">
        <v>6868</v>
      </c>
      <c r="M58" s="56">
        <v>6390</v>
      </c>
      <c r="N58" s="56">
        <v>6731</v>
      </c>
      <c r="O58" s="56">
        <v>6776</v>
      </c>
      <c r="P58" s="56">
        <v>7118</v>
      </c>
      <c r="Q58" s="56">
        <v>6785</v>
      </c>
      <c r="R58" s="56">
        <v>8351</v>
      </c>
      <c r="S58" s="56">
        <v>8760</v>
      </c>
      <c r="T58" s="56">
        <v>11682</v>
      </c>
      <c r="U58" s="56">
        <v>10468</v>
      </c>
      <c r="V58" s="56">
        <v>11648</v>
      </c>
      <c r="W58" s="56">
        <v>12246</v>
      </c>
      <c r="X58" s="56">
        <v>12646</v>
      </c>
      <c r="Y58" s="56">
        <v>13893</v>
      </c>
      <c r="Z58" s="56">
        <v>14662</v>
      </c>
      <c r="AA58" s="56">
        <v>14626</v>
      </c>
      <c r="AB58" s="56">
        <v>14043</v>
      </c>
      <c r="AC58" s="56">
        <v>14094</v>
      </c>
      <c r="AD58" s="56">
        <f t="shared" si="1"/>
        <v>9323.5416666666661</v>
      </c>
    </row>
    <row r="59" spans="1:30">
      <c r="A59" s="56" t="s">
        <v>511</v>
      </c>
      <c r="B59" s="56" t="s">
        <v>747</v>
      </c>
      <c r="C59" s="56" t="s">
        <v>525</v>
      </c>
      <c r="D59" s="56" t="s">
        <v>674</v>
      </c>
      <c r="E59" s="56" t="s">
        <v>675</v>
      </c>
      <c r="F59" s="56">
        <v>3017</v>
      </c>
      <c r="G59" s="56">
        <v>3081</v>
      </c>
      <c r="H59" s="56">
        <v>3127</v>
      </c>
      <c r="I59" s="56">
        <v>3172</v>
      </c>
      <c r="J59" s="56">
        <v>3217</v>
      </c>
      <c r="K59" s="56">
        <v>3333</v>
      </c>
      <c r="L59" s="56">
        <v>3305</v>
      </c>
      <c r="M59" s="56">
        <v>3329</v>
      </c>
      <c r="N59" s="56">
        <v>3351</v>
      </c>
      <c r="O59" s="56">
        <v>3370</v>
      </c>
      <c r="P59" s="56">
        <v>3386</v>
      </c>
      <c r="Q59" s="56">
        <v>3384</v>
      </c>
      <c r="R59" s="56">
        <v>3333</v>
      </c>
      <c r="S59" s="56">
        <v>3333</v>
      </c>
      <c r="T59" s="56">
        <v>3558</v>
      </c>
      <c r="U59" s="56">
        <v>3846</v>
      </c>
      <c r="V59" s="56">
        <v>3846</v>
      </c>
      <c r="W59" s="56">
        <v>3875</v>
      </c>
      <c r="X59" s="56">
        <v>3875</v>
      </c>
      <c r="Y59" s="56">
        <v>3837</v>
      </c>
      <c r="Z59" s="56">
        <v>3879</v>
      </c>
      <c r="AA59" s="56">
        <v>3911</v>
      </c>
      <c r="AB59" s="56">
        <v>3944</v>
      </c>
      <c r="AC59" s="56">
        <v>3978</v>
      </c>
      <c r="AD59" s="56">
        <f t="shared" si="1"/>
        <v>3511.9583333333335</v>
      </c>
    </row>
    <row r="60" spans="1:30">
      <c r="A60" s="56" t="s">
        <v>511</v>
      </c>
      <c r="B60" s="56" t="s">
        <v>748</v>
      </c>
      <c r="C60" s="56" t="s">
        <v>525</v>
      </c>
      <c r="D60" s="56" t="s">
        <v>674</v>
      </c>
      <c r="E60" s="56" t="s">
        <v>675</v>
      </c>
      <c r="F60" s="56">
        <v>9132</v>
      </c>
      <c r="G60" s="56">
        <v>6527</v>
      </c>
      <c r="H60" s="56">
        <v>8527</v>
      </c>
      <c r="I60" s="56">
        <v>7124</v>
      </c>
      <c r="J60" s="56">
        <v>6496</v>
      </c>
      <c r="K60" s="56">
        <v>7375</v>
      </c>
      <c r="L60" s="56">
        <v>6784</v>
      </c>
      <c r="M60" s="56">
        <v>9796</v>
      </c>
      <c r="N60" s="56">
        <v>7447</v>
      </c>
      <c r="O60" s="56">
        <v>8361</v>
      </c>
      <c r="P60" s="56">
        <v>7785</v>
      </c>
      <c r="Q60" s="56">
        <v>8170</v>
      </c>
      <c r="R60" s="56">
        <v>9476</v>
      </c>
      <c r="S60" s="56">
        <v>10951</v>
      </c>
      <c r="T60" s="56">
        <v>10412</v>
      </c>
      <c r="U60" s="56">
        <v>12600</v>
      </c>
      <c r="V60" s="56">
        <v>12366</v>
      </c>
      <c r="W60" s="56">
        <v>12790</v>
      </c>
      <c r="X60" s="56">
        <v>13792</v>
      </c>
      <c r="Y60" s="56">
        <v>14854</v>
      </c>
      <c r="Z60" s="56">
        <v>16100</v>
      </c>
      <c r="AA60" s="56">
        <v>16381</v>
      </c>
      <c r="AB60" s="56">
        <v>16000</v>
      </c>
      <c r="AC60" s="56">
        <v>16251</v>
      </c>
      <c r="AD60" s="56">
        <f t="shared" si="1"/>
        <v>10645.708333333334</v>
      </c>
    </row>
    <row r="61" spans="1:30">
      <c r="A61" s="56" t="s">
        <v>511</v>
      </c>
      <c r="B61" s="56" t="s">
        <v>749</v>
      </c>
      <c r="C61" s="56" t="s">
        <v>525</v>
      </c>
      <c r="D61" s="56" t="s">
        <v>674</v>
      </c>
      <c r="E61" s="56" t="s">
        <v>675</v>
      </c>
      <c r="K61" s="56">
        <v>40000</v>
      </c>
      <c r="L61" s="56">
        <v>45486</v>
      </c>
      <c r="M61" s="56">
        <v>47199</v>
      </c>
      <c r="N61" s="56">
        <v>48480</v>
      </c>
      <c r="O61" s="56">
        <v>49669</v>
      </c>
      <c r="P61" s="56">
        <v>50825</v>
      </c>
      <c r="Q61" s="56">
        <v>51962</v>
      </c>
      <c r="R61" s="56">
        <v>53078</v>
      </c>
      <c r="S61" s="56">
        <v>54169</v>
      </c>
      <c r="T61" s="56">
        <v>55230</v>
      </c>
      <c r="U61" s="56">
        <v>56258</v>
      </c>
      <c r="V61" s="56">
        <v>57247</v>
      </c>
      <c r="W61" s="56">
        <v>60000</v>
      </c>
      <c r="X61" s="56">
        <v>60000</v>
      </c>
      <c r="Y61" s="56">
        <v>60898</v>
      </c>
      <c r="Z61" s="56">
        <v>62672</v>
      </c>
      <c r="AA61" s="56">
        <v>63170</v>
      </c>
      <c r="AB61" s="56">
        <v>64192</v>
      </c>
      <c r="AC61" s="56">
        <v>65214</v>
      </c>
      <c r="AD61" s="56">
        <f t="shared" si="1"/>
        <v>55039.42105263158</v>
      </c>
    </row>
    <row r="62" spans="1:30">
      <c r="A62" s="56" t="s">
        <v>511</v>
      </c>
      <c r="B62" s="56" t="s">
        <v>750</v>
      </c>
      <c r="C62" s="56" t="s">
        <v>525</v>
      </c>
      <c r="D62" s="56" t="s">
        <v>674</v>
      </c>
      <c r="E62" s="56" t="s">
        <v>675</v>
      </c>
      <c r="F62" s="56">
        <v>9211</v>
      </c>
      <c r="G62" s="56">
        <v>9173</v>
      </c>
      <c r="H62" s="56">
        <v>9187</v>
      </c>
      <c r="I62" s="56">
        <v>9302</v>
      </c>
      <c r="J62" s="56">
        <v>9046</v>
      </c>
      <c r="K62" s="56">
        <v>9184</v>
      </c>
      <c r="L62" s="56">
        <v>9269</v>
      </c>
      <c r="M62" s="56">
        <v>9615</v>
      </c>
      <c r="N62" s="56">
        <v>5842</v>
      </c>
      <c r="O62" s="56">
        <v>1754</v>
      </c>
      <c r="P62" s="56">
        <v>2499</v>
      </c>
      <c r="Q62" s="56">
        <v>6032</v>
      </c>
      <c r="R62" s="56">
        <v>9208</v>
      </c>
      <c r="S62" s="56">
        <v>10761</v>
      </c>
      <c r="T62" s="56">
        <v>13909</v>
      </c>
      <c r="U62" s="56">
        <v>14052</v>
      </c>
      <c r="V62" s="56">
        <v>18498</v>
      </c>
      <c r="W62" s="56">
        <v>19982</v>
      </c>
      <c r="X62" s="56">
        <v>19997</v>
      </c>
      <c r="Y62" s="56">
        <v>20472</v>
      </c>
      <c r="Z62" s="56">
        <v>23464</v>
      </c>
      <c r="AA62" s="56">
        <v>22174</v>
      </c>
      <c r="AB62" s="56">
        <v>20932</v>
      </c>
      <c r="AC62" s="56">
        <v>24500</v>
      </c>
      <c r="AD62" s="56">
        <f t="shared" si="1"/>
        <v>12835.958333333334</v>
      </c>
    </row>
    <row r="63" spans="1:30">
      <c r="A63" s="56" t="s">
        <v>511</v>
      </c>
      <c r="B63" s="56" t="s">
        <v>751</v>
      </c>
      <c r="C63" s="56" t="s">
        <v>525</v>
      </c>
      <c r="D63" s="56" t="s">
        <v>674</v>
      </c>
      <c r="E63" s="56" t="s">
        <v>675</v>
      </c>
      <c r="F63" s="56">
        <v>11356</v>
      </c>
      <c r="G63" s="56">
        <v>11329</v>
      </c>
      <c r="H63" s="56">
        <v>11373</v>
      </c>
      <c r="I63" s="56">
        <v>11413</v>
      </c>
      <c r="J63" s="56">
        <v>11475</v>
      </c>
      <c r="K63" s="56">
        <v>11667</v>
      </c>
      <c r="L63" s="56">
        <v>11538</v>
      </c>
      <c r="M63" s="56">
        <v>11429</v>
      </c>
      <c r="N63" s="56">
        <v>11563</v>
      </c>
      <c r="O63" s="56">
        <v>11463</v>
      </c>
      <c r="P63" s="56">
        <v>11692</v>
      </c>
      <c r="Q63" s="56">
        <v>11425</v>
      </c>
      <c r="R63" s="56">
        <v>11372</v>
      </c>
      <c r="S63" s="56">
        <v>11228</v>
      </c>
      <c r="T63" s="56">
        <v>11142</v>
      </c>
      <c r="U63" s="56">
        <v>11058</v>
      </c>
      <c r="V63" s="56">
        <v>10979</v>
      </c>
      <c r="W63" s="56">
        <v>10574</v>
      </c>
      <c r="X63" s="56">
        <v>10574</v>
      </c>
      <c r="Y63" s="56">
        <v>10697</v>
      </c>
      <c r="Z63" s="56">
        <v>10599</v>
      </c>
      <c r="AA63" s="56">
        <v>10413</v>
      </c>
      <c r="AB63" s="56">
        <v>10299</v>
      </c>
      <c r="AC63" s="56">
        <v>10190</v>
      </c>
      <c r="AD63" s="56">
        <f t="shared" si="1"/>
        <v>11118.666666666666</v>
      </c>
    </row>
    <row r="64" spans="1:30">
      <c r="AD64" s="56">
        <f>AVERAGE(AD53:AD63)</f>
        <v>17543.859164957848</v>
      </c>
    </row>
    <row r="66" spans="1:30">
      <c r="A66" s="56" t="s">
        <v>559</v>
      </c>
      <c r="B66" s="56" t="s">
        <v>560</v>
      </c>
      <c r="C66" s="56" t="s">
        <v>561</v>
      </c>
      <c r="D66" s="56" t="s">
        <v>562</v>
      </c>
      <c r="E66" s="56" t="s">
        <v>563</v>
      </c>
      <c r="F66" s="56" t="s">
        <v>679</v>
      </c>
      <c r="G66" s="56" t="s">
        <v>680</v>
      </c>
      <c r="H66" s="56" t="s">
        <v>681</v>
      </c>
      <c r="I66" s="56" t="s">
        <v>682</v>
      </c>
      <c r="J66" s="56" t="s">
        <v>683</v>
      </c>
      <c r="K66" s="56" t="s">
        <v>684</v>
      </c>
      <c r="L66" s="56" t="s">
        <v>685</v>
      </c>
      <c r="M66" s="56" t="s">
        <v>686</v>
      </c>
      <c r="N66" s="56" t="s">
        <v>687</v>
      </c>
      <c r="O66" s="56" t="s">
        <v>688</v>
      </c>
      <c r="P66" s="56" t="s">
        <v>689</v>
      </c>
      <c r="Q66" s="56" t="s">
        <v>690</v>
      </c>
      <c r="R66" s="56" t="s">
        <v>691</v>
      </c>
      <c r="S66" s="56" t="s">
        <v>692</v>
      </c>
      <c r="T66" s="56" t="s">
        <v>693</v>
      </c>
      <c r="U66" s="56" t="s">
        <v>694</v>
      </c>
      <c r="V66" s="56" t="s">
        <v>695</v>
      </c>
      <c r="W66" s="56" t="s">
        <v>696</v>
      </c>
      <c r="X66" s="56" t="s">
        <v>697</v>
      </c>
      <c r="Y66" s="56" t="s">
        <v>698</v>
      </c>
      <c r="Z66" s="56" t="s">
        <v>699</v>
      </c>
      <c r="AA66" s="56" t="s">
        <v>700</v>
      </c>
      <c r="AB66" s="56" t="s">
        <v>701</v>
      </c>
      <c r="AC66" s="56" t="s">
        <v>702</v>
      </c>
      <c r="AD66" s="56" t="s">
        <v>703</v>
      </c>
    </row>
    <row r="67" spans="1:30">
      <c r="A67" s="56" t="s">
        <v>511</v>
      </c>
      <c r="B67" s="56" t="s">
        <v>752</v>
      </c>
      <c r="C67" s="56" t="s">
        <v>524</v>
      </c>
      <c r="D67" s="56" t="s">
        <v>674</v>
      </c>
      <c r="E67" s="56" t="s">
        <v>675</v>
      </c>
      <c r="F67" s="56">
        <v>78889</v>
      </c>
      <c r="G67" s="56">
        <v>78261</v>
      </c>
      <c r="H67" s="56">
        <v>78261</v>
      </c>
      <c r="I67" s="56">
        <v>76042</v>
      </c>
      <c r="J67" s="56">
        <v>76546</v>
      </c>
      <c r="K67" s="56">
        <v>77000</v>
      </c>
      <c r="L67" s="56">
        <v>92222</v>
      </c>
      <c r="M67" s="56">
        <v>104872</v>
      </c>
      <c r="N67" s="56">
        <v>93349</v>
      </c>
      <c r="O67" s="56">
        <v>98595</v>
      </c>
      <c r="P67" s="56">
        <v>72801</v>
      </c>
      <c r="Q67" s="56">
        <v>72801</v>
      </c>
      <c r="R67" s="56">
        <v>71914</v>
      </c>
      <c r="S67" s="56">
        <v>79723</v>
      </c>
      <c r="T67" s="56">
        <v>82015</v>
      </c>
      <c r="U67" s="56">
        <v>82829</v>
      </c>
      <c r="V67" s="56">
        <v>79894</v>
      </c>
      <c r="W67" s="56">
        <v>115213</v>
      </c>
      <c r="X67" s="56">
        <v>117611</v>
      </c>
      <c r="Y67" s="56">
        <v>136847</v>
      </c>
      <c r="Z67" s="56">
        <v>148256</v>
      </c>
      <c r="AA67" s="56">
        <v>137681</v>
      </c>
      <c r="AB67" s="56">
        <v>137130</v>
      </c>
      <c r="AC67" s="56">
        <v>111029</v>
      </c>
      <c r="AD67" s="56">
        <f>AVERAGE(F67:AC67)</f>
        <v>95824.208333333328</v>
      </c>
    </row>
    <row r="68" spans="1:30">
      <c r="A68" s="56" t="s">
        <v>511</v>
      </c>
      <c r="B68" s="56" t="s">
        <v>753</v>
      </c>
      <c r="C68" s="56" t="s">
        <v>524</v>
      </c>
      <c r="D68" s="56" t="s">
        <v>674</v>
      </c>
      <c r="E68" s="56" t="s">
        <v>675</v>
      </c>
      <c r="F68" s="56">
        <v>74419</v>
      </c>
      <c r="G68" s="56">
        <v>75862</v>
      </c>
      <c r="H68" s="56">
        <v>76743</v>
      </c>
      <c r="I68" s="56">
        <v>78015</v>
      </c>
      <c r="J68" s="56">
        <v>78117</v>
      </c>
      <c r="K68" s="56">
        <v>78728</v>
      </c>
      <c r="L68" s="56">
        <v>78171</v>
      </c>
      <c r="M68" s="56">
        <v>78665</v>
      </c>
      <c r="N68" s="56">
        <v>78809</v>
      </c>
      <c r="O68" s="56">
        <v>78431</v>
      </c>
      <c r="P68" s="56">
        <v>78827</v>
      </c>
      <c r="Q68" s="56">
        <v>78674</v>
      </c>
      <c r="R68" s="56">
        <v>76826</v>
      </c>
      <c r="S68" s="56">
        <v>74025</v>
      </c>
      <c r="T68" s="56">
        <v>72188</v>
      </c>
      <c r="U68" s="56">
        <v>70149</v>
      </c>
      <c r="V68" s="56">
        <v>71675</v>
      </c>
      <c r="W68" s="56">
        <v>72727</v>
      </c>
      <c r="X68" s="56">
        <v>73239</v>
      </c>
      <c r="Y68" s="56">
        <v>73749</v>
      </c>
      <c r="Z68" s="56">
        <v>69956</v>
      </c>
      <c r="AA68" s="56">
        <v>69068</v>
      </c>
      <c r="AB68" s="56">
        <v>68350</v>
      </c>
      <c r="AC68" s="56">
        <v>67631</v>
      </c>
      <c r="AD68" s="56">
        <f>AVERAGE(F68:AC68)</f>
        <v>74710.166666666672</v>
      </c>
    </row>
    <row r="69" spans="1:30">
      <c r="A69" s="56" t="s">
        <v>511</v>
      </c>
      <c r="B69" s="56" t="s">
        <v>754</v>
      </c>
      <c r="C69" s="56" t="s">
        <v>524</v>
      </c>
      <c r="D69" s="56" t="s">
        <v>674</v>
      </c>
      <c r="E69" s="56" t="s">
        <v>675</v>
      </c>
      <c r="F69" s="56">
        <v>79695</v>
      </c>
      <c r="G69" s="56">
        <v>79500</v>
      </c>
      <c r="H69" s="56">
        <v>80303</v>
      </c>
      <c r="I69" s="56">
        <v>80000</v>
      </c>
      <c r="J69" s="56">
        <v>89063</v>
      </c>
      <c r="K69" s="56">
        <v>100000</v>
      </c>
      <c r="L69" s="56">
        <v>97097</v>
      </c>
      <c r="M69" s="56">
        <v>99671</v>
      </c>
      <c r="N69" s="56">
        <v>105906</v>
      </c>
      <c r="O69" s="56">
        <v>99416</v>
      </c>
      <c r="P69" s="56">
        <v>81251</v>
      </c>
      <c r="Q69" s="56">
        <v>72932</v>
      </c>
      <c r="R69" s="56">
        <v>84430</v>
      </c>
      <c r="S69" s="56">
        <v>79484</v>
      </c>
      <c r="T69" s="56">
        <v>84310</v>
      </c>
      <c r="U69" s="56">
        <v>90131</v>
      </c>
      <c r="V69" s="56">
        <v>92371</v>
      </c>
      <c r="W69" s="56">
        <v>84889</v>
      </c>
      <c r="X69" s="56">
        <v>83460</v>
      </c>
      <c r="Y69" s="56">
        <v>82952</v>
      </c>
      <c r="Z69" s="56">
        <v>85265</v>
      </c>
      <c r="AA69" s="56">
        <v>84054</v>
      </c>
      <c r="AB69" s="56">
        <v>84377</v>
      </c>
      <c r="AC69" s="56">
        <v>84760</v>
      </c>
      <c r="AD69" s="56">
        <f>AVERAGE(F69:AC69)</f>
        <v>86888.208333333328</v>
      </c>
    </row>
    <row r="70" spans="1:30">
      <c r="A70" s="56" t="s">
        <v>511</v>
      </c>
      <c r="B70" s="56" t="s">
        <v>755</v>
      </c>
      <c r="C70" s="56" t="s">
        <v>524</v>
      </c>
      <c r="D70" s="56" t="s">
        <v>674</v>
      </c>
      <c r="E70" s="56" t="s">
        <v>675</v>
      </c>
      <c r="F70" s="56">
        <v>69963</v>
      </c>
      <c r="G70" s="56">
        <v>70835</v>
      </c>
      <c r="H70" s="56">
        <v>71711</v>
      </c>
      <c r="I70" s="56">
        <v>72621</v>
      </c>
      <c r="J70" s="56">
        <v>73213</v>
      </c>
      <c r="K70" s="56">
        <v>76202</v>
      </c>
      <c r="L70" s="56">
        <v>77206</v>
      </c>
      <c r="M70" s="56">
        <v>78472</v>
      </c>
      <c r="N70" s="56">
        <v>78388</v>
      </c>
      <c r="O70" s="56">
        <v>79693</v>
      </c>
      <c r="P70" s="56">
        <v>67473</v>
      </c>
      <c r="Q70" s="56">
        <v>76428</v>
      </c>
      <c r="R70" s="56">
        <v>75292</v>
      </c>
      <c r="S70" s="56">
        <v>75450</v>
      </c>
      <c r="T70" s="56">
        <v>77776</v>
      </c>
      <c r="U70" s="56">
        <v>80372</v>
      </c>
      <c r="V70" s="56">
        <v>79414</v>
      </c>
      <c r="W70" s="56">
        <v>270389</v>
      </c>
      <c r="X70" s="56">
        <v>279805</v>
      </c>
      <c r="Y70" s="56">
        <v>296789</v>
      </c>
      <c r="Z70" s="56">
        <v>285412</v>
      </c>
      <c r="AA70" s="56">
        <v>300000</v>
      </c>
      <c r="AB70" s="56">
        <v>291667</v>
      </c>
      <c r="AC70" s="56">
        <v>299552</v>
      </c>
      <c r="AD70" s="56">
        <f>AVERAGE(F70:AC70)</f>
        <v>137671.79166666666</v>
      </c>
    </row>
    <row r="71" spans="1:30">
      <c r="AD71" s="52">
        <f>AVERAGE(AD67:AD70)</f>
        <v>98773.59375</v>
      </c>
    </row>
  </sheetData>
  <pageMargins left="0.7" right="0.7" top="0.75" bottom="0.75" header="0.3" footer="0.3"/>
  <pageSetup orientation="portrait" r:id="rId1"/>
  <tableParts count="5">
    <tablePart r:id="rId2"/>
    <tablePart r:id="rId3"/>
    <tablePart r:id="rId4"/>
    <tablePart r:id="rId5"/>
    <tablePart r:id="rId6"/>
  </tablePart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5EF462-C32F-48F1-B422-4FC7B2B71CF9}">
  <sheetPr codeName="Sheet12"/>
  <dimension ref="A1:AD42"/>
  <sheetViews>
    <sheetView topLeftCell="A16" workbookViewId="0">
      <selection activeCell="K36" sqref="K36"/>
    </sheetView>
  </sheetViews>
  <sheetFormatPr defaultColWidth="8.7109375" defaultRowHeight="14.45"/>
  <cols>
    <col min="1" max="1" width="10.28515625" style="56" customWidth="1"/>
    <col min="2" max="2" width="13.42578125" style="56" customWidth="1"/>
    <col min="3" max="3" width="17.5703125" style="56" customWidth="1"/>
    <col min="4" max="9" width="10.28515625" style="56" customWidth="1"/>
    <col min="10" max="30" width="11.28515625" style="56" customWidth="1"/>
    <col min="31" max="16384" width="8.7109375" style="56"/>
  </cols>
  <sheetData>
    <row r="1" spans="1:30">
      <c r="A1" s="56" t="s">
        <v>643</v>
      </c>
      <c r="B1" s="56" t="s">
        <v>644</v>
      </c>
      <c r="C1" s="56" t="s">
        <v>645</v>
      </c>
      <c r="D1" s="56" t="s">
        <v>646</v>
      </c>
      <c r="E1" s="56" t="s">
        <v>364</v>
      </c>
      <c r="F1" s="56" t="s">
        <v>647</v>
      </c>
      <c r="G1" s="56" t="s">
        <v>648</v>
      </c>
      <c r="H1" s="56" t="s">
        <v>649</v>
      </c>
      <c r="I1" s="56" t="s">
        <v>650</v>
      </c>
      <c r="J1" s="56" t="s">
        <v>651</v>
      </c>
      <c r="K1" s="56" t="s">
        <v>652</v>
      </c>
      <c r="L1" s="56" t="s">
        <v>653</v>
      </c>
      <c r="M1" s="56" t="s">
        <v>654</v>
      </c>
      <c r="N1" s="56" t="s">
        <v>655</v>
      </c>
      <c r="O1" s="56" t="s">
        <v>656</v>
      </c>
      <c r="P1" s="56" t="s">
        <v>657</v>
      </c>
      <c r="Q1" s="56" t="s">
        <v>658</v>
      </c>
      <c r="R1" s="56" t="s">
        <v>659</v>
      </c>
      <c r="S1" s="56" t="s">
        <v>660</v>
      </c>
      <c r="T1" s="56" t="s">
        <v>661</v>
      </c>
      <c r="U1" s="56" t="s">
        <v>662</v>
      </c>
      <c r="V1" s="56" t="s">
        <v>663</v>
      </c>
      <c r="W1" s="56" t="s">
        <v>664</v>
      </c>
      <c r="X1" s="56" t="s">
        <v>665</v>
      </c>
      <c r="Y1" s="56" t="s">
        <v>666</v>
      </c>
      <c r="Z1" s="56" t="s">
        <v>667</v>
      </c>
      <c r="AA1" s="56" t="s">
        <v>668</v>
      </c>
      <c r="AB1" s="56" t="s">
        <v>669</v>
      </c>
      <c r="AC1" s="56" t="s">
        <v>670</v>
      </c>
    </row>
    <row r="2" spans="1:30">
      <c r="A2" s="56" t="s">
        <v>8</v>
      </c>
      <c r="B2" s="56" t="s">
        <v>756</v>
      </c>
      <c r="C2" s="56" t="s">
        <v>673</v>
      </c>
      <c r="D2" s="56" t="s">
        <v>674</v>
      </c>
      <c r="E2" s="56" t="s">
        <v>675</v>
      </c>
      <c r="F2" s="56">
        <v>36095</v>
      </c>
      <c r="G2" s="56">
        <v>35863</v>
      </c>
      <c r="H2" s="56">
        <v>35631</v>
      </c>
      <c r="I2" s="56">
        <v>35399</v>
      </c>
      <c r="J2" s="56">
        <v>35166</v>
      </c>
      <c r="K2" s="56">
        <v>34934</v>
      </c>
      <c r="L2" s="56">
        <v>34702</v>
      </c>
      <c r="M2" s="56">
        <v>34470</v>
      </c>
      <c r="N2" s="56">
        <v>34238</v>
      </c>
      <c r="O2" s="56">
        <v>34005</v>
      </c>
      <c r="P2" s="56">
        <v>33770</v>
      </c>
      <c r="Q2" s="56">
        <v>33536</v>
      </c>
      <c r="R2" s="56">
        <v>33827</v>
      </c>
      <c r="S2" s="56">
        <v>33591</v>
      </c>
      <c r="T2" s="56">
        <v>33983</v>
      </c>
      <c r="U2" s="56">
        <v>33385</v>
      </c>
      <c r="V2" s="56">
        <v>31556</v>
      </c>
      <c r="W2" s="56">
        <v>31556</v>
      </c>
      <c r="X2" s="56">
        <v>31523</v>
      </c>
      <c r="Y2" s="56">
        <v>31556</v>
      </c>
      <c r="Z2" s="56">
        <v>31499</v>
      </c>
      <c r="AA2" s="56">
        <v>31267</v>
      </c>
      <c r="AB2" s="56">
        <v>31066</v>
      </c>
      <c r="AC2" s="56">
        <v>30864</v>
      </c>
    </row>
    <row r="3" spans="1:30">
      <c r="A3" s="56" t="s">
        <v>8</v>
      </c>
      <c r="B3" s="56" t="s">
        <v>757</v>
      </c>
      <c r="C3" s="56" t="s">
        <v>673</v>
      </c>
      <c r="D3" s="56" t="s">
        <v>674</v>
      </c>
      <c r="E3" s="56" t="s">
        <v>675</v>
      </c>
      <c r="F3" s="56">
        <v>100000</v>
      </c>
      <c r="G3" s="56">
        <v>100000</v>
      </c>
      <c r="H3" s="56">
        <v>100000</v>
      </c>
      <c r="I3" s="56">
        <v>100000</v>
      </c>
      <c r="J3" s="56">
        <v>100000</v>
      </c>
      <c r="K3" s="56">
        <v>100000</v>
      </c>
      <c r="L3" s="56">
        <v>100000</v>
      </c>
      <c r="M3" s="56">
        <v>100000</v>
      </c>
      <c r="N3" s="56">
        <v>100000</v>
      </c>
      <c r="O3" s="56">
        <v>100000</v>
      </c>
      <c r="P3" s="56">
        <v>100000</v>
      </c>
      <c r="Q3" s="56">
        <v>100000</v>
      </c>
      <c r="R3" s="56">
        <v>100000</v>
      </c>
      <c r="S3" s="56">
        <v>107059</v>
      </c>
      <c r="T3" s="56">
        <v>103333</v>
      </c>
      <c r="U3" s="56">
        <v>114286</v>
      </c>
      <c r="V3" s="56">
        <v>114286</v>
      </c>
      <c r="W3" s="56">
        <v>110909</v>
      </c>
      <c r="X3" s="56">
        <v>107143</v>
      </c>
      <c r="Y3" s="56">
        <v>107414</v>
      </c>
      <c r="Z3" s="56">
        <v>110482</v>
      </c>
      <c r="AA3" s="56">
        <v>111259</v>
      </c>
      <c r="AB3" s="56">
        <v>111904</v>
      </c>
      <c r="AC3" s="56">
        <v>112549</v>
      </c>
    </row>
    <row r="4" spans="1:30">
      <c r="A4" s="56" t="s">
        <v>8</v>
      </c>
      <c r="B4" s="56" t="s">
        <v>758</v>
      </c>
      <c r="C4" s="56" t="s">
        <v>673</v>
      </c>
      <c r="D4" s="56" t="s">
        <v>674</v>
      </c>
      <c r="E4" s="56" t="s">
        <v>675</v>
      </c>
      <c r="F4" s="56">
        <v>1090000</v>
      </c>
      <c r="G4" s="56">
        <v>1092593</v>
      </c>
      <c r="H4" s="56">
        <v>1093827</v>
      </c>
      <c r="I4" s="56">
        <v>1095062</v>
      </c>
      <c r="J4" s="56">
        <v>1097531</v>
      </c>
      <c r="K4" s="56">
        <v>1075949</v>
      </c>
      <c r="L4" s="56">
        <v>1151623</v>
      </c>
      <c r="M4" s="56">
        <v>1131731</v>
      </c>
      <c r="N4" s="56">
        <v>1118819</v>
      </c>
      <c r="O4" s="56">
        <v>1168429</v>
      </c>
      <c r="P4" s="56">
        <v>1167606</v>
      </c>
      <c r="Q4" s="56">
        <v>1160140</v>
      </c>
      <c r="R4" s="56">
        <v>1161111</v>
      </c>
      <c r="S4" s="56">
        <v>1161111</v>
      </c>
      <c r="T4" s="56">
        <v>1161111</v>
      </c>
      <c r="U4" s="56">
        <v>1148649</v>
      </c>
      <c r="V4" s="56">
        <v>1142857</v>
      </c>
      <c r="W4" s="56">
        <v>1125000</v>
      </c>
      <c r="X4" s="56">
        <v>1141026</v>
      </c>
      <c r="Y4" s="56">
        <v>1143959</v>
      </c>
      <c r="Z4" s="56">
        <v>1141026</v>
      </c>
      <c r="AA4" s="56">
        <v>1151948</v>
      </c>
      <c r="AB4" s="56">
        <v>1150649</v>
      </c>
      <c r="AC4" s="56">
        <v>1148879</v>
      </c>
    </row>
    <row r="5" spans="1:30">
      <c r="A5" s="56" t="s">
        <v>8</v>
      </c>
      <c r="B5" s="56" t="s">
        <v>759</v>
      </c>
      <c r="C5" s="56" t="s">
        <v>673</v>
      </c>
      <c r="D5" s="56" t="s">
        <v>674</v>
      </c>
      <c r="E5" s="56" t="s">
        <v>675</v>
      </c>
    </row>
    <row r="6" spans="1:30">
      <c r="A6" s="56" t="s">
        <v>8</v>
      </c>
      <c r="B6" s="56" t="s">
        <v>676</v>
      </c>
      <c r="C6" s="56" t="s">
        <v>673</v>
      </c>
      <c r="D6" s="56" t="s">
        <v>674</v>
      </c>
      <c r="E6" s="56" t="s">
        <v>675</v>
      </c>
      <c r="F6" s="56">
        <v>9811</v>
      </c>
      <c r="G6" s="56">
        <v>7531</v>
      </c>
      <c r="H6" s="56">
        <v>7664</v>
      </c>
      <c r="I6" s="56">
        <v>11018</v>
      </c>
      <c r="J6" s="56">
        <v>11362</v>
      </c>
      <c r="K6" s="56">
        <v>9946</v>
      </c>
      <c r="L6" s="56">
        <v>10066</v>
      </c>
      <c r="M6" s="56">
        <v>3864</v>
      </c>
      <c r="N6" s="56">
        <v>9528</v>
      </c>
      <c r="O6" s="56">
        <v>8587</v>
      </c>
      <c r="P6" s="56">
        <v>9616</v>
      </c>
      <c r="Q6" s="56">
        <v>8518</v>
      </c>
      <c r="R6" s="56">
        <v>6348</v>
      </c>
      <c r="S6" s="56">
        <v>9200</v>
      </c>
      <c r="T6" s="56">
        <v>9970</v>
      </c>
      <c r="U6" s="56">
        <v>11021</v>
      </c>
      <c r="V6" s="56">
        <v>6581</v>
      </c>
      <c r="W6" s="56">
        <v>10339</v>
      </c>
      <c r="X6" s="56">
        <v>7866</v>
      </c>
      <c r="Y6" s="56">
        <v>7966</v>
      </c>
      <c r="Z6" s="56">
        <v>9509</v>
      </c>
      <c r="AA6" s="56">
        <v>8467</v>
      </c>
      <c r="AB6" s="56">
        <v>9964</v>
      </c>
      <c r="AC6" s="56">
        <v>9057</v>
      </c>
    </row>
    <row r="7" spans="1:30">
      <c r="A7" s="56" t="s">
        <v>8</v>
      </c>
      <c r="B7" s="56" t="s">
        <v>677</v>
      </c>
      <c r="C7" s="56" t="s">
        <v>673</v>
      </c>
      <c r="D7" s="56" t="s">
        <v>674</v>
      </c>
      <c r="E7" s="56" t="s">
        <v>675</v>
      </c>
      <c r="F7" s="56">
        <v>3571</v>
      </c>
      <c r="G7" s="56">
        <v>2729</v>
      </c>
      <c r="H7" s="56">
        <v>2767</v>
      </c>
      <c r="I7" s="56">
        <v>3859</v>
      </c>
      <c r="J7" s="56">
        <v>4202</v>
      </c>
      <c r="K7" s="56">
        <v>3687</v>
      </c>
      <c r="L7" s="56">
        <v>3693</v>
      </c>
      <c r="M7" s="56">
        <v>1426</v>
      </c>
      <c r="N7" s="56">
        <v>3415</v>
      </c>
      <c r="O7" s="56">
        <v>3138</v>
      </c>
      <c r="P7" s="56">
        <v>3553</v>
      </c>
      <c r="Q7" s="56">
        <v>3096</v>
      </c>
      <c r="R7" s="56">
        <v>2287</v>
      </c>
      <c r="S7" s="56">
        <v>3370</v>
      </c>
      <c r="T7" s="56">
        <v>3683</v>
      </c>
      <c r="U7" s="56">
        <v>4056</v>
      </c>
      <c r="V7" s="56">
        <v>2388</v>
      </c>
      <c r="W7" s="56">
        <v>3699</v>
      </c>
      <c r="X7" s="56">
        <v>2848</v>
      </c>
      <c r="Y7" s="56">
        <v>2895</v>
      </c>
    </row>
    <row r="8" spans="1:30">
      <c r="A8" s="56" t="s">
        <v>8</v>
      </c>
      <c r="B8" s="56" t="s">
        <v>678</v>
      </c>
      <c r="C8" s="56" t="s">
        <v>673</v>
      </c>
      <c r="D8" s="56" t="s">
        <v>674</v>
      </c>
      <c r="E8" s="56" t="s">
        <v>675</v>
      </c>
      <c r="F8" s="56">
        <v>2811</v>
      </c>
      <c r="G8" s="56">
        <v>2117</v>
      </c>
      <c r="H8" s="56">
        <v>2100</v>
      </c>
      <c r="I8" s="56">
        <v>3033</v>
      </c>
      <c r="J8" s="56">
        <v>3327</v>
      </c>
      <c r="K8" s="56">
        <v>2919</v>
      </c>
      <c r="L8" s="56">
        <v>2912</v>
      </c>
      <c r="M8" s="56">
        <v>1101</v>
      </c>
      <c r="N8" s="56">
        <v>2588</v>
      </c>
      <c r="O8" s="56">
        <v>2454</v>
      </c>
      <c r="P8" s="56">
        <v>2772</v>
      </c>
      <c r="Q8" s="56">
        <v>2399</v>
      </c>
      <c r="R8" s="56">
        <v>1755</v>
      </c>
      <c r="S8" s="56">
        <v>2665</v>
      </c>
      <c r="T8" s="56">
        <v>2948</v>
      </c>
      <c r="U8" s="56">
        <v>3254</v>
      </c>
      <c r="V8" s="56">
        <v>1964</v>
      </c>
      <c r="W8" s="56">
        <v>3006</v>
      </c>
      <c r="X8" s="56">
        <v>2322</v>
      </c>
      <c r="Y8" s="56">
        <v>2387</v>
      </c>
    </row>
    <row r="12" spans="1:30">
      <c r="A12" s="56" t="s">
        <v>559</v>
      </c>
      <c r="B12" s="56" t="s">
        <v>560</v>
      </c>
      <c r="C12" s="56" t="s">
        <v>561</v>
      </c>
      <c r="D12" s="56" t="s">
        <v>562</v>
      </c>
      <c r="E12" s="56" t="s">
        <v>563</v>
      </c>
      <c r="F12" s="56" t="s">
        <v>679</v>
      </c>
      <c r="G12" s="56" t="s">
        <v>680</v>
      </c>
      <c r="H12" s="56" t="s">
        <v>681</v>
      </c>
      <c r="I12" s="56" t="s">
        <v>682</v>
      </c>
      <c r="J12" s="56" t="s">
        <v>683</v>
      </c>
      <c r="K12" s="56" t="s">
        <v>684</v>
      </c>
      <c r="L12" s="56" t="s">
        <v>685</v>
      </c>
      <c r="M12" s="56" t="s">
        <v>686</v>
      </c>
      <c r="N12" s="56" t="s">
        <v>687</v>
      </c>
      <c r="O12" s="56" t="s">
        <v>688</v>
      </c>
      <c r="P12" s="56" t="s">
        <v>689</v>
      </c>
      <c r="Q12" s="56" t="s">
        <v>690</v>
      </c>
      <c r="R12" s="56" t="s">
        <v>691</v>
      </c>
      <c r="S12" s="56" t="s">
        <v>692</v>
      </c>
      <c r="T12" s="56" t="s">
        <v>693</v>
      </c>
      <c r="U12" s="56" t="s">
        <v>694</v>
      </c>
      <c r="V12" s="56" t="s">
        <v>695</v>
      </c>
      <c r="W12" s="56" t="s">
        <v>696</v>
      </c>
      <c r="X12" s="56" t="s">
        <v>697</v>
      </c>
      <c r="Y12" s="56" t="s">
        <v>698</v>
      </c>
      <c r="Z12" s="56" t="s">
        <v>699</v>
      </c>
      <c r="AA12" s="56" t="s">
        <v>700</v>
      </c>
      <c r="AB12" s="56" t="s">
        <v>701</v>
      </c>
      <c r="AC12" s="56" t="s">
        <v>702</v>
      </c>
      <c r="AD12" s="56" t="s">
        <v>703</v>
      </c>
    </row>
    <row r="13" spans="1:30">
      <c r="A13" s="56" t="s">
        <v>8</v>
      </c>
      <c r="B13" s="56" t="s">
        <v>760</v>
      </c>
      <c r="C13" s="56" t="s">
        <v>523</v>
      </c>
      <c r="D13" s="56" t="s">
        <v>674</v>
      </c>
      <c r="E13" s="56" t="s">
        <v>675</v>
      </c>
      <c r="F13" s="56">
        <v>5698</v>
      </c>
      <c r="G13" s="56">
        <v>5459</v>
      </c>
      <c r="H13" s="56">
        <v>4648</v>
      </c>
      <c r="I13" s="56">
        <v>4948</v>
      </c>
      <c r="J13" s="56">
        <v>6832</v>
      </c>
      <c r="K13" s="56">
        <v>5000</v>
      </c>
      <c r="L13" s="56">
        <v>5582</v>
      </c>
      <c r="M13" s="56">
        <v>4783</v>
      </c>
      <c r="N13" s="56">
        <v>4830</v>
      </c>
      <c r="O13" s="56">
        <v>4443</v>
      </c>
      <c r="P13" s="56">
        <v>5758</v>
      </c>
      <c r="Q13" s="56">
        <v>6131</v>
      </c>
      <c r="R13" s="56">
        <v>5383</v>
      </c>
      <c r="S13" s="56">
        <v>6512</v>
      </c>
      <c r="T13" s="56">
        <v>7441</v>
      </c>
      <c r="U13" s="56">
        <v>8332</v>
      </c>
      <c r="V13" s="56">
        <v>7087</v>
      </c>
      <c r="W13" s="56">
        <v>8335</v>
      </c>
      <c r="X13" s="56">
        <v>6083</v>
      </c>
      <c r="Y13" s="56">
        <v>6631</v>
      </c>
      <c r="Z13" s="56">
        <v>7260</v>
      </c>
      <c r="AA13" s="56">
        <v>7351</v>
      </c>
      <c r="AB13" s="56">
        <v>7325</v>
      </c>
      <c r="AC13" s="56">
        <v>7427</v>
      </c>
      <c r="AD13" s="56">
        <f>AVERAGE(F13:AC13)</f>
        <v>6219.958333333333</v>
      </c>
    </row>
    <row r="14" spans="1:30">
      <c r="A14" s="56" t="s">
        <v>8</v>
      </c>
      <c r="B14" s="56" t="s">
        <v>705</v>
      </c>
      <c r="C14" s="56" t="s">
        <v>523</v>
      </c>
      <c r="D14" s="56" t="s">
        <v>674</v>
      </c>
      <c r="E14" s="56" t="s">
        <v>675</v>
      </c>
      <c r="F14" s="56">
        <v>10881</v>
      </c>
      <c r="G14" s="56">
        <v>10438</v>
      </c>
      <c r="H14" s="56">
        <v>12911</v>
      </c>
      <c r="I14" s="56">
        <v>8255</v>
      </c>
      <c r="J14" s="56">
        <v>9388</v>
      </c>
      <c r="K14" s="56">
        <v>11114</v>
      </c>
      <c r="L14" s="56">
        <v>12279</v>
      </c>
      <c r="M14" s="56">
        <v>7434</v>
      </c>
      <c r="N14" s="56">
        <v>22834</v>
      </c>
      <c r="O14" s="56">
        <v>27194</v>
      </c>
      <c r="P14" s="56">
        <v>27961</v>
      </c>
      <c r="Q14" s="56">
        <v>13919</v>
      </c>
      <c r="R14" s="56">
        <v>11008</v>
      </c>
      <c r="S14" s="56">
        <v>18351</v>
      </c>
      <c r="T14" s="56">
        <v>16300</v>
      </c>
      <c r="U14" s="56">
        <v>15384</v>
      </c>
      <c r="V14" s="56">
        <v>11331</v>
      </c>
      <c r="W14" s="56">
        <v>15465</v>
      </c>
      <c r="X14" s="56">
        <v>14428</v>
      </c>
      <c r="Y14" s="56">
        <v>12212</v>
      </c>
      <c r="Z14" s="56">
        <v>15253</v>
      </c>
      <c r="AA14" s="56">
        <v>16313</v>
      </c>
      <c r="AB14" s="56">
        <v>15113</v>
      </c>
      <c r="AC14" s="56">
        <v>14704</v>
      </c>
      <c r="AD14" s="56">
        <f>AVERAGE(F14:AC14)</f>
        <v>14602.916666666666</v>
      </c>
    </row>
    <row r="15" spans="1:30">
      <c r="A15" s="56" t="s">
        <v>8</v>
      </c>
      <c r="B15" s="56" t="s">
        <v>706</v>
      </c>
      <c r="C15" s="56" t="s">
        <v>523</v>
      </c>
      <c r="D15" s="56" t="s">
        <v>674</v>
      </c>
      <c r="E15" s="56" t="s">
        <v>675</v>
      </c>
      <c r="F15" s="56">
        <v>7641</v>
      </c>
      <c r="G15" s="56">
        <v>6189</v>
      </c>
      <c r="H15" s="56">
        <v>5193</v>
      </c>
      <c r="I15" s="56">
        <v>5590</v>
      </c>
      <c r="J15" s="56">
        <v>6700</v>
      </c>
      <c r="K15" s="56">
        <v>7127</v>
      </c>
      <c r="L15" s="56">
        <v>6949</v>
      </c>
      <c r="M15" s="56">
        <v>5061</v>
      </c>
      <c r="N15" s="56">
        <v>7329</v>
      </c>
      <c r="O15" s="56">
        <v>4713</v>
      </c>
      <c r="P15" s="56">
        <v>7600</v>
      </c>
      <c r="Q15" s="56">
        <v>6606</v>
      </c>
      <c r="R15" s="56">
        <v>4642</v>
      </c>
      <c r="S15" s="56">
        <v>7675</v>
      </c>
      <c r="T15" s="56">
        <v>7703</v>
      </c>
      <c r="U15" s="56">
        <v>7872</v>
      </c>
      <c r="V15" s="56">
        <v>6165</v>
      </c>
      <c r="W15" s="56">
        <v>8106</v>
      </c>
      <c r="X15" s="56">
        <v>6833</v>
      </c>
      <c r="Y15" s="56">
        <v>5712</v>
      </c>
      <c r="Z15" s="56">
        <v>8133</v>
      </c>
      <c r="AA15" s="56">
        <v>7099</v>
      </c>
      <c r="AB15" s="56">
        <v>7004</v>
      </c>
      <c r="AC15" s="56">
        <v>7018</v>
      </c>
      <c r="AD15" s="56">
        <f>AVERAGE(F15:AC15)</f>
        <v>6694.166666666667</v>
      </c>
    </row>
    <row r="16" spans="1:30">
      <c r="A16" s="56" t="s">
        <v>8</v>
      </c>
      <c r="B16" s="56" t="s">
        <v>761</v>
      </c>
      <c r="C16" s="56" t="s">
        <v>523</v>
      </c>
      <c r="D16" s="56" t="s">
        <v>674</v>
      </c>
      <c r="E16" s="56" t="s">
        <v>675</v>
      </c>
      <c r="F16" s="56">
        <v>22497</v>
      </c>
      <c r="G16" s="56">
        <v>20157</v>
      </c>
      <c r="H16" s="56">
        <v>23254</v>
      </c>
      <c r="I16" s="56">
        <v>27204</v>
      </c>
      <c r="J16" s="56">
        <v>28000</v>
      </c>
      <c r="K16" s="56">
        <v>23454</v>
      </c>
      <c r="L16" s="56">
        <v>23729</v>
      </c>
      <c r="M16" s="56">
        <v>22676</v>
      </c>
      <c r="N16" s="56">
        <v>26397</v>
      </c>
      <c r="O16" s="56">
        <v>24758</v>
      </c>
      <c r="P16" s="56">
        <v>28542</v>
      </c>
      <c r="Q16" s="56">
        <v>22401</v>
      </c>
      <c r="R16" s="56">
        <v>24078</v>
      </c>
      <c r="S16" s="56">
        <v>32572</v>
      </c>
      <c r="T16" s="56">
        <v>36022</v>
      </c>
      <c r="U16" s="56">
        <v>41033</v>
      </c>
      <c r="V16" s="56">
        <v>37171</v>
      </c>
      <c r="W16" s="56">
        <v>39892</v>
      </c>
      <c r="X16" s="56">
        <v>40181</v>
      </c>
      <c r="Y16" s="56">
        <v>41417</v>
      </c>
      <c r="Z16" s="56">
        <v>38194</v>
      </c>
      <c r="AA16" s="56">
        <v>39034</v>
      </c>
      <c r="AB16" s="56">
        <v>42461</v>
      </c>
      <c r="AC16" s="56">
        <v>43806</v>
      </c>
      <c r="AD16" s="56">
        <f>AVERAGE(F16:AC16)</f>
        <v>31205.416666666668</v>
      </c>
    </row>
    <row r="17" spans="1:30">
      <c r="A17" s="56" t="s">
        <v>8</v>
      </c>
      <c r="B17" s="56" t="s">
        <v>707</v>
      </c>
      <c r="C17" s="56" t="s">
        <v>523</v>
      </c>
      <c r="D17" s="56" t="s">
        <v>674</v>
      </c>
      <c r="E17" s="56" t="s">
        <v>675</v>
      </c>
      <c r="F17" s="56">
        <v>8579</v>
      </c>
      <c r="G17" s="56">
        <v>8948</v>
      </c>
      <c r="H17" s="56">
        <v>7658</v>
      </c>
      <c r="I17" s="56">
        <v>5927</v>
      </c>
      <c r="J17" s="56">
        <v>6405</v>
      </c>
      <c r="K17" s="56">
        <v>8691</v>
      </c>
      <c r="L17" s="56">
        <v>8565</v>
      </c>
      <c r="M17" s="56">
        <v>5854</v>
      </c>
      <c r="N17" s="56">
        <v>9108</v>
      </c>
      <c r="O17" s="56">
        <v>7754</v>
      </c>
      <c r="P17" s="56">
        <v>9652</v>
      </c>
      <c r="Q17" s="56">
        <v>7607</v>
      </c>
      <c r="R17" s="56">
        <v>6459</v>
      </c>
      <c r="S17" s="56">
        <v>10089</v>
      </c>
      <c r="T17" s="56">
        <v>9357</v>
      </c>
      <c r="U17" s="56">
        <v>9331</v>
      </c>
      <c r="V17" s="56">
        <v>6389</v>
      </c>
      <c r="W17" s="56">
        <v>9602</v>
      </c>
      <c r="X17" s="56">
        <v>8458</v>
      </c>
      <c r="Y17" s="56">
        <v>8182</v>
      </c>
      <c r="Z17" s="56">
        <v>9390</v>
      </c>
      <c r="AA17" s="56">
        <v>8667</v>
      </c>
      <c r="AB17" s="56">
        <v>8566</v>
      </c>
      <c r="AC17" s="56">
        <v>8602</v>
      </c>
      <c r="AD17" s="56">
        <f>AVERAGE(F17:AC17)</f>
        <v>8243.3333333333339</v>
      </c>
    </row>
    <row r="18" spans="1:30">
      <c r="AD18" s="56">
        <f>AVERAGE(AD13:AD17)</f>
        <v>13393.158333333335</v>
      </c>
    </row>
    <row r="20" spans="1:30">
      <c r="A20" s="56" t="s">
        <v>559</v>
      </c>
      <c r="B20" s="56" t="s">
        <v>560</v>
      </c>
      <c r="C20" s="56" t="s">
        <v>561</v>
      </c>
      <c r="D20" s="56" t="s">
        <v>562</v>
      </c>
      <c r="E20" s="56" t="s">
        <v>563</v>
      </c>
      <c r="F20" s="56" t="s">
        <v>679</v>
      </c>
      <c r="G20" s="56" t="s">
        <v>680</v>
      </c>
      <c r="H20" s="56" t="s">
        <v>681</v>
      </c>
      <c r="I20" s="56" t="s">
        <v>682</v>
      </c>
      <c r="J20" s="56" t="s">
        <v>683</v>
      </c>
      <c r="K20" s="56" t="s">
        <v>684</v>
      </c>
      <c r="L20" s="56" t="s">
        <v>685</v>
      </c>
      <c r="M20" s="56" t="s">
        <v>686</v>
      </c>
      <c r="N20" s="56" t="s">
        <v>687</v>
      </c>
      <c r="O20" s="56" t="s">
        <v>688</v>
      </c>
      <c r="P20" s="56" t="s">
        <v>689</v>
      </c>
      <c r="Q20" s="56" t="s">
        <v>690</v>
      </c>
      <c r="R20" s="56" t="s">
        <v>691</v>
      </c>
      <c r="S20" s="56" t="s">
        <v>692</v>
      </c>
      <c r="T20" s="56" t="s">
        <v>693</v>
      </c>
      <c r="U20" s="56" t="s">
        <v>694</v>
      </c>
      <c r="V20" s="56" t="s">
        <v>695</v>
      </c>
      <c r="W20" s="56" t="s">
        <v>696</v>
      </c>
      <c r="X20" s="56" t="s">
        <v>697</v>
      </c>
      <c r="Y20" s="56" t="s">
        <v>698</v>
      </c>
      <c r="Z20" s="56" t="s">
        <v>699</v>
      </c>
      <c r="AA20" s="56" t="s">
        <v>700</v>
      </c>
      <c r="AB20" s="56" t="s">
        <v>701</v>
      </c>
      <c r="AC20" s="56" t="s">
        <v>702</v>
      </c>
      <c r="AD20" s="56" t="s">
        <v>703</v>
      </c>
    </row>
    <row r="21" spans="1:30">
      <c r="A21" s="56" t="s">
        <v>8</v>
      </c>
      <c r="B21" s="56" t="s">
        <v>715</v>
      </c>
      <c r="C21" s="56" t="s">
        <v>710</v>
      </c>
      <c r="D21" s="56" t="s">
        <v>674</v>
      </c>
      <c r="E21" s="56" t="s">
        <v>675</v>
      </c>
      <c r="F21" s="56">
        <v>73670</v>
      </c>
      <c r="G21" s="56">
        <v>73758</v>
      </c>
      <c r="H21" s="56">
        <v>73846</v>
      </c>
      <c r="I21" s="56">
        <v>74125</v>
      </c>
      <c r="J21" s="56">
        <v>66873</v>
      </c>
      <c r="K21" s="56">
        <v>60000</v>
      </c>
      <c r="L21" s="56">
        <v>88476</v>
      </c>
      <c r="M21" s="56">
        <v>88476</v>
      </c>
      <c r="N21" s="56">
        <v>80126</v>
      </c>
      <c r="O21" s="56">
        <v>54973</v>
      </c>
      <c r="P21" s="56">
        <v>80083</v>
      </c>
      <c r="Q21" s="56">
        <v>80110</v>
      </c>
      <c r="R21" s="56">
        <v>62500</v>
      </c>
      <c r="S21" s="56">
        <v>65658</v>
      </c>
      <c r="T21" s="56">
        <v>81398</v>
      </c>
      <c r="U21" s="56">
        <v>76650</v>
      </c>
      <c r="V21" s="56">
        <v>72511</v>
      </c>
      <c r="W21" s="56">
        <v>72568</v>
      </c>
      <c r="X21" s="56">
        <v>72448</v>
      </c>
      <c r="Y21" s="56">
        <v>73111</v>
      </c>
      <c r="Z21" s="56">
        <v>73295</v>
      </c>
      <c r="AA21" s="56">
        <v>73363</v>
      </c>
      <c r="AB21" s="56">
        <v>73355</v>
      </c>
      <c r="AC21" s="56">
        <v>73346</v>
      </c>
      <c r="AD21" s="56">
        <f t="shared" ref="AD21:AD27" si="0">AVERAGE(F21:AC21)</f>
        <v>73529.958333333328</v>
      </c>
    </row>
    <row r="22" spans="1:30">
      <c r="A22" s="56" t="s">
        <v>8</v>
      </c>
      <c r="B22" s="56" t="s">
        <v>726</v>
      </c>
      <c r="C22" s="56" t="s">
        <v>710</v>
      </c>
      <c r="D22" s="56" t="s">
        <v>674</v>
      </c>
      <c r="E22" s="56" t="s">
        <v>675</v>
      </c>
      <c r="F22" s="56">
        <v>67676</v>
      </c>
      <c r="G22" s="56">
        <v>69893</v>
      </c>
      <c r="H22" s="56">
        <v>71653</v>
      </c>
      <c r="I22" s="56">
        <v>69091</v>
      </c>
      <c r="J22" s="56">
        <v>68478</v>
      </c>
      <c r="K22" s="56">
        <v>69524</v>
      </c>
      <c r="L22" s="56">
        <v>69263</v>
      </c>
      <c r="M22" s="56">
        <v>69893</v>
      </c>
      <c r="N22" s="56">
        <v>77605</v>
      </c>
      <c r="O22" s="56">
        <v>69494</v>
      </c>
      <c r="P22" s="56">
        <v>68234</v>
      </c>
      <c r="Q22" s="56">
        <v>61638</v>
      </c>
      <c r="R22" s="56">
        <v>67857</v>
      </c>
      <c r="S22" s="56">
        <v>62500</v>
      </c>
      <c r="T22" s="56">
        <v>66366</v>
      </c>
      <c r="U22" s="56">
        <v>67008</v>
      </c>
      <c r="V22" s="56">
        <v>67000</v>
      </c>
      <c r="W22" s="56">
        <v>67038</v>
      </c>
      <c r="X22" s="56">
        <v>67077</v>
      </c>
      <c r="Y22" s="56">
        <v>67194</v>
      </c>
      <c r="Z22" s="56">
        <v>66945</v>
      </c>
      <c r="AA22" s="56">
        <v>66756</v>
      </c>
      <c r="AB22" s="56">
        <v>66646</v>
      </c>
      <c r="AC22" s="56">
        <v>66537</v>
      </c>
      <c r="AD22" s="56">
        <f t="shared" si="0"/>
        <v>67973.583333333328</v>
      </c>
    </row>
    <row r="23" spans="1:30">
      <c r="A23" s="56" t="s">
        <v>8</v>
      </c>
      <c r="B23" s="56" t="s">
        <v>762</v>
      </c>
      <c r="C23" s="56" t="s">
        <v>710</v>
      </c>
      <c r="D23" s="56" t="s">
        <v>674</v>
      </c>
      <c r="E23" s="56" t="s">
        <v>675</v>
      </c>
      <c r="F23" s="56">
        <v>2389</v>
      </c>
      <c r="G23" s="56">
        <v>2359</v>
      </c>
      <c r="H23" s="56">
        <v>2329</v>
      </c>
      <c r="I23" s="56">
        <v>2298</v>
      </c>
      <c r="J23" s="56">
        <v>2268</v>
      </c>
      <c r="K23" s="56">
        <v>2327</v>
      </c>
      <c r="L23" s="56">
        <v>2292</v>
      </c>
      <c r="M23" s="56">
        <v>2308</v>
      </c>
      <c r="N23" s="56">
        <v>2281</v>
      </c>
      <c r="O23" s="56">
        <v>2260</v>
      </c>
      <c r="P23" s="56">
        <v>2231</v>
      </c>
      <c r="Q23" s="56">
        <v>2194</v>
      </c>
      <c r="R23" s="56">
        <v>2420</v>
      </c>
      <c r="S23" s="56">
        <v>2057</v>
      </c>
      <c r="T23" s="56">
        <v>1959</v>
      </c>
      <c r="U23" s="56">
        <v>1857</v>
      </c>
      <c r="V23" s="56">
        <v>1756</v>
      </c>
      <c r="W23" s="56">
        <v>1455</v>
      </c>
      <c r="X23" s="56">
        <v>1473</v>
      </c>
      <c r="Y23" s="56">
        <v>1596</v>
      </c>
      <c r="Z23" s="56">
        <v>1611</v>
      </c>
      <c r="AA23" s="56">
        <v>1541</v>
      </c>
      <c r="AB23" s="56">
        <v>1492</v>
      </c>
      <c r="AC23" s="56">
        <v>1443</v>
      </c>
      <c r="AD23" s="56">
        <f t="shared" si="0"/>
        <v>2008.1666666666667</v>
      </c>
    </row>
    <row r="24" spans="1:30">
      <c r="A24" s="56" t="s">
        <v>8</v>
      </c>
      <c r="B24" s="56" t="s">
        <v>731</v>
      </c>
      <c r="C24" s="56" t="s">
        <v>710</v>
      </c>
      <c r="D24" s="56" t="s">
        <v>674</v>
      </c>
      <c r="E24" s="56" t="s">
        <v>675</v>
      </c>
      <c r="F24" s="56">
        <v>70000</v>
      </c>
      <c r="G24" s="56">
        <v>91573</v>
      </c>
      <c r="H24" s="56">
        <v>85714</v>
      </c>
      <c r="I24" s="56">
        <v>75693</v>
      </c>
      <c r="J24" s="56">
        <v>74742</v>
      </c>
      <c r="K24" s="56">
        <v>75902</v>
      </c>
      <c r="L24" s="56">
        <v>79386</v>
      </c>
      <c r="M24" s="56">
        <v>76454</v>
      </c>
      <c r="N24" s="56">
        <v>82125</v>
      </c>
      <c r="O24" s="56">
        <v>60875</v>
      </c>
      <c r="P24" s="56">
        <v>88750</v>
      </c>
      <c r="Q24" s="56">
        <v>64548</v>
      </c>
      <c r="R24" s="56">
        <v>66667</v>
      </c>
      <c r="S24" s="56">
        <v>73052</v>
      </c>
      <c r="T24" s="56">
        <v>73898</v>
      </c>
      <c r="U24" s="56">
        <v>73043</v>
      </c>
      <c r="V24" s="56">
        <v>72877</v>
      </c>
      <c r="W24" s="56">
        <v>72711</v>
      </c>
      <c r="X24" s="56">
        <v>72545</v>
      </c>
      <c r="Y24" s="56">
        <v>74179</v>
      </c>
      <c r="Z24" s="56">
        <v>74157</v>
      </c>
      <c r="AA24" s="56">
        <v>73481</v>
      </c>
      <c r="AB24" s="56">
        <v>73403</v>
      </c>
      <c r="AC24" s="56">
        <v>73326</v>
      </c>
      <c r="AD24" s="56">
        <f t="shared" si="0"/>
        <v>74962.541666666672</v>
      </c>
    </row>
    <row r="25" spans="1:30">
      <c r="A25" s="56" t="s">
        <v>8</v>
      </c>
      <c r="B25" s="56" t="s">
        <v>763</v>
      </c>
      <c r="C25" s="56" t="s">
        <v>710</v>
      </c>
      <c r="D25" s="56" t="s">
        <v>674</v>
      </c>
      <c r="E25" s="56" t="s">
        <v>675</v>
      </c>
      <c r="F25" s="56">
        <v>8957</v>
      </c>
      <c r="G25" s="56">
        <v>7633</v>
      </c>
      <c r="H25" s="56">
        <v>7399</v>
      </c>
      <c r="I25" s="56">
        <v>2572</v>
      </c>
      <c r="J25" s="56">
        <v>6917</v>
      </c>
      <c r="K25" s="56">
        <v>9167</v>
      </c>
      <c r="L25" s="56">
        <v>10869</v>
      </c>
      <c r="M25" s="56">
        <v>11057</v>
      </c>
      <c r="N25" s="56">
        <v>11907</v>
      </c>
      <c r="O25" s="56">
        <v>9107</v>
      </c>
      <c r="P25" s="56">
        <v>11770</v>
      </c>
      <c r="Q25" s="56">
        <v>11887</v>
      </c>
      <c r="R25" s="56">
        <v>10459</v>
      </c>
      <c r="S25" s="56">
        <v>11936</v>
      </c>
      <c r="T25" s="56">
        <v>9713</v>
      </c>
      <c r="U25" s="56">
        <v>9441</v>
      </c>
      <c r="V25" s="56">
        <v>9521</v>
      </c>
      <c r="W25" s="56">
        <v>9571</v>
      </c>
      <c r="X25" s="56">
        <v>8933</v>
      </c>
      <c r="Y25" s="56">
        <v>10602</v>
      </c>
      <c r="Z25" s="56">
        <v>10133</v>
      </c>
      <c r="AA25" s="56">
        <v>12000</v>
      </c>
      <c r="AB25" s="56">
        <v>11579</v>
      </c>
      <c r="AC25" s="56">
        <v>11153</v>
      </c>
      <c r="AD25" s="56">
        <f t="shared" si="0"/>
        <v>9761.7916666666661</v>
      </c>
    </row>
    <row r="26" spans="1:30">
      <c r="A26" s="56" t="s">
        <v>8</v>
      </c>
      <c r="B26" s="56" t="s">
        <v>764</v>
      </c>
      <c r="C26" s="56" t="s">
        <v>710</v>
      </c>
      <c r="D26" s="56" t="s">
        <v>674</v>
      </c>
      <c r="E26" s="56" t="s">
        <v>675</v>
      </c>
      <c r="F26" s="56">
        <v>3625</v>
      </c>
      <c r="G26" s="56">
        <v>4040</v>
      </c>
      <c r="H26" s="56">
        <v>4515</v>
      </c>
      <c r="I26" s="56">
        <v>4252</v>
      </c>
      <c r="J26" s="56">
        <v>5439</v>
      </c>
      <c r="K26" s="56">
        <v>4087</v>
      </c>
      <c r="L26" s="56">
        <v>4575</v>
      </c>
      <c r="M26" s="56">
        <v>3385</v>
      </c>
      <c r="N26" s="56">
        <v>7206</v>
      </c>
      <c r="O26" s="56">
        <v>5560</v>
      </c>
      <c r="P26" s="56">
        <v>6074</v>
      </c>
      <c r="Q26" s="56">
        <v>5516</v>
      </c>
      <c r="R26" s="56">
        <v>3012</v>
      </c>
      <c r="S26" s="56">
        <v>4250</v>
      </c>
      <c r="T26" s="56">
        <v>3957</v>
      </c>
      <c r="U26" s="56">
        <v>4157</v>
      </c>
      <c r="V26" s="56">
        <v>4406</v>
      </c>
      <c r="W26" s="56">
        <v>4674</v>
      </c>
      <c r="X26" s="56">
        <v>4969</v>
      </c>
      <c r="Y26" s="56">
        <v>4056</v>
      </c>
      <c r="Z26" s="56">
        <v>5058</v>
      </c>
      <c r="AA26" s="56">
        <v>5714</v>
      </c>
      <c r="AB26" s="56">
        <v>5909</v>
      </c>
      <c r="AC26" s="56">
        <v>5167</v>
      </c>
      <c r="AD26" s="56">
        <f t="shared" si="0"/>
        <v>4733.458333333333</v>
      </c>
    </row>
    <row r="27" spans="1:30">
      <c r="A27" s="56" t="s">
        <v>8</v>
      </c>
      <c r="B27" s="56" t="s">
        <v>740</v>
      </c>
      <c r="C27" s="56" t="s">
        <v>710</v>
      </c>
      <c r="D27" s="56" t="s">
        <v>674</v>
      </c>
      <c r="E27" s="56" t="s">
        <v>675</v>
      </c>
      <c r="F27" s="56">
        <v>46670</v>
      </c>
      <c r="G27" s="56">
        <v>56322</v>
      </c>
      <c r="H27" s="56">
        <v>41320</v>
      </c>
      <c r="I27" s="56">
        <v>41327</v>
      </c>
      <c r="J27" s="56">
        <v>41006</v>
      </c>
      <c r="K27" s="56">
        <v>42383</v>
      </c>
      <c r="L27" s="56">
        <v>56912</v>
      </c>
      <c r="M27" s="56">
        <v>22098</v>
      </c>
      <c r="N27" s="56">
        <v>46628</v>
      </c>
      <c r="O27" s="56">
        <v>36104</v>
      </c>
      <c r="P27" s="56">
        <v>40444</v>
      </c>
      <c r="Q27" s="56">
        <v>45937</v>
      </c>
      <c r="R27" s="56">
        <v>43077</v>
      </c>
      <c r="S27" s="56">
        <v>42372</v>
      </c>
      <c r="T27" s="56">
        <v>42616</v>
      </c>
      <c r="U27" s="56">
        <v>42686</v>
      </c>
      <c r="V27" s="56">
        <v>42827</v>
      </c>
      <c r="W27" s="56">
        <v>42968</v>
      </c>
      <c r="X27" s="56">
        <v>43109</v>
      </c>
      <c r="Y27" s="56">
        <v>42787</v>
      </c>
      <c r="Z27" s="56">
        <v>42817</v>
      </c>
      <c r="AA27" s="56">
        <v>42811</v>
      </c>
      <c r="AB27" s="56">
        <v>42885</v>
      </c>
      <c r="AC27" s="56">
        <v>42959</v>
      </c>
      <c r="AD27" s="56">
        <f t="shared" si="0"/>
        <v>42961.041666666664</v>
      </c>
    </row>
    <row r="28" spans="1:30">
      <c r="AD28" s="56">
        <f>AVERAGE(AD21:AD27)</f>
        <v>39418.648809523809</v>
      </c>
    </row>
    <row r="30" spans="1:30">
      <c r="A30" s="56" t="s">
        <v>559</v>
      </c>
      <c r="B30" s="56" t="s">
        <v>560</v>
      </c>
      <c r="C30" s="56" t="s">
        <v>561</v>
      </c>
      <c r="D30" s="56" t="s">
        <v>562</v>
      </c>
      <c r="E30" s="56" t="s">
        <v>563</v>
      </c>
      <c r="F30" s="56" t="s">
        <v>679</v>
      </c>
      <c r="G30" s="56" t="s">
        <v>680</v>
      </c>
      <c r="H30" s="56" t="s">
        <v>681</v>
      </c>
      <c r="I30" s="56" t="s">
        <v>682</v>
      </c>
      <c r="J30" s="56" t="s">
        <v>683</v>
      </c>
      <c r="K30" s="56" t="s">
        <v>684</v>
      </c>
      <c r="L30" s="56" t="s">
        <v>685</v>
      </c>
      <c r="M30" s="56" t="s">
        <v>686</v>
      </c>
      <c r="N30" s="56" t="s">
        <v>687</v>
      </c>
      <c r="O30" s="56" t="s">
        <v>688</v>
      </c>
      <c r="P30" s="56" t="s">
        <v>689</v>
      </c>
      <c r="Q30" s="56" t="s">
        <v>690</v>
      </c>
      <c r="R30" s="56" t="s">
        <v>691</v>
      </c>
      <c r="S30" s="56" t="s">
        <v>692</v>
      </c>
      <c r="T30" s="56" t="s">
        <v>693</v>
      </c>
      <c r="U30" s="56" t="s">
        <v>694</v>
      </c>
      <c r="V30" s="56" t="s">
        <v>695</v>
      </c>
      <c r="W30" s="56" t="s">
        <v>696</v>
      </c>
      <c r="X30" s="56" t="s">
        <v>697</v>
      </c>
      <c r="Y30" s="56" t="s">
        <v>698</v>
      </c>
      <c r="Z30" s="56" t="s">
        <v>699</v>
      </c>
      <c r="AA30" s="56" t="s">
        <v>700</v>
      </c>
      <c r="AB30" s="56" t="s">
        <v>701</v>
      </c>
      <c r="AC30" s="56" t="s">
        <v>702</v>
      </c>
      <c r="AD30" s="56" t="s">
        <v>703</v>
      </c>
    </row>
    <row r="31" spans="1:30">
      <c r="A31" s="56" t="s">
        <v>8</v>
      </c>
      <c r="B31" s="56" t="s">
        <v>765</v>
      </c>
      <c r="C31" s="56" t="s">
        <v>525</v>
      </c>
      <c r="D31" s="56" t="s">
        <v>674</v>
      </c>
      <c r="E31" s="56" t="s">
        <v>675</v>
      </c>
      <c r="F31" s="56">
        <v>2475</v>
      </c>
      <c r="G31" s="56">
        <v>2632</v>
      </c>
      <c r="H31" s="56">
        <v>2669</v>
      </c>
      <c r="I31" s="56">
        <v>2800</v>
      </c>
      <c r="J31" s="56">
        <v>2727</v>
      </c>
      <c r="K31" s="56">
        <v>2800</v>
      </c>
      <c r="L31" s="56">
        <v>2667</v>
      </c>
      <c r="M31" s="56">
        <v>9813</v>
      </c>
      <c r="N31" s="56">
        <v>2931</v>
      </c>
      <c r="O31" s="56">
        <v>2993</v>
      </c>
      <c r="P31" s="56">
        <v>3052</v>
      </c>
      <c r="Q31" s="56">
        <v>3102</v>
      </c>
      <c r="R31" s="56">
        <v>3086</v>
      </c>
      <c r="S31" s="56">
        <v>3117</v>
      </c>
      <c r="T31" s="56">
        <v>3374</v>
      </c>
      <c r="U31" s="56">
        <v>3659</v>
      </c>
      <c r="V31" s="56">
        <v>3939</v>
      </c>
      <c r="W31" s="56">
        <v>3912</v>
      </c>
      <c r="X31" s="56">
        <v>3759</v>
      </c>
      <c r="Y31" s="56">
        <v>3779</v>
      </c>
      <c r="Z31" s="56">
        <v>3900</v>
      </c>
      <c r="AA31" s="56">
        <v>3972</v>
      </c>
      <c r="AB31" s="56">
        <v>4048</v>
      </c>
      <c r="AC31" s="56">
        <v>4110</v>
      </c>
      <c r="AD31" s="56">
        <f>AVERAGE(F31:AC31)</f>
        <v>3554.8333333333335</v>
      </c>
    </row>
    <row r="32" spans="1:30">
      <c r="A32" s="56" t="s">
        <v>8</v>
      </c>
      <c r="B32" s="56" t="s">
        <v>766</v>
      </c>
      <c r="C32" s="56" t="s">
        <v>525</v>
      </c>
      <c r="D32" s="56" t="s">
        <v>674</v>
      </c>
      <c r="E32" s="56" t="s">
        <v>675</v>
      </c>
      <c r="F32" s="56">
        <v>4299</v>
      </c>
      <c r="G32" s="56">
        <v>2327</v>
      </c>
      <c r="H32" s="56">
        <v>3765</v>
      </c>
      <c r="I32" s="56">
        <v>3293</v>
      </c>
      <c r="J32" s="56">
        <v>4000</v>
      </c>
      <c r="K32" s="56">
        <v>3229</v>
      </c>
      <c r="L32" s="56">
        <v>3498</v>
      </c>
      <c r="M32" s="56">
        <v>46966</v>
      </c>
      <c r="N32" s="56">
        <v>2385</v>
      </c>
      <c r="O32" s="56">
        <v>14637</v>
      </c>
      <c r="P32" s="56">
        <v>4185</v>
      </c>
      <c r="Q32" s="56">
        <v>7736</v>
      </c>
      <c r="R32" s="56">
        <v>3543</v>
      </c>
      <c r="S32" s="56">
        <v>4646</v>
      </c>
      <c r="T32" s="56">
        <v>4014</v>
      </c>
      <c r="U32" s="56">
        <v>3811</v>
      </c>
      <c r="V32" s="56">
        <v>2974</v>
      </c>
      <c r="W32" s="56">
        <v>4258</v>
      </c>
      <c r="X32" s="56">
        <v>3305</v>
      </c>
      <c r="Y32" s="56">
        <v>4185</v>
      </c>
      <c r="Z32" s="56">
        <v>3697</v>
      </c>
      <c r="AA32" s="56">
        <v>3684</v>
      </c>
      <c r="AB32" s="56">
        <v>3732</v>
      </c>
      <c r="AC32" s="56">
        <v>3767</v>
      </c>
      <c r="AD32" s="56">
        <f>AVERAGE(F32:AC32)</f>
        <v>6080.666666666667</v>
      </c>
    </row>
    <row r="33" spans="1:30">
      <c r="A33" s="56" t="s">
        <v>8</v>
      </c>
      <c r="B33" s="56" t="s">
        <v>745</v>
      </c>
      <c r="C33" s="56" t="s">
        <v>525</v>
      </c>
      <c r="D33" s="56" t="s">
        <v>674</v>
      </c>
      <c r="E33" s="56" t="s">
        <v>675</v>
      </c>
      <c r="F33" s="56">
        <v>9397</v>
      </c>
      <c r="G33" s="56">
        <v>7027</v>
      </c>
      <c r="H33" s="56">
        <v>19913</v>
      </c>
      <c r="I33" s="56">
        <v>10425</v>
      </c>
      <c r="J33" s="56">
        <v>11062</v>
      </c>
      <c r="K33" s="56">
        <v>9691</v>
      </c>
      <c r="L33" s="56">
        <v>9640</v>
      </c>
      <c r="M33" s="56">
        <v>3204</v>
      </c>
      <c r="N33" s="56">
        <v>8397</v>
      </c>
      <c r="O33" s="56">
        <v>8064</v>
      </c>
      <c r="P33" s="56">
        <v>9107</v>
      </c>
      <c r="Q33" s="56">
        <v>7749</v>
      </c>
      <c r="R33" s="56">
        <v>5455</v>
      </c>
      <c r="S33" s="56">
        <v>8738</v>
      </c>
      <c r="T33" s="56">
        <v>9750</v>
      </c>
      <c r="U33" s="56">
        <v>10764</v>
      </c>
      <c r="V33" s="56">
        <v>9093</v>
      </c>
      <c r="W33" s="56">
        <v>9769</v>
      </c>
      <c r="X33" s="56">
        <v>7390</v>
      </c>
      <c r="Y33" s="56">
        <v>7618</v>
      </c>
      <c r="Z33" s="56">
        <v>9249</v>
      </c>
      <c r="AA33" s="56">
        <v>8170</v>
      </c>
      <c r="AB33" s="56">
        <v>9734</v>
      </c>
      <c r="AC33" s="56">
        <v>8786</v>
      </c>
      <c r="AD33" s="56">
        <f>AVERAGE(F33:AC33)</f>
        <v>9091.3333333333339</v>
      </c>
    </row>
    <row r="34" spans="1:30">
      <c r="A34" s="56" t="s">
        <v>8</v>
      </c>
      <c r="B34" s="56" t="s">
        <v>751</v>
      </c>
      <c r="C34" s="56" t="s">
        <v>525</v>
      </c>
      <c r="D34" s="56" t="s">
        <v>674</v>
      </c>
      <c r="E34" s="56" t="s">
        <v>675</v>
      </c>
      <c r="F34" s="56">
        <v>3708</v>
      </c>
      <c r="G34" s="56">
        <v>4105</v>
      </c>
      <c r="H34" s="56">
        <v>3605</v>
      </c>
      <c r="I34" s="56">
        <v>3438</v>
      </c>
      <c r="J34" s="56">
        <v>3037</v>
      </c>
      <c r="K34" s="56">
        <v>3461</v>
      </c>
      <c r="L34" s="56">
        <v>3749</v>
      </c>
      <c r="M34" s="56">
        <v>3827</v>
      </c>
      <c r="N34" s="56">
        <v>3892</v>
      </c>
      <c r="O34" s="56">
        <v>3933</v>
      </c>
      <c r="P34" s="56">
        <v>3997</v>
      </c>
      <c r="Q34" s="56">
        <v>4058</v>
      </c>
      <c r="R34" s="56">
        <v>4153</v>
      </c>
      <c r="S34" s="56">
        <v>4212</v>
      </c>
      <c r="T34" s="56">
        <v>4570</v>
      </c>
      <c r="U34" s="56">
        <v>4947</v>
      </c>
      <c r="V34" s="56">
        <v>5263</v>
      </c>
      <c r="W34" s="56">
        <v>5205</v>
      </c>
      <c r="X34" s="56">
        <v>4936</v>
      </c>
      <c r="Y34" s="56">
        <v>4883</v>
      </c>
      <c r="Z34" s="56">
        <v>5182</v>
      </c>
      <c r="AA34" s="56">
        <v>4973</v>
      </c>
      <c r="AB34" s="56">
        <v>5270</v>
      </c>
      <c r="AC34" s="56">
        <v>5350</v>
      </c>
      <c r="AD34" s="56">
        <f>AVERAGE(F34:AC34)</f>
        <v>4323.083333333333</v>
      </c>
    </row>
    <row r="35" spans="1:30">
      <c r="AD35" s="56">
        <f>AVERAGE(AD31:AD34)</f>
        <v>5762.479166666667</v>
      </c>
    </row>
    <row r="38" spans="1:30">
      <c r="A38" s="56" t="s">
        <v>559</v>
      </c>
      <c r="B38" s="56" t="s">
        <v>560</v>
      </c>
      <c r="C38" s="56" t="s">
        <v>561</v>
      </c>
      <c r="D38" s="56" t="s">
        <v>562</v>
      </c>
      <c r="E38" s="56" t="s">
        <v>563</v>
      </c>
      <c r="F38" s="56" t="s">
        <v>679</v>
      </c>
      <c r="G38" s="56" t="s">
        <v>680</v>
      </c>
      <c r="H38" s="56" t="s">
        <v>681</v>
      </c>
      <c r="I38" s="56" t="s">
        <v>682</v>
      </c>
      <c r="J38" s="56" t="s">
        <v>683</v>
      </c>
      <c r="K38" s="56" t="s">
        <v>684</v>
      </c>
      <c r="L38" s="56" t="s">
        <v>685</v>
      </c>
      <c r="M38" s="56" t="s">
        <v>686</v>
      </c>
      <c r="N38" s="56" t="s">
        <v>687</v>
      </c>
      <c r="O38" s="56" t="s">
        <v>688</v>
      </c>
      <c r="P38" s="56" t="s">
        <v>689</v>
      </c>
      <c r="Q38" s="56" t="s">
        <v>690</v>
      </c>
      <c r="R38" s="56" t="s">
        <v>691</v>
      </c>
      <c r="S38" s="56" t="s">
        <v>692</v>
      </c>
      <c r="T38" s="56" t="s">
        <v>693</v>
      </c>
      <c r="U38" s="56" t="s">
        <v>694</v>
      </c>
      <c r="V38" s="56" t="s">
        <v>695</v>
      </c>
      <c r="W38" s="56" t="s">
        <v>696</v>
      </c>
      <c r="X38" s="56" t="s">
        <v>697</v>
      </c>
      <c r="Y38" s="56" t="s">
        <v>698</v>
      </c>
      <c r="Z38" s="56" t="s">
        <v>699</v>
      </c>
      <c r="AA38" s="56" t="s">
        <v>700</v>
      </c>
      <c r="AB38" s="56" t="s">
        <v>701</v>
      </c>
      <c r="AC38" s="56" t="s">
        <v>702</v>
      </c>
      <c r="AD38" s="56" t="s">
        <v>703</v>
      </c>
    </row>
    <row r="39" spans="1:30">
      <c r="A39" s="56" t="s">
        <v>8</v>
      </c>
      <c r="B39" s="56" t="s">
        <v>767</v>
      </c>
      <c r="C39" s="56" t="s">
        <v>524</v>
      </c>
      <c r="D39" s="56" t="s">
        <v>674</v>
      </c>
      <c r="E39" s="56" t="s">
        <v>675</v>
      </c>
      <c r="F39" s="56">
        <v>31801</v>
      </c>
      <c r="G39" s="56">
        <v>26397</v>
      </c>
      <c r="H39" s="56">
        <v>23356</v>
      </c>
      <c r="I39" s="56">
        <v>49527</v>
      </c>
      <c r="J39" s="56">
        <v>51000</v>
      </c>
      <c r="K39" s="56">
        <v>48883</v>
      </c>
      <c r="L39" s="56">
        <v>49613</v>
      </c>
      <c r="M39" s="56">
        <v>49963</v>
      </c>
      <c r="N39" s="56">
        <v>50393</v>
      </c>
      <c r="O39" s="56">
        <v>67374</v>
      </c>
      <c r="P39" s="56">
        <v>108083</v>
      </c>
      <c r="Q39" s="56">
        <v>61673</v>
      </c>
      <c r="R39" s="56">
        <v>50338</v>
      </c>
      <c r="S39" s="56">
        <v>81345</v>
      </c>
      <c r="T39" s="56">
        <v>81909</v>
      </c>
      <c r="U39" s="56">
        <v>71902</v>
      </c>
      <c r="V39" s="56">
        <v>74922</v>
      </c>
      <c r="W39" s="56">
        <v>80283</v>
      </c>
      <c r="X39" s="56">
        <v>69978</v>
      </c>
      <c r="Y39" s="56">
        <v>81945</v>
      </c>
      <c r="Z39" s="56">
        <v>50128</v>
      </c>
      <c r="AA39" s="56">
        <v>76442</v>
      </c>
      <c r="AB39" s="56">
        <v>97666</v>
      </c>
      <c r="AC39" s="56">
        <v>95930</v>
      </c>
      <c r="AD39" s="56">
        <f>AVERAGE(F39:AC39)</f>
        <v>63785.458333333336</v>
      </c>
    </row>
    <row r="40" spans="1:30">
      <c r="A40" s="56" t="s">
        <v>8</v>
      </c>
      <c r="B40" s="56" t="s">
        <v>752</v>
      </c>
      <c r="C40" s="56" t="s">
        <v>524</v>
      </c>
      <c r="D40" s="56" t="s">
        <v>674</v>
      </c>
      <c r="E40" s="56" t="s">
        <v>675</v>
      </c>
      <c r="F40" s="56">
        <v>213833</v>
      </c>
      <c r="G40" s="56">
        <v>200000</v>
      </c>
      <c r="H40" s="56">
        <v>187500</v>
      </c>
      <c r="I40" s="56">
        <v>162731</v>
      </c>
      <c r="J40" s="56">
        <v>157460</v>
      </c>
      <c r="K40" s="56">
        <v>111628</v>
      </c>
      <c r="L40" s="56">
        <v>157460</v>
      </c>
      <c r="M40" s="56">
        <v>258305</v>
      </c>
      <c r="N40" s="56">
        <v>129218</v>
      </c>
      <c r="O40" s="56">
        <v>149835</v>
      </c>
      <c r="P40" s="56">
        <v>136536</v>
      </c>
      <c r="Q40" s="56">
        <v>200382</v>
      </c>
      <c r="R40" s="56">
        <v>200000</v>
      </c>
      <c r="S40" s="56">
        <v>113000</v>
      </c>
      <c r="T40" s="56">
        <v>200000</v>
      </c>
      <c r="U40" s="56">
        <v>200000</v>
      </c>
      <c r="V40" s="56">
        <v>215517</v>
      </c>
      <c r="W40" s="56">
        <v>267857</v>
      </c>
      <c r="X40" s="56">
        <v>223395</v>
      </c>
      <c r="Y40" s="56">
        <v>210059</v>
      </c>
      <c r="Z40" s="56">
        <v>220443</v>
      </c>
      <c r="AA40" s="56">
        <v>228625</v>
      </c>
      <c r="AB40" s="56">
        <v>232754</v>
      </c>
      <c r="AC40" s="56">
        <v>236882</v>
      </c>
      <c r="AD40" s="56">
        <f>AVERAGE(F40:AC40)</f>
        <v>192225.83333333334</v>
      </c>
    </row>
    <row r="41" spans="1:30">
      <c r="A41" s="56" t="s">
        <v>8</v>
      </c>
      <c r="B41" s="56" t="s">
        <v>754</v>
      </c>
      <c r="C41" s="56" t="s">
        <v>524</v>
      </c>
      <c r="D41" s="56" t="s">
        <v>674</v>
      </c>
      <c r="E41" s="56" t="s">
        <v>675</v>
      </c>
      <c r="F41" s="56">
        <v>69468</v>
      </c>
      <c r="G41" s="56">
        <v>56359</v>
      </c>
      <c r="H41" s="56">
        <v>41773</v>
      </c>
      <c r="I41" s="56">
        <v>73174</v>
      </c>
      <c r="J41" s="56">
        <v>87476</v>
      </c>
      <c r="K41" s="56">
        <v>100092</v>
      </c>
      <c r="L41" s="56">
        <v>107470</v>
      </c>
      <c r="M41" s="56">
        <v>107470</v>
      </c>
      <c r="N41" s="56">
        <v>253494</v>
      </c>
      <c r="O41" s="56">
        <v>250094</v>
      </c>
      <c r="P41" s="56">
        <v>250081</v>
      </c>
      <c r="Q41" s="56">
        <v>250252</v>
      </c>
      <c r="R41" s="56">
        <v>253333</v>
      </c>
      <c r="S41" s="56">
        <v>250000</v>
      </c>
      <c r="T41" s="56">
        <v>400000</v>
      </c>
      <c r="U41" s="56">
        <v>333333</v>
      </c>
      <c r="V41" s="56">
        <v>263979</v>
      </c>
      <c r="W41" s="56">
        <v>287275</v>
      </c>
      <c r="X41" s="56">
        <v>349824</v>
      </c>
      <c r="Y41" s="56">
        <v>380568</v>
      </c>
      <c r="Z41" s="56">
        <v>383690</v>
      </c>
      <c r="AA41" s="56">
        <v>381269</v>
      </c>
      <c r="AB41" s="56">
        <v>392669</v>
      </c>
      <c r="AC41" s="56">
        <v>404068</v>
      </c>
      <c r="AD41" s="56">
        <f>AVERAGE(F41:AC41)</f>
        <v>238633.79166666666</v>
      </c>
    </row>
    <row r="42" spans="1:30">
      <c r="AD42" s="56">
        <f>AVERAGE(AD39:AD41)</f>
        <v>164881.69444444447</v>
      </c>
    </row>
  </sheetData>
  <pageMargins left="0.7" right="0.7" top="0.75" bottom="0.75" header="0.3" footer="0.3"/>
  <pageSetup orientation="portrait" r:id="rId1"/>
  <tableParts count="5">
    <tablePart r:id="rId2"/>
    <tablePart r:id="rId3"/>
    <tablePart r:id="rId4"/>
    <tablePart r:id="rId5"/>
    <tablePart r:id="rId6"/>
  </tablePart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5720A3-6E6E-492A-8E0F-8925C1CE5172}">
  <sheetPr codeName="Sheet13"/>
  <dimension ref="A1:AI51"/>
  <sheetViews>
    <sheetView workbookViewId="0">
      <selection activeCell="K36" sqref="K36"/>
    </sheetView>
  </sheetViews>
  <sheetFormatPr defaultColWidth="8.7109375" defaultRowHeight="14.45"/>
  <cols>
    <col min="1" max="2" width="10.28515625" style="56" customWidth="1"/>
    <col min="3" max="3" width="17.42578125" style="56" customWidth="1"/>
    <col min="4" max="9" width="10.28515625" style="56" customWidth="1"/>
    <col min="10" max="35" width="11.28515625" style="56" customWidth="1"/>
    <col min="36" max="16384" width="8.7109375" style="56"/>
  </cols>
  <sheetData>
    <row r="1" spans="1:35">
      <c r="A1" s="56" t="s">
        <v>643</v>
      </c>
      <c r="B1" s="56" t="s">
        <v>644</v>
      </c>
      <c r="C1" s="56" t="s">
        <v>645</v>
      </c>
      <c r="D1" s="56" t="s">
        <v>646</v>
      </c>
      <c r="E1" s="56" t="s">
        <v>364</v>
      </c>
      <c r="F1" s="56" t="s">
        <v>768</v>
      </c>
      <c r="G1" s="56" t="s">
        <v>769</v>
      </c>
      <c r="H1" s="56" t="s">
        <v>770</v>
      </c>
      <c r="I1" s="56" t="s">
        <v>771</v>
      </c>
      <c r="J1" s="56" t="s">
        <v>772</v>
      </c>
      <c r="K1" s="56" t="s">
        <v>647</v>
      </c>
      <c r="L1" s="56" t="s">
        <v>648</v>
      </c>
      <c r="M1" s="56" t="s">
        <v>649</v>
      </c>
      <c r="N1" s="56" t="s">
        <v>650</v>
      </c>
      <c r="O1" s="56" t="s">
        <v>651</v>
      </c>
      <c r="P1" s="56" t="s">
        <v>652</v>
      </c>
      <c r="Q1" s="56" t="s">
        <v>653</v>
      </c>
      <c r="R1" s="56" t="s">
        <v>654</v>
      </c>
      <c r="S1" s="56" t="s">
        <v>655</v>
      </c>
      <c r="T1" s="56" t="s">
        <v>656</v>
      </c>
      <c r="U1" s="56" t="s">
        <v>657</v>
      </c>
      <c r="V1" s="56" t="s">
        <v>658</v>
      </c>
      <c r="W1" s="56" t="s">
        <v>659</v>
      </c>
      <c r="X1" s="56" t="s">
        <v>660</v>
      </c>
      <c r="Y1" s="56" t="s">
        <v>661</v>
      </c>
      <c r="Z1" s="56" t="s">
        <v>662</v>
      </c>
      <c r="AA1" s="56" t="s">
        <v>663</v>
      </c>
      <c r="AB1" s="56" t="s">
        <v>664</v>
      </c>
      <c r="AC1" s="56" t="s">
        <v>665</v>
      </c>
      <c r="AD1" s="56" t="s">
        <v>666</v>
      </c>
      <c r="AE1" s="56" t="s">
        <v>667</v>
      </c>
      <c r="AF1" s="56" t="s">
        <v>668</v>
      </c>
      <c r="AG1" s="56" t="s">
        <v>669</v>
      </c>
      <c r="AH1" s="56" t="s">
        <v>670</v>
      </c>
      <c r="AI1" s="56" t="s">
        <v>559</v>
      </c>
    </row>
    <row r="2" spans="1:35">
      <c r="A2" s="56" t="s">
        <v>6</v>
      </c>
      <c r="B2" s="56" t="s">
        <v>773</v>
      </c>
      <c r="C2" s="56" t="s">
        <v>673</v>
      </c>
      <c r="D2" s="56" t="s">
        <v>674</v>
      </c>
      <c r="E2" s="56" t="s">
        <v>675</v>
      </c>
      <c r="F2" s="56">
        <v>2004</v>
      </c>
      <c r="G2" s="56">
        <v>1464</v>
      </c>
      <c r="H2" s="56">
        <v>2000</v>
      </c>
      <c r="I2" s="56">
        <v>2250</v>
      </c>
      <c r="J2" s="56">
        <v>2619</v>
      </c>
      <c r="K2" s="56">
        <v>2804</v>
      </c>
      <c r="L2" s="56">
        <v>3061</v>
      </c>
      <c r="M2" s="56">
        <v>3867</v>
      </c>
      <c r="N2" s="56">
        <v>4357</v>
      </c>
      <c r="O2" s="56">
        <v>3271</v>
      </c>
      <c r="P2" s="56">
        <v>3936</v>
      </c>
      <c r="Q2" s="56">
        <v>4252</v>
      </c>
      <c r="R2" s="56">
        <v>4167</v>
      </c>
      <c r="S2" s="56">
        <v>2684</v>
      </c>
      <c r="T2" s="56">
        <v>6200</v>
      </c>
      <c r="U2" s="56">
        <v>6625</v>
      </c>
      <c r="V2" s="56">
        <v>7019</v>
      </c>
      <c r="W2" s="56">
        <v>6852</v>
      </c>
      <c r="X2" s="56">
        <v>7603</v>
      </c>
      <c r="Y2" s="56">
        <v>7600</v>
      </c>
      <c r="Z2" s="56">
        <v>7782</v>
      </c>
      <c r="AA2" s="56">
        <v>7974</v>
      </c>
      <c r="AB2" s="56">
        <v>8195</v>
      </c>
      <c r="AC2" s="56">
        <v>8462</v>
      </c>
      <c r="AD2" s="56">
        <v>8789</v>
      </c>
      <c r="AE2" s="56">
        <v>9040</v>
      </c>
      <c r="AF2" s="56">
        <v>9091</v>
      </c>
      <c r="AG2" s="56">
        <v>9319</v>
      </c>
      <c r="AH2" s="56">
        <v>9547</v>
      </c>
      <c r="AI2" s="56">
        <f>AVERAGE(F2:AH2)</f>
        <v>5614.9655172413795</v>
      </c>
    </row>
    <row r="3" spans="1:35">
      <c r="A3" s="56" t="s">
        <v>6</v>
      </c>
      <c r="B3" s="56" t="s">
        <v>756</v>
      </c>
      <c r="C3" s="56" t="s">
        <v>673</v>
      </c>
      <c r="D3" s="56" t="s">
        <v>674</v>
      </c>
      <c r="E3" s="56" t="s">
        <v>675</v>
      </c>
      <c r="F3" s="56">
        <v>42196</v>
      </c>
      <c r="G3" s="56">
        <v>33719</v>
      </c>
      <c r="H3" s="56">
        <v>33793</v>
      </c>
      <c r="I3" s="56">
        <v>33866</v>
      </c>
      <c r="J3" s="56">
        <v>33940</v>
      </c>
      <c r="K3" s="56">
        <v>34014</v>
      </c>
      <c r="L3" s="56">
        <v>34087</v>
      </c>
      <c r="M3" s="56">
        <v>34161</v>
      </c>
      <c r="N3" s="56">
        <v>34235</v>
      </c>
      <c r="O3" s="56">
        <v>34308</v>
      </c>
      <c r="P3" s="56">
        <v>34382</v>
      </c>
      <c r="Q3" s="56">
        <v>34831</v>
      </c>
      <c r="R3" s="56">
        <v>34844</v>
      </c>
      <c r="S3" s="56">
        <v>34524</v>
      </c>
      <c r="T3" s="56">
        <v>34857</v>
      </c>
      <c r="U3" s="56">
        <v>34869</v>
      </c>
      <c r="V3" s="56">
        <v>34865</v>
      </c>
      <c r="W3" s="56">
        <v>34884</v>
      </c>
      <c r="X3" s="56">
        <v>35352</v>
      </c>
      <c r="Y3" s="56">
        <v>36629</v>
      </c>
      <c r="Z3" s="56">
        <v>38472</v>
      </c>
      <c r="AA3" s="56">
        <v>33973</v>
      </c>
      <c r="AB3" s="56">
        <v>29467</v>
      </c>
      <c r="AC3" s="56">
        <v>28956</v>
      </c>
      <c r="AD3" s="56">
        <v>29018</v>
      </c>
      <c r="AE3" s="56">
        <v>32503</v>
      </c>
      <c r="AF3" s="56">
        <v>32074</v>
      </c>
      <c r="AG3" s="56">
        <v>31867</v>
      </c>
      <c r="AH3" s="56">
        <v>31661</v>
      </c>
      <c r="AI3" s="56">
        <f t="shared" ref="AI3:AI10" si="0">AVERAGE(F3:AH3)</f>
        <v>34011.965517241377</v>
      </c>
    </row>
    <row r="4" spans="1:35">
      <c r="A4" s="56" t="s">
        <v>6</v>
      </c>
      <c r="B4" s="56" t="s">
        <v>672</v>
      </c>
      <c r="C4" s="56" t="s">
        <v>673</v>
      </c>
      <c r="D4" s="56" t="s">
        <v>674</v>
      </c>
      <c r="E4" s="56" t="s">
        <v>675</v>
      </c>
      <c r="F4" s="56">
        <v>6095</v>
      </c>
      <c r="G4" s="56">
        <v>6553</v>
      </c>
      <c r="H4" s="56">
        <v>1575</v>
      </c>
      <c r="I4" s="56">
        <v>3075</v>
      </c>
      <c r="J4" s="56">
        <v>2356</v>
      </c>
      <c r="K4" s="56">
        <v>2506</v>
      </c>
      <c r="L4" s="56">
        <v>3089</v>
      </c>
      <c r="M4" s="56">
        <v>3053</v>
      </c>
      <c r="N4" s="56">
        <v>3058</v>
      </c>
      <c r="O4" s="56">
        <v>3106</v>
      </c>
      <c r="P4" s="56">
        <v>3108</v>
      </c>
      <c r="Q4" s="56">
        <v>3073</v>
      </c>
      <c r="R4" s="56">
        <v>3038</v>
      </c>
      <c r="S4" s="56">
        <v>2750</v>
      </c>
      <c r="T4" s="56">
        <v>3100</v>
      </c>
      <c r="U4" s="56">
        <v>2571</v>
      </c>
      <c r="V4" s="56">
        <v>2618</v>
      </c>
      <c r="W4" s="56">
        <v>2768</v>
      </c>
      <c r="X4" s="56">
        <v>3099</v>
      </c>
      <c r="Y4" s="56">
        <v>3900</v>
      </c>
      <c r="Z4" s="56">
        <v>3369</v>
      </c>
      <c r="AA4" s="56">
        <v>3091</v>
      </c>
      <c r="AB4" s="56">
        <v>3206</v>
      </c>
      <c r="AC4" s="56">
        <v>3221</v>
      </c>
      <c r="AD4" s="56">
        <v>3090</v>
      </c>
      <c r="AE4" s="56">
        <v>3084</v>
      </c>
      <c r="AF4" s="56">
        <v>3149</v>
      </c>
      <c r="AG4" s="56">
        <v>3161</v>
      </c>
      <c r="AH4" s="56">
        <v>3173</v>
      </c>
      <c r="AI4" s="56">
        <f t="shared" si="0"/>
        <v>3208.1034482758619</v>
      </c>
    </row>
    <row r="5" spans="1:35">
      <c r="A5" s="56" t="s">
        <v>6</v>
      </c>
      <c r="B5" s="56" t="s">
        <v>757</v>
      </c>
      <c r="C5" s="56" t="s">
        <v>673</v>
      </c>
      <c r="D5" s="56" t="s">
        <v>674</v>
      </c>
      <c r="E5" s="56" t="s">
        <v>675</v>
      </c>
      <c r="F5" s="56">
        <v>88889</v>
      </c>
      <c r="G5" s="56">
        <v>88889</v>
      </c>
      <c r="H5" s="56">
        <v>88889</v>
      </c>
      <c r="I5" s="56">
        <v>88889</v>
      </c>
      <c r="J5" s="56">
        <v>88889</v>
      </c>
      <c r="K5" s="56">
        <v>87742</v>
      </c>
      <c r="L5" s="56">
        <v>87273</v>
      </c>
      <c r="M5" s="56">
        <v>88462</v>
      </c>
      <c r="N5" s="56">
        <v>88462</v>
      </c>
      <c r="O5" s="56">
        <v>85185</v>
      </c>
      <c r="P5" s="56">
        <v>85185</v>
      </c>
      <c r="Q5" s="56">
        <v>85185</v>
      </c>
      <c r="R5" s="56">
        <v>85185</v>
      </c>
      <c r="S5" s="56">
        <v>85185</v>
      </c>
      <c r="T5" s="56">
        <v>85185</v>
      </c>
      <c r="U5" s="56">
        <v>85185</v>
      </c>
      <c r="V5" s="56">
        <v>85106</v>
      </c>
      <c r="W5" s="56">
        <v>85106</v>
      </c>
      <c r="X5" s="56">
        <v>84967</v>
      </c>
      <c r="Y5" s="56">
        <v>84923</v>
      </c>
      <c r="Z5" s="56">
        <v>84928</v>
      </c>
      <c r="AA5" s="56">
        <v>85882</v>
      </c>
      <c r="AB5" s="56">
        <v>85714</v>
      </c>
      <c r="AC5" s="56">
        <v>86471</v>
      </c>
      <c r="AD5" s="56">
        <v>86417</v>
      </c>
      <c r="AE5" s="56">
        <v>85446</v>
      </c>
      <c r="AF5" s="56">
        <v>85566</v>
      </c>
      <c r="AG5" s="56">
        <v>85549</v>
      </c>
      <c r="AH5" s="56">
        <v>85533</v>
      </c>
      <c r="AI5" s="56">
        <f t="shared" si="0"/>
        <v>86354.724137931029</v>
      </c>
    </row>
    <row r="6" spans="1:35">
      <c r="A6" s="56" t="s">
        <v>6</v>
      </c>
      <c r="B6" s="56" t="s">
        <v>763</v>
      </c>
      <c r="C6" s="56" t="s">
        <v>673</v>
      </c>
      <c r="D6" s="56" t="s">
        <v>674</v>
      </c>
      <c r="E6" s="56" t="s">
        <v>675</v>
      </c>
      <c r="F6" s="56">
        <v>12450</v>
      </c>
      <c r="G6" s="56">
        <v>11908</v>
      </c>
      <c r="H6" s="56">
        <v>12488</v>
      </c>
      <c r="I6" s="56">
        <v>12400</v>
      </c>
      <c r="J6" s="56">
        <v>13868</v>
      </c>
      <c r="K6" s="56">
        <v>10591</v>
      </c>
      <c r="L6" s="56">
        <v>13556</v>
      </c>
      <c r="M6" s="56">
        <v>9726</v>
      </c>
      <c r="N6" s="56">
        <v>8890</v>
      </c>
      <c r="O6" s="56">
        <v>8718</v>
      </c>
      <c r="P6" s="56">
        <v>8306</v>
      </c>
      <c r="Q6" s="56">
        <v>11223</v>
      </c>
      <c r="R6" s="56">
        <v>11662</v>
      </c>
      <c r="S6" s="56">
        <v>8876</v>
      </c>
      <c r="T6" s="56">
        <v>8650</v>
      </c>
      <c r="U6" s="56">
        <v>7872</v>
      </c>
      <c r="V6" s="56">
        <v>5332</v>
      </c>
      <c r="W6" s="56">
        <v>6507</v>
      </c>
      <c r="X6" s="56">
        <v>6202</v>
      </c>
      <c r="Y6" s="56">
        <v>6559</v>
      </c>
      <c r="Z6" s="56">
        <v>7129</v>
      </c>
      <c r="AA6" s="56">
        <v>8381</v>
      </c>
      <c r="AB6" s="56">
        <v>6616</v>
      </c>
      <c r="AC6" s="56">
        <v>7785</v>
      </c>
      <c r="AD6" s="56">
        <v>8154</v>
      </c>
      <c r="AE6" s="56">
        <v>7215</v>
      </c>
      <c r="AF6" s="56">
        <v>8697</v>
      </c>
      <c r="AG6" s="56">
        <v>7544</v>
      </c>
      <c r="AH6" s="56">
        <v>7071</v>
      </c>
      <c r="AI6" s="56">
        <f t="shared" si="0"/>
        <v>9116.4137931034475</v>
      </c>
    </row>
    <row r="7" spans="1:35">
      <c r="A7" s="56" t="s">
        <v>6</v>
      </c>
      <c r="B7" s="56" t="s">
        <v>759</v>
      </c>
      <c r="C7" s="56" t="s">
        <v>673</v>
      </c>
      <c r="D7" s="56" t="s">
        <v>674</v>
      </c>
      <c r="E7" s="56" t="s">
        <v>675</v>
      </c>
      <c r="F7" s="56">
        <v>5080</v>
      </c>
      <c r="G7" s="56">
        <v>4174</v>
      </c>
      <c r="H7" s="56">
        <v>4184</v>
      </c>
      <c r="I7" s="56">
        <v>4218</v>
      </c>
      <c r="J7" s="56">
        <v>4278</v>
      </c>
      <c r="K7" s="56">
        <v>4337</v>
      </c>
      <c r="L7" s="56">
        <v>4412</v>
      </c>
      <c r="M7" s="56">
        <v>4466</v>
      </c>
      <c r="N7" s="56">
        <v>4500</v>
      </c>
      <c r="O7" s="56">
        <v>4500</v>
      </c>
      <c r="P7" s="56">
        <v>4500</v>
      </c>
      <c r="Q7" s="56">
        <v>4500</v>
      </c>
      <c r="R7" s="56">
        <v>4500</v>
      </c>
      <c r="S7" s="56">
        <v>4500</v>
      </c>
      <c r="T7" s="56">
        <v>4513</v>
      </c>
      <c r="U7" s="56">
        <v>4521</v>
      </c>
      <c r="V7" s="56">
        <v>4526</v>
      </c>
      <c r="W7" s="56">
        <v>4512</v>
      </c>
      <c r="X7" s="56">
        <v>4519</v>
      </c>
      <c r="Y7" s="56">
        <v>4494</v>
      </c>
      <c r="Z7" s="56">
        <v>4444</v>
      </c>
      <c r="AA7" s="56">
        <v>4395</v>
      </c>
      <c r="AB7" s="56">
        <v>4364</v>
      </c>
      <c r="AC7" s="56">
        <v>4372</v>
      </c>
      <c r="AD7" s="56">
        <v>4428</v>
      </c>
      <c r="AE7" s="56">
        <v>4431</v>
      </c>
      <c r="AF7" s="56">
        <v>4401</v>
      </c>
      <c r="AG7" s="56">
        <v>4395</v>
      </c>
      <c r="AH7" s="56">
        <v>4389</v>
      </c>
      <c r="AI7" s="56">
        <f t="shared" si="0"/>
        <v>4443.2068965517237</v>
      </c>
    </row>
    <row r="8" spans="1:35">
      <c r="A8" s="56" t="s">
        <v>6</v>
      </c>
      <c r="B8" s="56" t="s">
        <v>676</v>
      </c>
      <c r="C8" s="56" t="s">
        <v>673</v>
      </c>
      <c r="D8" s="56" t="s">
        <v>674</v>
      </c>
      <c r="E8" s="56" t="s">
        <v>675</v>
      </c>
      <c r="F8" s="56">
        <v>18723</v>
      </c>
      <c r="G8" s="56">
        <v>20505</v>
      </c>
      <c r="H8" s="56">
        <v>23682</v>
      </c>
      <c r="I8" s="56">
        <v>14765</v>
      </c>
      <c r="J8" s="56">
        <v>13539</v>
      </c>
      <c r="K8" s="56">
        <v>16650</v>
      </c>
      <c r="L8" s="56">
        <v>13886</v>
      </c>
      <c r="M8" s="56">
        <v>23671</v>
      </c>
      <c r="N8" s="56">
        <v>22884</v>
      </c>
      <c r="O8" s="56">
        <v>19805</v>
      </c>
      <c r="P8" s="56">
        <v>21417</v>
      </c>
      <c r="Q8" s="56">
        <v>24244</v>
      </c>
      <c r="R8" s="56">
        <v>28305</v>
      </c>
      <c r="S8" s="56">
        <v>24539</v>
      </c>
      <c r="T8" s="56">
        <v>25079</v>
      </c>
      <c r="U8" s="56">
        <v>20331</v>
      </c>
      <c r="V8" s="56">
        <v>19679</v>
      </c>
      <c r="W8" s="56">
        <v>19274</v>
      </c>
      <c r="X8" s="56">
        <v>16324</v>
      </c>
      <c r="Y8" s="56">
        <v>16281</v>
      </c>
      <c r="Z8" s="56">
        <v>17378</v>
      </c>
      <c r="AA8" s="56">
        <v>20675</v>
      </c>
      <c r="AB8" s="56">
        <v>19311</v>
      </c>
      <c r="AC8" s="56">
        <v>20774</v>
      </c>
      <c r="AD8" s="56">
        <v>23544</v>
      </c>
      <c r="AE8" s="56">
        <v>21745</v>
      </c>
      <c r="AF8" s="56">
        <v>25293</v>
      </c>
      <c r="AG8" s="56">
        <v>26392</v>
      </c>
      <c r="AH8" s="56">
        <v>26620</v>
      </c>
      <c r="AI8" s="56">
        <f t="shared" si="0"/>
        <v>20872.931034482757</v>
      </c>
    </row>
    <row r="9" spans="1:35">
      <c r="A9" s="56" t="s">
        <v>6</v>
      </c>
      <c r="B9" s="56" t="s">
        <v>677</v>
      </c>
      <c r="C9" s="56" t="s">
        <v>673</v>
      </c>
      <c r="D9" s="56" t="s">
        <v>674</v>
      </c>
      <c r="E9" s="56" t="s">
        <v>675</v>
      </c>
      <c r="F9" s="56">
        <v>3132</v>
      </c>
      <c r="G9" s="56">
        <v>2819</v>
      </c>
      <c r="H9" s="56">
        <v>3322</v>
      </c>
      <c r="I9" s="56">
        <v>2743</v>
      </c>
      <c r="J9" s="56">
        <v>2748</v>
      </c>
      <c r="K9" s="56">
        <v>2774</v>
      </c>
      <c r="L9" s="56">
        <v>2744</v>
      </c>
      <c r="M9" s="56">
        <v>2622</v>
      </c>
      <c r="N9" s="56">
        <v>2419</v>
      </c>
      <c r="O9" s="56">
        <v>2398</v>
      </c>
      <c r="P9" s="56">
        <v>2561</v>
      </c>
      <c r="Q9" s="56">
        <v>3015</v>
      </c>
      <c r="R9" s="56">
        <v>3185</v>
      </c>
      <c r="S9" s="56">
        <v>2821</v>
      </c>
      <c r="T9" s="56">
        <v>2634</v>
      </c>
      <c r="U9" s="56">
        <v>3195</v>
      </c>
      <c r="V9" s="56">
        <v>3084</v>
      </c>
      <c r="W9" s="56">
        <v>3139</v>
      </c>
      <c r="X9" s="56">
        <v>3288</v>
      </c>
      <c r="Y9" s="56">
        <v>3508</v>
      </c>
      <c r="Z9" s="56">
        <v>3469</v>
      </c>
      <c r="AA9" s="56">
        <v>3435</v>
      </c>
      <c r="AB9" s="56">
        <v>2836</v>
      </c>
      <c r="AC9" s="56">
        <v>3256</v>
      </c>
      <c r="AD9" s="56">
        <v>3339</v>
      </c>
      <c r="AI9" s="56">
        <f t="shared" si="0"/>
        <v>2979.44</v>
      </c>
    </row>
    <row r="10" spans="1:35">
      <c r="A10" s="56" t="s">
        <v>6</v>
      </c>
      <c r="B10" s="56" t="s">
        <v>678</v>
      </c>
      <c r="C10" s="56" t="s">
        <v>673</v>
      </c>
      <c r="D10" s="56" t="s">
        <v>674</v>
      </c>
      <c r="E10" s="56" t="s">
        <v>675</v>
      </c>
      <c r="F10" s="56">
        <v>2231</v>
      </c>
      <c r="G10" s="56">
        <v>2067</v>
      </c>
      <c r="H10" s="56">
        <v>2551</v>
      </c>
      <c r="I10" s="56">
        <v>2163</v>
      </c>
      <c r="J10" s="56">
        <v>1928</v>
      </c>
      <c r="K10" s="56">
        <v>2041</v>
      </c>
      <c r="L10" s="56">
        <v>1930</v>
      </c>
      <c r="M10" s="56">
        <v>1650</v>
      </c>
      <c r="N10" s="56">
        <v>1497</v>
      </c>
      <c r="O10" s="56">
        <v>1708</v>
      </c>
      <c r="P10" s="56">
        <v>1779</v>
      </c>
      <c r="Q10" s="56">
        <v>1995</v>
      </c>
      <c r="R10" s="56">
        <v>2035</v>
      </c>
      <c r="S10" s="56">
        <v>1822</v>
      </c>
      <c r="T10" s="56">
        <v>1723</v>
      </c>
      <c r="U10" s="56">
        <v>2587</v>
      </c>
      <c r="V10" s="56">
        <v>2749</v>
      </c>
      <c r="W10" s="56">
        <v>2757</v>
      </c>
      <c r="X10" s="56">
        <v>3110</v>
      </c>
      <c r="Y10" s="56">
        <v>3343</v>
      </c>
      <c r="Z10" s="56">
        <v>3126</v>
      </c>
      <c r="AA10" s="56">
        <v>2751</v>
      </c>
      <c r="AB10" s="56">
        <v>2384</v>
      </c>
      <c r="AC10" s="56">
        <v>2698</v>
      </c>
      <c r="AD10" s="56">
        <v>2529</v>
      </c>
      <c r="AI10" s="56">
        <f t="shared" si="0"/>
        <v>2286.16</v>
      </c>
    </row>
    <row r="11" spans="1:35">
      <c r="AI11" s="56">
        <f>AVERAGE(AI2:AI10)</f>
        <v>18765.323371647508</v>
      </c>
    </row>
    <row r="15" spans="1:35">
      <c r="A15" s="56" t="s">
        <v>559</v>
      </c>
      <c r="B15" s="56" t="s">
        <v>560</v>
      </c>
      <c r="C15" s="56" t="s">
        <v>561</v>
      </c>
      <c r="D15" s="56" t="s">
        <v>562</v>
      </c>
      <c r="E15" s="56" t="s">
        <v>563</v>
      </c>
      <c r="F15" s="56" t="s">
        <v>679</v>
      </c>
      <c r="G15" s="56" t="s">
        <v>680</v>
      </c>
      <c r="H15" s="56" t="s">
        <v>681</v>
      </c>
      <c r="I15" s="56" t="s">
        <v>682</v>
      </c>
      <c r="J15" s="56" t="s">
        <v>683</v>
      </c>
      <c r="K15" s="56" t="s">
        <v>684</v>
      </c>
      <c r="L15" s="56" t="s">
        <v>685</v>
      </c>
      <c r="M15" s="56" t="s">
        <v>686</v>
      </c>
      <c r="N15" s="56" t="s">
        <v>687</v>
      </c>
      <c r="O15" s="56" t="s">
        <v>688</v>
      </c>
      <c r="P15" s="56" t="s">
        <v>689</v>
      </c>
      <c r="Q15" s="56" t="s">
        <v>690</v>
      </c>
      <c r="R15" s="56" t="s">
        <v>691</v>
      </c>
      <c r="S15" s="56" t="s">
        <v>692</v>
      </c>
      <c r="T15" s="56" t="s">
        <v>693</v>
      </c>
      <c r="U15" s="56" t="s">
        <v>694</v>
      </c>
      <c r="V15" s="56" t="s">
        <v>695</v>
      </c>
      <c r="W15" s="56" t="s">
        <v>696</v>
      </c>
      <c r="X15" s="56" t="s">
        <v>697</v>
      </c>
      <c r="Y15" s="56" t="s">
        <v>698</v>
      </c>
      <c r="Z15" s="56" t="s">
        <v>699</v>
      </c>
      <c r="AA15" s="56" t="s">
        <v>700</v>
      </c>
      <c r="AB15" s="56" t="s">
        <v>701</v>
      </c>
      <c r="AC15" s="56" t="s">
        <v>702</v>
      </c>
      <c r="AD15" s="56" t="s">
        <v>703</v>
      </c>
      <c r="AE15" s="56" t="s">
        <v>774</v>
      </c>
      <c r="AF15" s="56" t="s">
        <v>775</v>
      </c>
      <c r="AG15" s="56" t="s">
        <v>776</v>
      </c>
      <c r="AH15" s="56" t="s">
        <v>777</v>
      </c>
      <c r="AI15" s="56" t="s">
        <v>778</v>
      </c>
    </row>
    <row r="16" spans="1:35">
      <c r="A16" s="56" t="s">
        <v>6</v>
      </c>
      <c r="B16" s="56" t="s">
        <v>705</v>
      </c>
      <c r="C16" s="56" t="s">
        <v>523</v>
      </c>
      <c r="D16" s="56" t="s">
        <v>674</v>
      </c>
      <c r="E16" s="56" t="s">
        <v>675</v>
      </c>
      <c r="F16" s="56">
        <v>9653</v>
      </c>
      <c r="G16" s="56">
        <v>9060</v>
      </c>
      <c r="H16" s="56">
        <v>10140</v>
      </c>
      <c r="I16" s="56">
        <v>11599</v>
      </c>
      <c r="J16" s="56">
        <v>9306</v>
      </c>
      <c r="K16" s="56">
        <v>8553</v>
      </c>
      <c r="L16" s="56">
        <v>9404</v>
      </c>
      <c r="M16" s="56">
        <v>10676</v>
      </c>
      <c r="N16" s="56">
        <v>8673</v>
      </c>
      <c r="O16" s="56">
        <v>11979</v>
      </c>
      <c r="P16" s="56">
        <v>12020</v>
      </c>
      <c r="Q16" s="56">
        <v>13071</v>
      </c>
      <c r="R16" s="56">
        <v>12652</v>
      </c>
      <c r="S16" s="56">
        <v>12728</v>
      </c>
      <c r="T16" s="56">
        <v>10920</v>
      </c>
      <c r="U16" s="56">
        <v>11577</v>
      </c>
      <c r="V16" s="56">
        <v>11551</v>
      </c>
      <c r="W16" s="56">
        <v>11664</v>
      </c>
      <c r="X16" s="56">
        <v>11922</v>
      </c>
      <c r="Y16" s="56">
        <v>12559</v>
      </c>
      <c r="Z16" s="56">
        <v>11937</v>
      </c>
      <c r="AA16" s="56">
        <v>12453</v>
      </c>
      <c r="AB16" s="56">
        <v>11914</v>
      </c>
      <c r="AC16" s="56">
        <v>9244</v>
      </c>
      <c r="AD16" s="56">
        <v>11959</v>
      </c>
      <c r="AE16" s="56">
        <v>13895</v>
      </c>
      <c r="AF16" s="56">
        <v>12235</v>
      </c>
      <c r="AG16" s="56">
        <v>12308</v>
      </c>
      <c r="AH16" s="56">
        <v>12396</v>
      </c>
      <c r="AI16" s="56">
        <f>AVERAGE(F16:AH16)</f>
        <v>11312</v>
      </c>
    </row>
    <row r="17" spans="1:35">
      <c r="A17" s="56" t="s">
        <v>6</v>
      </c>
      <c r="B17" s="56" t="s">
        <v>706</v>
      </c>
      <c r="C17" s="56" t="s">
        <v>523</v>
      </c>
      <c r="D17" s="56" t="s">
        <v>674</v>
      </c>
      <c r="E17" s="56" t="s">
        <v>675</v>
      </c>
      <c r="F17" s="56">
        <v>4063</v>
      </c>
      <c r="G17" s="56">
        <v>3746</v>
      </c>
      <c r="H17" s="56">
        <v>5561</v>
      </c>
      <c r="I17" s="56">
        <v>5029</v>
      </c>
      <c r="J17" s="56">
        <v>3747</v>
      </c>
      <c r="K17" s="56">
        <v>6724</v>
      </c>
      <c r="L17" s="56">
        <v>4725</v>
      </c>
      <c r="M17" s="56">
        <v>5212</v>
      </c>
      <c r="N17" s="56">
        <v>4525</v>
      </c>
      <c r="O17" s="56">
        <v>4650</v>
      </c>
      <c r="P17" s="56">
        <v>4696</v>
      </c>
      <c r="Q17" s="56">
        <v>6154</v>
      </c>
      <c r="R17" s="56">
        <v>6791</v>
      </c>
      <c r="S17" s="56">
        <v>6964</v>
      </c>
      <c r="T17" s="56">
        <v>7127</v>
      </c>
      <c r="U17" s="56">
        <v>8209</v>
      </c>
      <c r="V17" s="56">
        <v>6643</v>
      </c>
      <c r="W17" s="56">
        <v>6951</v>
      </c>
      <c r="X17" s="56">
        <v>6579</v>
      </c>
      <c r="Y17" s="56">
        <v>6877</v>
      </c>
      <c r="Z17" s="56">
        <v>6949</v>
      </c>
      <c r="AA17" s="56">
        <v>6865</v>
      </c>
      <c r="AB17" s="56">
        <v>4861</v>
      </c>
      <c r="AC17" s="56">
        <v>12755</v>
      </c>
      <c r="AD17" s="56">
        <v>6247</v>
      </c>
      <c r="AE17" s="56">
        <v>7988</v>
      </c>
      <c r="AF17" s="56">
        <v>6289</v>
      </c>
      <c r="AG17" s="56">
        <v>5931</v>
      </c>
      <c r="AH17" s="56">
        <v>5913</v>
      </c>
      <c r="AI17" s="56">
        <f>AVERAGE(F17:AH17)</f>
        <v>6164.5172413793107</v>
      </c>
    </row>
    <row r="18" spans="1:35">
      <c r="A18" s="56" t="s">
        <v>6</v>
      </c>
      <c r="B18" s="56" t="s">
        <v>761</v>
      </c>
      <c r="C18" s="56" t="s">
        <v>523</v>
      </c>
      <c r="D18" s="56" t="s">
        <v>674</v>
      </c>
      <c r="E18" s="56" t="s">
        <v>675</v>
      </c>
      <c r="F18" s="56">
        <v>13098</v>
      </c>
      <c r="G18" s="56">
        <v>15665</v>
      </c>
      <c r="H18" s="56">
        <v>18509</v>
      </c>
      <c r="I18" s="56">
        <v>11975</v>
      </c>
      <c r="J18" s="56">
        <v>9498</v>
      </c>
      <c r="K18" s="56">
        <v>12221</v>
      </c>
      <c r="L18" s="56">
        <v>13320</v>
      </c>
      <c r="M18" s="56">
        <v>26977</v>
      </c>
      <c r="N18" s="56">
        <v>20441</v>
      </c>
      <c r="O18" s="56">
        <v>21254</v>
      </c>
      <c r="P18" s="56">
        <v>19223</v>
      </c>
      <c r="Q18" s="56">
        <v>19324</v>
      </c>
      <c r="R18" s="56">
        <v>21627</v>
      </c>
      <c r="S18" s="56">
        <v>21700</v>
      </c>
      <c r="T18" s="56">
        <v>21228</v>
      </c>
      <c r="U18" s="56">
        <v>22090</v>
      </c>
      <c r="V18" s="56">
        <v>24830</v>
      </c>
      <c r="W18" s="56">
        <v>22836</v>
      </c>
      <c r="X18" s="56">
        <v>23441</v>
      </c>
      <c r="Y18" s="56">
        <v>26540</v>
      </c>
      <c r="Z18" s="56">
        <v>23228</v>
      </c>
      <c r="AA18" s="56">
        <v>25101</v>
      </c>
      <c r="AB18" s="56">
        <v>16724</v>
      </c>
      <c r="AC18" s="56">
        <v>28233</v>
      </c>
      <c r="AD18" s="56">
        <v>17633</v>
      </c>
      <c r="AE18" s="56">
        <v>17273</v>
      </c>
      <c r="AF18" s="56">
        <v>16536</v>
      </c>
      <c r="AG18" s="56">
        <v>16650</v>
      </c>
      <c r="AH18" s="56">
        <v>16760</v>
      </c>
      <c r="AI18" s="56">
        <f>AVERAGE(F18:AH18)</f>
        <v>19446.03448275862</v>
      </c>
    </row>
    <row r="19" spans="1:35">
      <c r="A19" s="56" t="s">
        <v>6</v>
      </c>
      <c r="B19" s="56" t="s">
        <v>707</v>
      </c>
      <c r="C19" s="56" t="s">
        <v>523</v>
      </c>
      <c r="D19" s="56" t="s">
        <v>674</v>
      </c>
      <c r="E19" s="56" t="s">
        <v>675</v>
      </c>
      <c r="F19" s="56">
        <v>6229</v>
      </c>
      <c r="G19" s="56">
        <v>7378</v>
      </c>
      <c r="H19" s="56">
        <v>7757</v>
      </c>
      <c r="I19" s="56">
        <v>6442</v>
      </c>
      <c r="J19" s="56">
        <v>5383</v>
      </c>
      <c r="K19" s="56">
        <v>8652</v>
      </c>
      <c r="L19" s="56">
        <v>6263</v>
      </c>
      <c r="M19" s="56">
        <v>7338</v>
      </c>
      <c r="N19" s="56">
        <v>6697</v>
      </c>
      <c r="O19" s="56">
        <v>8019</v>
      </c>
      <c r="P19" s="56">
        <v>8485</v>
      </c>
      <c r="Q19" s="56">
        <v>8889</v>
      </c>
      <c r="R19" s="56">
        <v>8658</v>
      </c>
      <c r="S19" s="56">
        <v>8775</v>
      </c>
      <c r="T19" s="56">
        <v>10137</v>
      </c>
      <c r="U19" s="56">
        <v>9822</v>
      </c>
      <c r="V19" s="56">
        <v>10265</v>
      </c>
      <c r="W19" s="56">
        <v>9764</v>
      </c>
      <c r="X19" s="56">
        <v>9916</v>
      </c>
      <c r="Y19" s="56">
        <v>10981</v>
      </c>
      <c r="Z19" s="56">
        <v>10943</v>
      </c>
      <c r="AA19" s="56">
        <v>11012</v>
      </c>
      <c r="AB19" s="56">
        <v>8635</v>
      </c>
      <c r="AC19" s="56">
        <v>9444</v>
      </c>
      <c r="AD19" s="56">
        <v>9501</v>
      </c>
      <c r="AE19" s="56">
        <v>8905</v>
      </c>
      <c r="AF19" s="56">
        <v>8600</v>
      </c>
      <c r="AG19" s="56">
        <v>8752</v>
      </c>
      <c r="AH19" s="56">
        <v>8695</v>
      </c>
      <c r="AI19" s="56">
        <f>AVERAGE(F19:AH19)</f>
        <v>8632.310344827587</v>
      </c>
    </row>
    <row r="20" spans="1:35">
      <c r="AI20" s="56">
        <f>AVERAGE(AI16:AI19)</f>
        <v>11388.715517241379</v>
      </c>
    </row>
    <row r="23" spans="1:35">
      <c r="A23" s="56" t="s">
        <v>559</v>
      </c>
      <c r="B23" s="56" t="s">
        <v>560</v>
      </c>
      <c r="C23" s="56" t="s">
        <v>561</v>
      </c>
      <c r="D23" s="56" t="s">
        <v>562</v>
      </c>
      <c r="E23" s="56" t="s">
        <v>563</v>
      </c>
      <c r="F23" s="56" t="s">
        <v>679</v>
      </c>
      <c r="G23" s="56" t="s">
        <v>680</v>
      </c>
      <c r="H23" s="56" t="s">
        <v>681</v>
      </c>
      <c r="I23" s="56" t="s">
        <v>682</v>
      </c>
      <c r="J23" s="56" t="s">
        <v>683</v>
      </c>
      <c r="K23" s="56" t="s">
        <v>684</v>
      </c>
      <c r="L23" s="56" t="s">
        <v>685</v>
      </c>
      <c r="M23" s="56" t="s">
        <v>686</v>
      </c>
      <c r="N23" s="56" t="s">
        <v>687</v>
      </c>
      <c r="O23" s="56" t="s">
        <v>688</v>
      </c>
      <c r="P23" s="56" t="s">
        <v>689</v>
      </c>
      <c r="Q23" s="56" t="s">
        <v>690</v>
      </c>
      <c r="R23" s="56" t="s">
        <v>691</v>
      </c>
      <c r="S23" s="56" t="s">
        <v>692</v>
      </c>
      <c r="T23" s="56" t="s">
        <v>693</v>
      </c>
      <c r="U23" s="56" t="s">
        <v>694</v>
      </c>
      <c r="V23" s="56" t="s">
        <v>695</v>
      </c>
      <c r="W23" s="56" t="s">
        <v>696</v>
      </c>
      <c r="X23" s="56" t="s">
        <v>697</v>
      </c>
      <c r="Y23" s="56" t="s">
        <v>698</v>
      </c>
      <c r="Z23" s="56" t="s">
        <v>699</v>
      </c>
      <c r="AA23" s="56" t="s">
        <v>700</v>
      </c>
      <c r="AB23" s="56" t="s">
        <v>701</v>
      </c>
      <c r="AC23" s="56" t="s">
        <v>702</v>
      </c>
      <c r="AD23" s="56" t="s">
        <v>703</v>
      </c>
      <c r="AE23" s="56" t="s">
        <v>774</v>
      </c>
      <c r="AF23" s="56" t="s">
        <v>775</v>
      </c>
      <c r="AG23" s="56" t="s">
        <v>776</v>
      </c>
      <c r="AH23" s="56" t="s">
        <v>777</v>
      </c>
      <c r="AI23" s="56" t="s">
        <v>778</v>
      </c>
    </row>
    <row r="24" spans="1:35">
      <c r="A24" s="56" t="s">
        <v>6</v>
      </c>
      <c r="B24" s="56" t="s">
        <v>712</v>
      </c>
      <c r="C24" s="56" t="s">
        <v>710</v>
      </c>
      <c r="D24" s="56" t="s">
        <v>674</v>
      </c>
      <c r="E24" s="56" t="s">
        <v>675</v>
      </c>
      <c r="F24" s="56">
        <v>102130</v>
      </c>
      <c r="G24" s="56">
        <v>95590</v>
      </c>
      <c r="H24" s="56">
        <v>96523</v>
      </c>
      <c r="I24" s="56">
        <v>97455</v>
      </c>
      <c r="J24" s="56">
        <v>98388</v>
      </c>
      <c r="K24" s="56">
        <v>99321</v>
      </c>
      <c r="L24" s="56">
        <v>100254</v>
      </c>
      <c r="M24" s="56">
        <v>101186</v>
      </c>
      <c r="N24" s="56">
        <v>102119</v>
      </c>
      <c r="O24" s="56">
        <v>103052</v>
      </c>
      <c r="P24" s="56">
        <v>103715</v>
      </c>
      <c r="Q24" s="56">
        <v>104811</v>
      </c>
      <c r="R24" s="56">
        <v>105882</v>
      </c>
      <c r="S24" s="56">
        <v>106255</v>
      </c>
      <c r="T24" s="56">
        <v>106959</v>
      </c>
      <c r="U24" s="56">
        <v>107748</v>
      </c>
      <c r="V24" s="56">
        <v>108556</v>
      </c>
      <c r="W24" s="56">
        <v>109386</v>
      </c>
      <c r="X24" s="56">
        <v>108333</v>
      </c>
      <c r="Y24" s="56">
        <v>113185</v>
      </c>
      <c r="Z24" s="56">
        <v>116667</v>
      </c>
      <c r="AA24" s="56">
        <v>118890</v>
      </c>
      <c r="AB24" s="56">
        <v>124324</v>
      </c>
      <c r="AC24" s="56">
        <v>120520</v>
      </c>
      <c r="AD24" s="56">
        <v>120768</v>
      </c>
      <c r="AE24" s="56">
        <v>123561</v>
      </c>
      <c r="AF24" s="56">
        <v>125200</v>
      </c>
      <c r="AG24" s="56">
        <v>126548</v>
      </c>
      <c r="AH24" s="56">
        <v>127896</v>
      </c>
      <c r="AI24" s="56">
        <f t="shared" ref="AI24:AI30" si="1">AVERAGE(F24:AH24)</f>
        <v>109490.41379310345</v>
      </c>
    </row>
    <row r="25" spans="1:35">
      <c r="A25" s="56" t="s">
        <v>6</v>
      </c>
      <c r="B25" s="56" t="s">
        <v>713</v>
      </c>
      <c r="C25" s="56" t="s">
        <v>710</v>
      </c>
      <c r="D25" s="56" t="s">
        <v>674</v>
      </c>
      <c r="E25" s="56" t="s">
        <v>675</v>
      </c>
      <c r="I25" s="56">
        <v>150000</v>
      </c>
      <c r="J25" s="56">
        <v>160000</v>
      </c>
      <c r="K25" s="56">
        <v>154571</v>
      </c>
      <c r="L25" s="56">
        <v>153802</v>
      </c>
      <c r="M25" s="56">
        <v>152673</v>
      </c>
      <c r="N25" s="56">
        <v>151301</v>
      </c>
      <c r="O25" s="56">
        <v>148297</v>
      </c>
      <c r="P25" s="56">
        <v>146618</v>
      </c>
      <c r="Q25" s="56">
        <v>145119</v>
      </c>
      <c r="R25" s="56">
        <v>143594</v>
      </c>
      <c r="S25" s="56">
        <v>140150</v>
      </c>
      <c r="T25" s="56">
        <v>140920</v>
      </c>
      <c r="U25" s="56">
        <v>139285</v>
      </c>
      <c r="V25" s="56">
        <v>137500</v>
      </c>
      <c r="W25" s="56">
        <v>140000</v>
      </c>
      <c r="X25" s="56">
        <v>133005</v>
      </c>
      <c r="Y25" s="56">
        <v>128581</v>
      </c>
      <c r="Z25" s="56">
        <v>123727</v>
      </c>
      <c r="AA25" s="56">
        <v>116667</v>
      </c>
      <c r="AB25" s="56">
        <v>111538</v>
      </c>
      <c r="AC25" s="56">
        <v>110143</v>
      </c>
      <c r="AD25" s="56">
        <v>108015</v>
      </c>
      <c r="AE25" s="56">
        <v>106619</v>
      </c>
      <c r="AF25" s="56">
        <v>102462</v>
      </c>
      <c r="AG25" s="56">
        <v>99101</v>
      </c>
      <c r="AH25" s="56">
        <v>95740</v>
      </c>
      <c r="AI25" s="56">
        <f t="shared" si="1"/>
        <v>132285.69230769231</v>
      </c>
    </row>
    <row r="26" spans="1:35">
      <c r="A26" s="56" t="s">
        <v>6</v>
      </c>
      <c r="B26" s="56" t="s">
        <v>715</v>
      </c>
      <c r="C26" s="56" t="s">
        <v>710</v>
      </c>
      <c r="D26" s="56" t="s">
        <v>674</v>
      </c>
      <c r="E26" s="56" t="s">
        <v>675</v>
      </c>
      <c r="F26" s="56">
        <v>3645</v>
      </c>
      <c r="G26" s="56">
        <v>3541</v>
      </c>
      <c r="H26" s="56">
        <v>3568</v>
      </c>
      <c r="I26" s="56">
        <v>3595</v>
      </c>
      <c r="J26" s="56">
        <v>3622</v>
      </c>
      <c r="K26" s="56">
        <v>3649</v>
      </c>
      <c r="L26" s="56">
        <v>3676</v>
      </c>
      <c r="M26" s="56">
        <v>3703</v>
      </c>
      <c r="N26" s="56">
        <v>3730</v>
      </c>
      <c r="O26" s="56">
        <v>3718</v>
      </c>
      <c r="P26" s="56">
        <v>3656</v>
      </c>
      <c r="Q26" s="56">
        <v>3571</v>
      </c>
      <c r="R26" s="56">
        <v>3760</v>
      </c>
      <c r="S26" s="56">
        <v>3823</v>
      </c>
      <c r="T26" s="56">
        <v>3881</v>
      </c>
      <c r="U26" s="56">
        <v>3990</v>
      </c>
      <c r="V26" s="56">
        <v>3991</v>
      </c>
      <c r="W26" s="56">
        <v>4167</v>
      </c>
      <c r="X26" s="56">
        <v>4000</v>
      </c>
      <c r="Y26" s="56">
        <v>4200</v>
      </c>
      <c r="Z26" s="56">
        <v>3797</v>
      </c>
      <c r="AA26" s="56">
        <v>4060</v>
      </c>
      <c r="AB26" s="56">
        <v>4211</v>
      </c>
      <c r="AC26" s="56">
        <v>4207</v>
      </c>
      <c r="AD26" s="56">
        <v>4170</v>
      </c>
      <c r="AE26" s="56">
        <v>4184</v>
      </c>
      <c r="AF26" s="56">
        <v>4198</v>
      </c>
      <c r="AG26" s="56">
        <v>4217</v>
      </c>
      <c r="AH26" s="56">
        <v>4236</v>
      </c>
      <c r="AI26" s="56">
        <f t="shared" si="1"/>
        <v>3888.4827586206898</v>
      </c>
    </row>
    <row r="27" spans="1:35">
      <c r="A27" s="56" t="s">
        <v>6</v>
      </c>
      <c r="B27" s="56" t="s">
        <v>731</v>
      </c>
      <c r="C27" s="56" t="s">
        <v>710</v>
      </c>
      <c r="D27" s="56" t="s">
        <v>674</v>
      </c>
      <c r="E27" s="56" t="s">
        <v>675</v>
      </c>
      <c r="F27" s="56">
        <v>45200</v>
      </c>
      <c r="G27" s="56">
        <v>44470</v>
      </c>
      <c r="H27" s="56">
        <v>44541</v>
      </c>
      <c r="I27" s="56">
        <v>44612</v>
      </c>
      <c r="J27" s="56">
        <v>44682</v>
      </c>
      <c r="K27" s="56">
        <v>44753</v>
      </c>
      <c r="L27" s="56">
        <v>44824</v>
      </c>
      <c r="M27" s="56">
        <v>44895</v>
      </c>
      <c r="N27" s="56">
        <v>44966</v>
      </c>
      <c r="O27" s="56">
        <v>45037</v>
      </c>
      <c r="P27" s="56">
        <v>45108</v>
      </c>
      <c r="Q27" s="56">
        <v>45179</v>
      </c>
      <c r="R27" s="56">
        <v>45250</v>
      </c>
      <c r="S27" s="56">
        <v>45321</v>
      </c>
      <c r="T27" s="56">
        <v>45400</v>
      </c>
      <c r="U27" s="56">
        <v>45019</v>
      </c>
      <c r="V27" s="56">
        <v>44643</v>
      </c>
      <c r="W27" s="56">
        <v>45683</v>
      </c>
      <c r="X27" s="56">
        <v>46552</v>
      </c>
      <c r="Y27" s="56">
        <v>46667</v>
      </c>
      <c r="Z27" s="56">
        <v>46036</v>
      </c>
      <c r="AA27" s="56">
        <v>45917</v>
      </c>
      <c r="AB27" s="56">
        <v>45313</v>
      </c>
      <c r="AC27" s="56">
        <v>45826</v>
      </c>
      <c r="AD27" s="56">
        <v>46082</v>
      </c>
      <c r="AE27" s="56">
        <v>46058</v>
      </c>
      <c r="AF27" s="56">
        <v>46081</v>
      </c>
      <c r="AG27" s="56">
        <v>46131</v>
      </c>
      <c r="AH27" s="56">
        <v>46182</v>
      </c>
      <c r="AI27" s="56">
        <f t="shared" si="1"/>
        <v>45394.068965517239</v>
      </c>
    </row>
    <row r="28" spans="1:35">
      <c r="A28" s="56" t="s">
        <v>6</v>
      </c>
      <c r="B28" s="56" t="s">
        <v>735</v>
      </c>
      <c r="C28" s="56" t="s">
        <v>710</v>
      </c>
      <c r="D28" s="56" t="s">
        <v>674</v>
      </c>
      <c r="E28" s="56" t="s">
        <v>675</v>
      </c>
      <c r="F28" s="56">
        <v>81667</v>
      </c>
      <c r="G28" s="56">
        <v>78928</v>
      </c>
      <c r="H28" s="56">
        <v>79325</v>
      </c>
      <c r="I28" s="56">
        <v>80000</v>
      </c>
      <c r="J28" s="56">
        <v>78885</v>
      </c>
      <c r="K28" s="56">
        <v>78652</v>
      </c>
      <c r="L28" s="56">
        <v>78436</v>
      </c>
      <c r="M28" s="56">
        <v>76923</v>
      </c>
      <c r="N28" s="56">
        <v>78221</v>
      </c>
      <c r="O28" s="56">
        <v>78243</v>
      </c>
      <c r="P28" s="56">
        <v>78380</v>
      </c>
      <c r="Q28" s="56">
        <v>77419</v>
      </c>
      <c r="R28" s="56">
        <v>78905</v>
      </c>
      <c r="S28" s="56">
        <v>79293</v>
      </c>
      <c r="T28" s="56">
        <v>79683</v>
      </c>
      <c r="U28" s="56">
        <v>81081</v>
      </c>
      <c r="V28" s="56">
        <v>80143</v>
      </c>
      <c r="W28" s="56">
        <v>80172</v>
      </c>
      <c r="X28" s="56">
        <v>81081</v>
      </c>
      <c r="Y28" s="56">
        <v>81282</v>
      </c>
      <c r="Z28" s="56">
        <v>80000</v>
      </c>
      <c r="AA28" s="56">
        <v>80952</v>
      </c>
      <c r="AB28" s="56">
        <v>79545</v>
      </c>
      <c r="AC28" s="56">
        <v>79819</v>
      </c>
      <c r="AD28" s="56">
        <v>80084</v>
      </c>
      <c r="AE28" s="56">
        <v>80134</v>
      </c>
      <c r="AF28" s="56">
        <v>80087</v>
      </c>
      <c r="AG28" s="56">
        <v>80090</v>
      </c>
      <c r="AH28" s="56">
        <v>80094</v>
      </c>
      <c r="AI28" s="56">
        <f t="shared" si="1"/>
        <v>79569.793103448275</v>
      </c>
    </row>
    <row r="29" spans="1:35">
      <c r="A29" s="56" t="s">
        <v>6</v>
      </c>
      <c r="B29" s="56" t="s">
        <v>764</v>
      </c>
      <c r="C29" s="56" t="s">
        <v>710</v>
      </c>
      <c r="D29" s="56" t="s">
        <v>674</v>
      </c>
      <c r="E29" s="56" t="s">
        <v>675</v>
      </c>
      <c r="F29" s="56">
        <v>3225</v>
      </c>
      <c r="G29" s="56">
        <v>2625</v>
      </c>
      <c r="H29" s="56">
        <v>2643</v>
      </c>
      <c r="I29" s="56">
        <v>2660</v>
      </c>
      <c r="J29" s="56">
        <v>2653</v>
      </c>
      <c r="K29" s="56">
        <v>2649</v>
      </c>
      <c r="L29" s="56">
        <v>2690</v>
      </c>
      <c r="M29" s="56">
        <v>2727</v>
      </c>
      <c r="N29" s="56">
        <v>2800</v>
      </c>
      <c r="O29" s="56">
        <v>2766</v>
      </c>
      <c r="P29" s="56">
        <v>2797</v>
      </c>
      <c r="Q29" s="56">
        <v>2800</v>
      </c>
      <c r="R29" s="56">
        <v>2814</v>
      </c>
      <c r="S29" s="56">
        <v>2834</v>
      </c>
      <c r="T29" s="56">
        <v>2823</v>
      </c>
      <c r="U29" s="56">
        <v>2745</v>
      </c>
      <c r="V29" s="56">
        <v>2600</v>
      </c>
      <c r="W29" s="56">
        <v>2745</v>
      </c>
      <c r="X29" s="56">
        <v>2901</v>
      </c>
      <c r="Y29" s="56">
        <v>2972</v>
      </c>
      <c r="Z29" s="56">
        <v>3026</v>
      </c>
      <c r="AA29" s="56">
        <v>3075</v>
      </c>
      <c r="AB29" s="56">
        <v>3333</v>
      </c>
      <c r="AC29" s="56">
        <v>3333</v>
      </c>
      <c r="AD29" s="56">
        <v>3219</v>
      </c>
      <c r="AE29" s="56">
        <v>3228</v>
      </c>
      <c r="AF29" s="56">
        <v>3273</v>
      </c>
      <c r="AG29" s="56">
        <v>3302</v>
      </c>
      <c r="AH29" s="56">
        <v>3331</v>
      </c>
      <c r="AI29" s="56">
        <f t="shared" si="1"/>
        <v>2916.8620689655172</v>
      </c>
    </row>
    <row r="30" spans="1:35">
      <c r="A30" s="56" t="s">
        <v>6</v>
      </c>
      <c r="B30" s="56" t="s">
        <v>740</v>
      </c>
      <c r="C30" s="56" t="s">
        <v>710</v>
      </c>
      <c r="D30" s="56" t="s">
        <v>674</v>
      </c>
      <c r="E30" s="56" t="s">
        <v>675</v>
      </c>
      <c r="F30" s="56">
        <v>41948</v>
      </c>
      <c r="G30" s="56">
        <v>38954</v>
      </c>
      <c r="H30" s="56">
        <v>39146</v>
      </c>
      <c r="I30" s="56">
        <v>39060</v>
      </c>
      <c r="J30" s="56">
        <v>35678</v>
      </c>
      <c r="K30" s="56">
        <v>36408</v>
      </c>
      <c r="L30" s="56">
        <v>40067</v>
      </c>
      <c r="M30" s="56">
        <v>40000</v>
      </c>
      <c r="N30" s="56">
        <v>39846</v>
      </c>
      <c r="O30" s="56">
        <v>40000</v>
      </c>
      <c r="P30" s="56">
        <v>40462</v>
      </c>
      <c r="Q30" s="56">
        <v>40870</v>
      </c>
      <c r="R30" s="56">
        <v>41501</v>
      </c>
      <c r="S30" s="56">
        <v>41994</v>
      </c>
      <c r="T30" s="56">
        <v>42498</v>
      </c>
      <c r="U30" s="56">
        <v>43066</v>
      </c>
      <c r="V30" s="56">
        <v>44444</v>
      </c>
      <c r="W30" s="56">
        <v>43834</v>
      </c>
      <c r="X30" s="56">
        <v>45000</v>
      </c>
      <c r="Y30" s="56">
        <v>43536</v>
      </c>
      <c r="Z30" s="56">
        <v>42857</v>
      </c>
      <c r="AA30" s="56">
        <v>42275</v>
      </c>
      <c r="AB30" s="56">
        <v>40714</v>
      </c>
      <c r="AC30" s="56">
        <v>41466</v>
      </c>
      <c r="AD30" s="56">
        <v>42228</v>
      </c>
      <c r="AE30" s="56">
        <v>42010</v>
      </c>
      <c r="AF30" s="56">
        <v>41717</v>
      </c>
      <c r="AG30" s="56">
        <v>41678</v>
      </c>
      <c r="AH30" s="56">
        <v>41639</v>
      </c>
      <c r="AI30" s="56">
        <f t="shared" si="1"/>
        <v>41203.310344827587</v>
      </c>
    </row>
    <row r="31" spans="1:35">
      <c r="AI31" s="56">
        <f>AVERAGE(AI24:AI30)</f>
        <v>59249.803334596443</v>
      </c>
    </row>
    <row r="34" spans="1:35">
      <c r="A34" s="56" t="s">
        <v>559</v>
      </c>
      <c r="B34" s="56" t="s">
        <v>560</v>
      </c>
      <c r="C34" s="56" t="s">
        <v>561</v>
      </c>
      <c r="D34" s="56" t="s">
        <v>562</v>
      </c>
      <c r="E34" s="56" t="s">
        <v>563</v>
      </c>
      <c r="F34" s="56" t="s">
        <v>679</v>
      </c>
      <c r="G34" s="56" t="s">
        <v>680</v>
      </c>
      <c r="H34" s="56" t="s">
        <v>681</v>
      </c>
      <c r="I34" s="56" t="s">
        <v>682</v>
      </c>
      <c r="J34" s="56" t="s">
        <v>683</v>
      </c>
      <c r="K34" s="56" t="s">
        <v>684</v>
      </c>
      <c r="L34" s="56" t="s">
        <v>685</v>
      </c>
      <c r="M34" s="56" t="s">
        <v>686</v>
      </c>
      <c r="N34" s="56" t="s">
        <v>687</v>
      </c>
      <c r="O34" s="56" t="s">
        <v>688</v>
      </c>
      <c r="P34" s="56" t="s">
        <v>689</v>
      </c>
      <c r="Q34" s="56" t="s">
        <v>690</v>
      </c>
      <c r="R34" s="56" t="s">
        <v>691</v>
      </c>
      <c r="S34" s="56" t="s">
        <v>692</v>
      </c>
      <c r="T34" s="56" t="s">
        <v>693</v>
      </c>
      <c r="U34" s="56" t="s">
        <v>694</v>
      </c>
      <c r="V34" s="56" t="s">
        <v>695</v>
      </c>
      <c r="W34" s="56" t="s">
        <v>696</v>
      </c>
      <c r="X34" s="56" t="s">
        <v>697</v>
      </c>
      <c r="Y34" s="56" t="s">
        <v>698</v>
      </c>
      <c r="Z34" s="56" t="s">
        <v>699</v>
      </c>
      <c r="AA34" s="56" t="s">
        <v>700</v>
      </c>
      <c r="AB34" s="56" t="s">
        <v>701</v>
      </c>
      <c r="AC34" s="56" t="s">
        <v>702</v>
      </c>
      <c r="AD34" s="56" t="s">
        <v>703</v>
      </c>
      <c r="AE34" s="56" t="s">
        <v>774</v>
      </c>
      <c r="AF34" s="56" t="s">
        <v>775</v>
      </c>
      <c r="AG34" s="56" t="s">
        <v>776</v>
      </c>
      <c r="AH34" s="56" t="s">
        <v>777</v>
      </c>
      <c r="AI34" s="56" t="s">
        <v>778</v>
      </c>
    </row>
    <row r="35" spans="1:35">
      <c r="A35" s="56" t="s">
        <v>6</v>
      </c>
      <c r="B35" s="56" t="s">
        <v>779</v>
      </c>
      <c r="C35" s="56" t="s">
        <v>525</v>
      </c>
      <c r="D35" s="56" t="s">
        <v>674</v>
      </c>
      <c r="E35" s="56" t="s">
        <v>675</v>
      </c>
      <c r="G35" s="56">
        <v>5604</v>
      </c>
      <c r="H35" s="56">
        <v>6661</v>
      </c>
      <c r="I35" s="56">
        <v>5180</v>
      </c>
      <c r="J35" s="56">
        <v>3518</v>
      </c>
      <c r="K35" s="56">
        <v>3611</v>
      </c>
      <c r="L35" s="56">
        <v>7920</v>
      </c>
      <c r="M35" s="56">
        <v>7690</v>
      </c>
      <c r="N35" s="56">
        <v>6017</v>
      </c>
      <c r="O35" s="56">
        <v>7305</v>
      </c>
      <c r="P35" s="56">
        <v>8108</v>
      </c>
      <c r="Q35" s="56">
        <v>6595</v>
      </c>
      <c r="R35" s="56">
        <v>7532</v>
      </c>
      <c r="S35" s="56">
        <v>6975</v>
      </c>
      <c r="T35" s="56">
        <v>5868</v>
      </c>
      <c r="U35" s="56">
        <v>6984</v>
      </c>
      <c r="V35" s="56">
        <v>9926</v>
      </c>
      <c r="W35" s="56">
        <v>10042</v>
      </c>
      <c r="X35" s="56">
        <v>33762</v>
      </c>
      <c r="Y35" s="56">
        <v>11212</v>
      </c>
      <c r="Z35" s="56">
        <v>9526</v>
      </c>
      <c r="AA35" s="56">
        <v>10064</v>
      </c>
      <c r="AB35" s="56">
        <v>3243</v>
      </c>
      <c r="AC35" s="56">
        <v>2929</v>
      </c>
      <c r="AD35" s="56">
        <v>9013</v>
      </c>
      <c r="AE35" s="56">
        <v>8568</v>
      </c>
      <c r="AF35" s="56">
        <v>7500</v>
      </c>
      <c r="AG35" s="56">
        <v>7571</v>
      </c>
      <c r="AH35" s="56">
        <v>8758</v>
      </c>
      <c r="AI35" s="56">
        <f t="shared" ref="AI35:AI43" si="2">AVERAGE(F35:AH35)</f>
        <v>8131.5</v>
      </c>
    </row>
    <row r="36" spans="1:35">
      <c r="A36" s="56" t="s">
        <v>6</v>
      </c>
      <c r="B36" s="56" t="s">
        <v>741</v>
      </c>
      <c r="C36" s="56" t="s">
        <v>525</v>
      </c>
      <c r="D36" s="56" t="s">
        <v>674</v>
      </c>
      <c r="E36" s="56" t="s">
        <v>675</v>
      </c>
      <c r="F36" s="56">
        <v>1716</v>
      </c>
      <c r="G36" s="56">
        <v>1928</v>
      </c>
      <c r="H36" s="56">
        <v>2433</v>
      </c>
      <c r="I36" s="56">
        <v>2141</v>
      </c>
      <c r="J36" s="56">
        <v>3231</v>
      </c>
      <c r="K36" s="56">
        <v>2246</v>
      </c>
      <c r="L36" s="56">
        <v>2464</v>
      </c>
      <c r="M36" s="56">
        <v>2761</v>
      </c>
      <c r="N36" s="56">
        <v>2177</v>
      </c>
      <c r="O36" s="56">
        <v>3353</v>
      </c>
      <c r="P36" s="56">
        <v>2894</v>
      </c>
      <c r="Q36" s="56">
        <v>3056</v>
      </c>
      <c r="R36" s="56">
        <v>2771</v>
      </c>
      <c r="S36" s="56">
        <v>2978</v>
      </c>
      <c r="T36" s="56">
        <v>3104</v>
      </c>
      <c r="U36" s="56">
        <v>3942</v>
      </c>
      <c r="V36" s="56">
        <v>2785</v>
      </c>
      <c r="W36" s="56">
        <v>3505</v>
      </c>
      <c r="X36" s="56">
        <v>3522</v>
      </c>
      <c r="Y36" s="56">
        <v>3552</v>
      </c>
      <c r="Z36" s="56">
        <v>3617</v>
      </c>
      <c r="AA36" s="56">
        <v>3691</v>
      </c>
      <c r="AB36" s="56">
        <v>5058</v>
      </c>
      <c r="AC36" s="56">
        <v>2971</v>
      </c>
      <c r="AD36" s="56">
        <v>4604</v>
      </c>
      <c r="AE36" s="56">
        <v>4907</v>
      </c>
      <c r="AF36" s="56">
        <v>4642</v>
      </c>
      <c r="AG36" s="56">
        <v>5394</v>
      </c>
      <c r="AH36" s="56">
        <v>5480</v>
      </c>
      <c r="AI36" s="56">
        <f t="shared" si="2"/>
        <v>3342.1724137931033</v>
      </c>
    </row>
    <row r="37" spans="1:35">
      <c r="A37" s="56" t="s">
        <v>6</v>
      </c>
      <c r="B37" s="56" t="s">
        <v>765</v>
      </c>
      <c r="C37" s="56" t="s">
        <v>525</v>
      </c>
      <c r="D37" s="56" t="s">
        <v>674</v>
      </c>
      <c r="E37" s="56" t="s">
        <v>675</v>
      </c>
      <c r="F37" s="56">
        <v>9031</v>
      </c>
      <c r="G37" s="56">
        <v>8900</v>
      </c>
      <c r="H37" s="56">
        <v>8867</v>
      </c>
      <c r="I37" s="56">
        <v>9089</v>
      </c>
      <c r="J37" s="56">
        <v>8833</v>
      </c>
      <c r="K37" s="56">
        <v>8824</v>
      </c>
      <c r="L37" s="56">
        <v>8821</v>
      </c>
      <c r="M37" s="56">
        <v>9412</v>
      </c>
      <c r="N37" s="56">
        <v>10000</v>
      </c>
      <c r="O37" s="56">
        <v>11538</v>
      </c>
      <c r="P37" s="56">
        <v>10408</v>
      </c>
      <c r="Q37" s="56">
        <v>9000</v>
      </c>
      <c r="R37" s="56">
        <v>9200</v>
      </c>
      <c r="S37" s="56">
        <v>10000</v>
      </c>
      <c r="T37" s="56">
        <v>13750</v>
      </c>
      <c r="U37" s="56">
        <v>14477</v>
      </c>
      <c r="V37" s="56">
        <v>15556</v>
      </c>
      <c r="W37" s="56">
        <v>14000</v>
      </c>
      <c r="X37" s="56">
        <v>14000</v>
      </c>
      <c r="Y37" s="56">
        <v>14000</v>
      </c>
      <c r="Z37" s="56">
        <v>14000</v>
      </c>
      <c r="AA37" s="56">
        <v>14255</v>
      </c>
      <c r="AB37" s="56">
        <v>14316</v>
      </c>
      <c r="AC37" s="56">
        <v>14462</v>
      </c>
      <c r="AD37" s="56">
        <v>14626</v>
      </c>
      <c r="AE37" s="56">
        <v>14815</v>
      </c>
      <c r="AF37" s="56">
        <v>14667</v>
      </c>
      <c r="AG37" s="56">
        <v>14734</v>
      </c>
      <c r="AH37" s="56">
        <v>14801</v>
      </c>
      <c r="AI37" s="56">
        <f t="shared" si="2"/>
        <v>12013.172413793103</v>
      </c>
    </row>
    <row r="38" spans="1:35">
      <c r="A38" s="56" t="s">
        <v>6</v>
      </c>
      <c r="B38" s="56" t="s">
        <v>744</v>
      </c>
      <c r="C38" s="56" t="s">
        <v>525</v>
      </c>
      <c r="D38" s="56" t="s">
        <v>674</v>
      </c>
      <c r="E38" s="56" t="s">
        <v>675</v>
      </c>
      <c r="Y38" s="56">
        <v>6818</v>
      </c>
      <c r="Z38" s="56">
        <v>7143</v>
      </c>
      <c r="AA38" s="56">
        <v>7143</v>
      </c>
      <c r="AB38" s="56">
        <v>7222</v>
      </c>
      <c r="AC38" s="56">
        <v>7333</v>
      </c>
      <c r="AD38" s="56">
        <v>7380</v>
      </c>
      <c r="AE38" s="56">
        <v>7469</v>
      </c>
      <c r="AF38" s="56">
        <v>7517</v>
      </c>
      <c r="AG38" s="56">
        <v>7593</v>
      </c>
      <c r="AH38" s="56">
        <v>7669</v>
      </c>
      <c r="AI38" s="56">
        <f t="shared" si="2"/>
        <v>7328.7</v>
      </c>
    </row>
    <row r="39" spans="1:35">
      <c r="A39" s="56" t="s">
        <v>6</v>
      </c>
      <c r="B39" s="56" t="s">
        <v>745</v>
      </c>
      <c r="C39" s="56" t="s">
        <v>525</v>
      </c>
      <c r="D39" s="56" t="s">
        <v>674</v>
      </c>
      <c r="E39" s="56" t="s">
        <v>675</v>
      </c>
      <c r="F39" s="56">
        <v>4654</v>
      </c>
      <c r="G39" s="56">
        <v>5502</v>
      </c>
      <c r="H39" s="56">
        <v>7806</v>
      </c>
      <c r="I39" s="56">
        <v>4720</v>
      </c>
      <c r="J39" s="56">
        <v>3783</v>
      </c>
      <c r="K39" s="56">
        <v>4897</v>
      </c>
      <c r="L39" s="56">
        <v>5033</v>
      </c>
      <c r="M39" s="56">
        <v>5863</v>
      </c>
      <c r="N39" s="56">
        <v>4458</v>
      </c>
      <c r="O39" s="56">
        <v>5729</v>
      </c>
      <c r="P39" s="56">
        <v>4820</v>
      </c>
      <c r="Q39" s="56">
        <v>6500</v>
      </c>
      <c r="R39" s="56">
        <v>6897</v>
      </c>
      <c r="S39" s="56">
        <v>6041</v>
      </c>
      <c r="T39" s="56">
        <v>5882</v>
      </c>
      <c r="U39" s="56">
        <v>6247</v>
      </c>
      <c r="V39" s="56">
        <v>7546</v>
      </c>
      <c r="W39" s="56">
        <v>6410</v>
      </c>
      <c r="X39" s="56">
        <v>6332</v>
      </c>
      <c r="Y39" s="56">
        <v>6578</v>
      </c>
      <c r="Z39" s="56">
        <v>6678</v>
      </c>
      <c r="AA39" s="56">
        <v>6887</v>
      </c>
      <c r="AB39" s="56">
        <v>6431</v>
      </c>
      <c r="AC39" s="56">
        <v>6397</v>
      </c>
      <c r="AD39" s="56">
        <v>6653</v>
      </c>
      <c r="AE39" s="56">
        <v>6659</v>
      </c>
      <c r="AF39" s="56">
        <v>7001</v>
      </c>
      <c r="AG39" s="56">
        <v>7371</v>
      </c>
      <c r="AH39" s="56">
        <v>7395</v>
      </c>
      <c r="AI39" s="56">
        <f t="shared" si="2"/>
        <v>6109.3103448275861</v>
      </c>
    </row>
    <row r="40" spans="1:35">
      <c r="A40" s="56" t="s">
        <v>6</v>
      </c>
      <c r="B40" s="56" t="s">
        <v>780</v>
      </c>
      <c r="C40" s="56" t="s">
        <v>525</v>
      </c>
      <c r="D40" s="56" t="s">
        <v>674</v>
      </c>
      <c r="E40" s="56" t="s">
        <v>675</v>
      </c>
      <c r="F40" s="56">
        <v>25584</v>
      </c>
      <c r="G40" s="56">
        <v>25000</v>
      </c>
      <c r="H40" s="56">
        <v>25000</v>
      </c>
      <c r="I40" s="56">
        <v>25000</v>
      </c>
      <c r="J40" s="56">
        <v>25000</v>
      </c>
      <c r="K40" s="56">
        <v>25059</v>
      </c>
      <c r="L40" s="56">
        <v>25040</v>
      </c>
      <c r="M40" s="56">
        <v>25000</v>
      </c>
      <c r="N40" s="56">
        <v>25000</v>
      </c>
      <c r="O40" s="56">
        <v>25939</v>
      </c>
      <c r="P40" s="56">
        <v>26464</v>
      </c>
      <c r="Q40" s="56">
        <v>27510</v>
      </c>
      <c r="R40" s="56">
        <v>28188</v>
      </c>
      <c r="S40" s="56">
        <v>28561</v>
      </c>
      <c r="T40" s="56">
        <v>29189</v>
      </c>
      <c r="U40" s="56">
        <v>30000</v>
      </c>
      <c r="V40" s="56">
        <v>30000</v>
      </c>
      <c r="W40" s="56">
        <v>34286</v>
      </c>
      <c r="X40" s="56">
        <v>33752</v>
      </c>
      <c r="Y40" s="56">
        <v>34063</v>
      </c>
      <c r="Z40" s="56">
        <v>35047</v>
      </c>
      <c r="AA40" s="56">
        <v>35000</v>
      </c>
      <c r="AB40" s="56">
        <v>36923</v>
      </c>
      <c r="AC40" s="56">
        <v>38788</v>
      </c>
      <c r="AD40" s="56">
        <v>39543</v>
      </c>
      <c r="AE40" s="56">
        <v>39870</v>
      </c>
      <c r="AF40" s="56">
        <v>40975</v>
      </c>
      <c r="AG40" s="56">
        <v>41938</v>
      </c>
      <c r="AH40" s="56">
        <v>42901</v>
      </c>
      <c r="AI40" s="56">
        <f t="shared" si="2"/>
        <v>31193.793103448275</v>
      </c>
    </row>
    <row r="41" spans="1:35">
      <c r="A41" s="56" t="s">
        <v>6</v>
      </c>
      <c r="B41" s="56" t="s">
        <v>747</v>
      </c>
      <c r="C41" s="56" t="s">
        <v>525</v>
      </c>
      <c r="D41" s="56" t="s">
        <v>674</v>
      </c>
      <c r="E41" s="56" t="s">
        <v>675</v>
      </c>
      <c r="H41" s="56">
        <v>2857</v>
      </c>
      <c r="I41" s="56">
        <v>2500</v>
      </c>
      <c r="J41" s="56">
        <v>2857</v>
      </c>
      <c r="K41" s="56">
        <v>3052</v>
      </c>
      <c r="L41" s="56">
        <v>3238</v>
      </c>
      <c r="M41" s="56">
        <v>3333</v>
      </c>
      <c r="N41" s="56">
        <v>4000</v>
      </c>
      <c r="O41" s="56">
        <v>5200</v>
      </c>
      <c r="P41" s="56">
        <v>6667</v>
      </c>
      <c r="Q41" s="56">
        <v>6730</v>
      </c>
      <c r="R41" s="56">
        <v>7110</v>
      </c>
      <c r="S41" s="56">
        <v>6796</v>
      </c>
      <c r="T41" s="56">
        <v>6491</v>
      </c>
      <c r="U41" s="56">
        <v>6939</v>
      </c>
      <c r="V41" s="56">
        <v>7143</v>
      </c>
      <c r="W41" s="56">
        <v>8571</v>
      </c>
      <c r="X41" s="56">
        <v>8571</v>
      </c>
      <c r="Y41" s="56">
        <v>8422</v>
      </c>
      <c r="Z41" s="56">
        <v>8571</v>
      </c>
      <c r="AA41" s="56">
        <v>8636</v>
      </c>
      <c r="AB41" s="56">
        <v>8421</v>
      </c>
      <c r="AC41" s="56">
        <v>8843</v>
      </c>
      <c r="AD41" s="56">
        <v>9196</v>
      </c>
      <c r="AE41" s="56">
        <v>9529</v>
      </c>
      <c r="AF41" s="56">
        <v>9542</v>
      </c>
      <c r="AG41" s="56">
        <v>9702</v>
      </c>
      <c r="AH41" s="56">
        <v>9862</v>
      </c>
      <c r="AI41" s="56">
        <f t="shared" si="2"/>
        <v>6769.5925925925922</v>
      </c>
    </row>
    <row r="42" spans="1:35">
      <c r="A42" s="56" t="s">
        <v>6</v>
      </c>
      <c r="B42" s="56" t="s">
        <v>750</v>
      </c>
      <c r="C42" s="56" t="s">
        <v>525</v>
      </c>
      <c r="D42" s="56" t="s">
        <v>674</v>
      </c>
      <c r="E42" s="56" t="s">
        <v>675</v>
      </c>
      <c r="T42" s="56">
        <v>4200</v>
      </c>
      <c r="U42" s="56">
        <v>4231</v>
      </c>
      <c r="V42" s="56">
        <v>4091</v>
      </c>
      <c r="W42" s="56">
        <v>4167</v>
      </c>
      <c r="X42" s="56">
        <v>4348</v>
      </c>
      <c r="Y42" s="56">
        <v>4000</v>
      </c>
      <c r="Z42" s="56">
        <v>4000</v>
      </c>
      <c r="AA42" s="56">
        <v>4074</v>
      </c>
      <c r="AB42" s="56">
        <v>4286</v>
      </c>
      <c r="AC42" s="56">
        <v>5000</v>
      </c>
      <c r="AD42" s="56">
        <v>4724</v>
      </c>
      <c r="AE42" s="56">
        <v>4390</v>
      </c>
      <c r="AF42" s="56">
        <v>4378</v>
      </c>
      <c r="AG42" s="56">
        <v>4392</v>
      </c>
      <c r="AH42" s="56">
        <v>4405</v>
      </c>
      <c r="AI42" s="56">
        <f t="shared" si="2"/>
        <v>4312.3999999999996</v>
      </c>
    </row>
    <row r="43" spans="1:35">
      <c r="A43" s="56" t="s">
        <v>6</v>
      </c>
      <c r="B43" s="56" t="s">
        <v>751</v>
      </c>
      <c r="C43" s="56" t="s">
        <v>525</v>
      </c>
      <c r="D43" s="56" t="s">
        <v>674</v>
      </c>
      <c r="E43" s="56" t="s">
        <v>675</v>
      </c>
      <c r="F43" s="56">
        <v>9031</v>
      </c>
      <c r="G43" s="56">
        <v>8900</v>
      </c>
      <c r="H43" s="56">
        <v>8867</v>
      </c>
      <c r="I43" s="56">
        <v>9089</v>
      </c>
      <c r="J43" s="56">
        <v>8833</v>
      </c>
      <c r="K43" s="56">
        <v>8824</v>
      </c>
      <c r="L43" s="56">
        <v>8821</v>
      </c>
      <c r="M43" s="56">
        <v>9412</v>
      </c>
      <c r="N43" s="56">
        <v>10000</v>
      </c>
      <c r="O43" s="56">
        <v>11538</v>
      </c>
      <c r="P43" s="56">
        <v>10408</v>
      </c>
      <c r="Q43" s="56">
        <v>9000</v>
      </c>
      <c r="R43" s="56">
        <v>9200</v>
      </c>
      <c r="S43" s="56">
        <v>10000</v>
      </c>
      <c r="T43" s="56">
        <v>13750</v>
      </c>
      <c r="U43" s="56">
        <v>14477</v>
      </c>
      <c r="V43" s="56">
        <v>15556</v>
      </c>
      <c r="W43" s="56">
        <v>14000</v>
      </c>
      <c r="X43" s="56">
        <v>14000</v>
      </c>
      <c r="Y43" s="56">
        <v>14000</v>
      </c>
      <c r="Z43" s="56">
        <v>14000</v>
      </c>
      <c r="AA43" s="56">
        <v>14255</v>
      </c>
      <c r="AB43" s="56">
        <v>14316</v>
      </c>
      <c r="AC43" s="56">
        <v>14462</v>
      </c>
      <c r="AD43" s="56">
        <v>14626</v>
      </c>
      <c r="AE43" s="56">
        <v>14815</v>
      </c>
      <c r="AF43" s="56">
        <v>14667</v>
      </c>
      <c r="AG43" s="56">
        <v>14734</v>
      </c>
      <c r="AH43" s="56">
        <v>14801</v>
      </c>
      <c r="AI43" s="56">
        <f t="shared" si="2"/>
        <v>12013.172413793103</v>
      </c>
    </row>
    <row r="44" spans="1:35">
      <c r="AI44" s="56">
        <f>AVERAGE(AI35:AI43)</f>
        <v>10134.868142471974</v>
      </c>
    </row>
    <row r="46" spans="1:35">
      <c r="A46" s="56" t="s">
        <v>559</v>
      </c>
      <c r="B46" s="56" t="s">
        <v>560</v>
      </c>
      <c r="C46" s="56" t="s">
        <v>561</v>
      </c>
      <c r="D46" s="56" t="s">
        <v>562</v>
      </c>
      <c r="E46" s="56" t="s">
        <v>563</v>
      </c>
      <c r="F46" s="56" t="s">
        <v>679</v>
      </c>
      <c r="G46" s="56" t="s">
        <v>680</v>
      </c>
      <c r="H46" s="56" t="s">
        <v>681</v>
      </c>
      <c r="I46" s="56" t="s">
        <v>682</v>
      </c>
      <c r="J46" s="56" t="s">
        <v>683</v>
      </c>
      <c r="K46" s="56" t="s">
        <v>684</v>
      </c>
      <c r="L46" s="56" t="s">
        <v>685</v>
      </c>
      <c r="M46" s="56" t="s">
        <v>686</v>
      </c>
      <c r="N46" s="56" t="s">
        <v>687</v>
      </c>
      <c r="O46" s="56" t="s">
        <v>688</v>
      </c>
      <c r="P46" s="56" t="s">
        <v>689</v>
      </c>
      <c r="Q46" s="56" t="s">
        <v>690</v>
      </c>
      <c r="R46" s="56" t="s">
        <v>691</v>
      </c>
      <c r="S46" s="56" t="s">
        <v>692</v>
      </c>
      <c r="T46" s="56" t="s">
        <v>693</v>
      </c>
      <c r="U46" s="56" t="s">
        <v>694</v>
      </c>
      <c r="V46" s="56" t="s">
        <v>695</v>
      </c>
      <c r="W46" s="56" t="s">
        <v>696</v>
      </c>
      <c r="X46" s="56" t="s">
        <v>697</v>
      </c>
      <c r="Y46" s="56" t="s">
        <v>698</v>
      </c>
      <c r="Z46" s="56" t="s">
        <v>699</v>
      </c>
      <c r="AA46" s="56" t="s">
        <v>700</v>
      </c>
      <c r="AB46" s="56" t="s">
        <v>701</v>
      </c>
      <c r="AC46" s="56" t="s">
        <v>702</v>
      </c>
      <c r="AD46" s="56" t="s">
        <v>703</v>
      </c>
      <c r="AE46" s="56" t="s">
        <v>774</v>
      </c>
      <c r="AF46" s="56" t="s">
        <v>775</v>
      </c>
      <c r="AG46" s="56" t="s">
        <v>776</v>
      </c>
      <c r="AH46" s="56" t="s">
        <v>777</v>
      </c>
      <c r="AI46" s="56" t="s">
        <v>778</v>
      </c>
    </row>
    <row r="47" spans="1:35">
      <c r="A47" s="56" t="s">
        <v>6</v>
      </c>
      <c r="B47" s="56" t="s">
        <v>767</v>
      </c>
      <c r="C47" s="56" t="s">
        <v>524</v>
      </c>
      <c r="D47" s="56" t="s">
        <v>674</v>
      </c>
      <c r="E47" s="56" t="s">
        <v>675</v>
      </c>
      <c r="F47" s="56">
        <v>76875</v>
      </c>
      <c r="G47" s="56">
        <v>77872</v>
      </c>
      <c r="H47" s="56">
        <v>68864</v>
      </c>
      <c r="I47" s="56">
        <v>68565</v>
      </c>
      <c r="J47" s="56">
        <v>58795</v>
      </c>
      <c r="K47" s="56">
        <v>59168</v>
      </c>
      <c r="L47" s="56">
        <v>56909</v>
      </c>
      <c r="M47" s="56">
        <v>62338</v>
      </c>
      <c r="N47" s="56">
        <v>60595</v>
      </c>
      <c r="O47" s="56">
        <v>60593</v>
      </c>
      <c r="P47" s="56">
        <v>56535</v>
      </c>
      <c r="Q47" s="56">
        <v>62332</v>
      </c>
      <c r="R47" s="56">
        <v>57004</v>
      </c>
      <c r="S47" s="56">
        <v>58586</v>
      </c>
      <c r="T47" s="56">
        <v>58369</v>
      </c>
      <c r="U47" s="56">
        <v>59768</v>
      </c>
      <c r="V47" s="56">
        <v>56183</v>
      </c>
      <c r="W47" s="56">
        <v>61007</v>
      </c>
      <c r="X47" s="56">
        <v>60518</v>
      </c>
      <c r="Y47" s="56">
        <v>62447</v>
      </c>
      <c r="Z47" s="56">
        <v>61679</v>
      </c>
      <c r="AA47" s="56">
        <v>65603</v>
      </c>
      <c r="AB47" s="56">
        <v>40837</v>
      </c>
      <c r="AC47" s="56">
        <v>35172</v>
      </c>
      <c r="AD47" s="56">
        <v>40805</v>
      </c>
      <c r="AE47" s="56">
        <v>39169</v>
      </c>
      <c r="AF47" s="56">
        <v>37995</v>
      </c>
      <c r="AG47" s="56">
        <v>39011</v>
      </c>
      <c r="AH47" s="56">
        <v>39808</v>
      </c>
      <c r="AI47" s="56">
        <f>AVERAGE(F47:AH47)</f>
        <v>56669.034482758623</v>
      </c>
    </row>
    <row r="48" spans="1:35">
      <c r="A48" s="56" t="s">
        <v>6</v>
      </c>
      <c r="B48" s="56" t="s">
        <v>754</v>
      </c>
      <c r="C48" s="56" t="s">
        <v>524</v>
      </c>
      <c r="D48" s="56" t="s">
        <v>674</v>
      </c>
      <c r="E48" s="56" t="s">
        <v>675</v>
      </c>
      <c r="F48" s="56">
        <v>52347</v>
      </c>
      <c r="G48" s="56">
        <v>44154</v>
      </c>
      <c r="H48" s="56">
        <v>40942</v>
      </c>
      <c r="I48" s="56">
        <v>39256</v>
      </c>
      <c r="J48" s="56">
        <v>55363</v>
      </c>
      <c r="K48" s="56">
        <v>57662</v>
      </c>
      <c r="L48" s="56">
        <v>16660</v>
      </c>
      <c r="M48" s="56">
        <v>64632</v>
      </c>
      <c r="N48" s="56">
        <v>44098</v>
      </c>
      <c r="O48" s="56">
        <v>45634</v>
      </c>
      <c r="P48" s="56">
        <v>16750</v>
      </c>
      <c r="Q48" s="56">
        <v>7389</v>
      </c>
      <c r="R48" s="56">
        <v>36466</v>
      </c>
      <c r="S48" s="56">
        <v>17506</v>
      </c>
      <c r="T48" s="56">
        <v>6830</v>
      </c>
      <c r="U48" s="56">
        <v>30252</v>
      </c>
      <c r="V48" s="56">
        <v>74020</v>
      </c>
      <c r="W48" s="56">
        <v>87500</v>
      </c>
      <c r="X48" s="56">
        <v>66817</v>
      </c>
      <c r="Y48" s="56">
        <v>66817</v>
      </c>
      <c r="Z48" s="56">
        <v>78823</v>
      </c>
      <c r="AA48" s="56">
        <v>79264</v>
      </c>
      <c r="AB48" s="56">
        <v>33351</v>
      </c>
      <c r="AC48" s="56">
        <v>21958</v>
      </c>
      <c r="AD48" s="56">
        <v>31149</v>
      </c>
      <c r="AE48" s="56">
        <v>35524</v>
      </c>
      <c r="AF48" s="56">
        <v>33419</v>
      </c>
      <c r="AG48" s="56">
        <v>34446</v>
      </c>
      <c r="AH48" s="56">
        <v>36629</v>
      </c>
      <c r="AI48" s="56">
        <f>AVERAGE(F48:AH48)</f>
        <v>43298.551724137928</v>
      </c>
    </row>
    <row r="49" spans="1:35">
      <c r="A49" s="56" t="s">
        <v>6</v>
      </c>
      <c r="B49" s="56" t="s">
        <v>781</v>
      </c>
      <c r="C49" s="56" t="s">
        <v>524</v>
      </c>
      <c r="D49" s="56" t="s">
        <v>674</v>
      </c>
      <c r="E49" s="56" t="s">
        <v>675</v>
      </c>
      <c r="F49" s="56">
        <v>17017</v>
      </c>
      <c r="G49" s="56">
        <v>24189</v>
      </c>
      <c r="H49" s="56">
        <v>16981</v>
      </c>
      <c r="I49" s="56">
        <v>23079</v>
      </c>
      <c r="J49" s="56">
        <v>21712</v>
      </c>
      <c r="K49" s="56">
        <v>20547</v>
      </c>
      <c r="L49" s="56">
        <v>10791</v>
      </c>
      <c r="M49" s="56">
        <v>11515</v>
      </c>
      <c r="N49" s="56">
        <v>11388</v>
      </c>
      <c r="O49" s="56">
        <v>15827</v>
      </c>
      <c r="P49" s="56">
        <v>10150</v>
      </c>
      <c r="Q49" s="56">
        <v>11229</v>
      </c>
      <c r="R49" s="56">
        <v>15726</v>
      </c>
      <c r="S49" s="56">
        <v>9058</v>
      </c>
      <c r="T49" s="56">
        <v>9773</v>
      </c>
      <c r="U49" s="56">
        <v>12267</v>
      </c>
      <c r="V49" s="56">
        <v>11606</v>
      </c>
      <c r="W49" s="56">
        <v>12917</v>
      </c>
      <c r="X49" s="56">
        <v>11999</v>
      </c>
      <c r="Y49" s="56">
        <v>11707</v>
      </c>
      <c r="Z49" s="56">
        <v>11690</v>
      </c>
      <c r="AA49" s="56">
        <v>11672</v>
      </c>
      <c r="AB49" s="56">
        <v>27025</v>
      </c>
      <c r="AC49" s="56">
        <v>15071</v>
      </c>
      <c r="AD49" s="56">
        <v>28487</v>
      </c>
      <c r="AE49" s="56">
        <v>13190</v>
      </c>
      <c r="AF49" s="56">
        <v>13691</v>
      </c>
      <c r="AG49" s="56">
        <v>13231</v>
      </c>
      <c r="AH49" s="56">
        <v>13371</v>
      </c>
      <c r="AI49" s="56">
        <f>AVERAGE(F49:AH49)</f>
        <v>15065.724137931034</v>
      </c>
    </row>
    <row r="50" spans="1:35">
      <c r="A50" s="56" t="s">
        <v>6</v>
      </c>
      <c r="B50" s="56" t="s">
        <v>755</v>
      </c>
      <c r="C50" s="56" t="s">
        <v>524</v>
      </c>
      <c r="D50" s="56" t="s">
        <v>674</v>
      </c>
      <c r="E50" s="56" t="s">
        <v>675</v>
      </c>
      <c r="F50" s="56">
        <v>90677</v>
      </c>
      <c r="G50" s="56">
        <v>90282</v>
      </c>
      <c r="H50" s="56">
        <v>83257</v>
      </c>
      <c r="I50" s="56">
        <v>103394</v>
      </c>
      <c r="J50" s="56">
        <v>98169</v>
      </c>
      <c r="K50" s="56">
        <v>85835</v>
      </c>
      <c r="L50" s="56">
        <v>87220</v>
      </c>
      <c r="M50" s="56">
        <v>109866</v>
      </c>
      <c r="N50" s="56">
        <v>99128</v>
      </c>
      <c r="O50" s="56">
        <v>109226</v>
      </c>
      <c r="P50" s="56">
        <v>109974</v>
      </c>
      <c r="Q50" s="56">
        <v>113781</v>
      </c>
      <c r="R50" s="56">
        <v>106330</v>
      </c>
      <c r="S50" s="56">
        <v>106088</v>
      </c>
      <c r="T50" s="56">
        <v>109689</v>
      </c>
      <c r="U50" s="56">
        <v>101513</v>
      </c>
      <c r="V50" s="56">
        <v>103087</v>
      </c>
      <c r="W50" s="56">
        <v>105737</v>
      </c>
      <c r="X50" s="56">
        <v>103265</v>
      </c>
      <c r="Y50" s="56">
        <v>101826</v>
      </c>
      <c r="Z50" s="56">
        <v>99328</v>
      </c>
      <c r="AA50" s="56">
        <v>102175</v>
      </c>
      <c r="AB50" s="56">
        <v>81334</v>
      </c>
      <c r="AC50" s="56">
        <v>98333</v>
      </c>
      <c r="AD50" s="56">
        <v>78111</v>
      </c>
      <c r="AE50" s="56">
        <v>90271</v>
      </c>
      <c r="AF50" s="56">
        <v>89385</v>
      </c>
      <c r="AG50" s="56">
        <v>91188</v>
      </c>
      <c r="AH50" s="56">
        <v>91503</v>
      </c>
      <c r="AI50" s="56">
        <f>AVERAGE(F50:AH50)</f>
        <v>97930.068965517246</v>
      </c>
    </row>
    <row r="51" spans="1:35">
      <c r="AI51" s="56">
        <f>AVERAGE(AI47:AI50)</f>
        <v>53240.844827586203</v>
      </c>
    </row>
  </sheetData>
  <pageMargins left="0.7" right="0.7" top="0.75" bottom="0.75" header="0.3" footer="0.3"/>
  <pageSetup orientation="portrait" r:id="rId1"/>
  <tableParts count="5">
    <tablePart r:id="rId2"/>
    <tablePart r:id="rId3"/>
    <tablePart r:id="rId4"/>
    <tablePart r:id="rId5"/>
    <tablePart r:id="rId6"/>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47DE24-B756-4C48-8C00-4E85257A66E8}">
  <sheetPr codeName="Sheet5">
    <tabColor rgb="FFFF0000"/>
  </sheetPr>
  <dimension ref="A1:AC74"/>
  <sheetViews>
    <sheetView zoomScale="85" zoomScaleNormal="85" workbookViewId="0">
      <pane xSplit="1" topLeftCell="B1" activePane="topRight" state="frozen"/>
      <selection pane="topRight" activeCell="C61" sqref="C61"/>
    </sheetView>
  </sheetViews>
  <sheetFormatPr defaultColWidth="11.42578125" defaultRowHeight="14.45"/>
  <cols>
    <col min="1" max="1" width="18" style="122" customWidth="1"/>
    <col min="2" max="2" width="77.42578125" style="122" customWidth="1"/>
    <col min="3" max="3" width="24.85546875" style="122" bestFit="1" customWidth="1"/>
    <col min="4" max="4" width="20.85546875" style="122" customWidth="1"/>
    <col min="5" max="5" width="16.42578125" style="122" bestFit="1" customWidth="1"/>
    <col min="6" max="23" width="15.7109375" style="122" bestFit="1" customWidth="1"/>
    <col min="24" max="24" width="15" style="122" customWidth="1"/>
    <col min="25" max="25" width="17.28515625" style="122" customWidth="1"/>
    <col min="26" max="26" width="17.42578125" style="122" customWidth="1"/>
    <col min="27" max="27" width="16.140625" style="122" customWidth="1"/>
    <col min="28" max="28" width="14.85546875" style="122" customWidth="1"/>
    <col min="29" max="29" width="17.7109375" style="122" customWidth="1"/>
    <col min="30" max="16384" width="11.42578125" style="122"/>
  </cols>
  <sheetData>
    <row r="1" spans="1:29" ht="17.45">
      <c r="A1" s="152"/>
      <c r="B1" s="152"/>
      <c r="C1" s="152"/>
      <c r="D1" s="156" t="s">
        <v>13</v>
      </c>
      <c r="E1" s="152"/>
      <c r="F1" s="152"/>
      <c r="G1" s="152"/>
      <c r="H1" s="152"/>
      <c r="I1" s="152"/>
      <c r="J1" s="152"/>
      <c r="K1" s="152"/>
      <c r="L1" s="152"/>
      <c r="M1" s="152"/>
      <c r="N1" s="152"/>
      <c r="O1" s="152"/>
      <c r="P1" s="152"/>
      <c r="Q1" s="152"/>
      <c r="R1" s="152"/>
      <c r="S1" s="152"/>
      <c r="T1" s="152"/>
      <c r="U1" s="152"/>
      <c r="V1" s="152"/>
      <c r="W1" s="152"/>
      <c r="X1" s="152"/>
      <c r="Y1" s="152"/>
      <c r="Z1" s="152"/>
      <c r="AA1" s="152"/>
      <c r="AB1" s="152"/>
    </row>
    <row r="2" spans="1:29">
      <c r="A2" s="152"/>
      <c r="B2" s="151"/>
      <c r="C2" s="155"/>
      <c r="E2" s="155"/>
      <c r="F2" s="155"/>
      <c r="G2" s="155"/>
      <c r="H2" s="155"/>
      <c r="I2" s="155"/>
      <c r="J2" s="155"/>
      <c r="K2" s="155"/>
      <c r="L2" s="155"/>
      <c r="M2" s="155"/>
      <c r="N2" s="155"/>
      <c r="O2" s="155"/>
      <c r="P2" s="155"/>
      <c r="Q2" s="155"/>
      <c r="R2" s="155"/>
      <c r="S2" s="155"/>
      <c r="T2" s="155"/>
      <c r="U2" s="155"/>
      <c r="V2" s="155"/>
      <c r="W2" s="155"/>
      <c r="X2" s="155"/>
      <c r="Y2" s="155"/>
      <c r="Z2" s="155"/>
      <c r="AA2" s="155"/>
      <c r="AB2" s="155"/>
    </row>
    <row r="3" spans="1:29" ht="17.45">
      <c r="A3" s="152"/>
      <c r="B3" s="151" t="s">
        <v>14</v>
      </c>
      <c r="C3" s="152"/>
      <c r="D3" s="152"/>
      <c r="E3" s="152"/>
      <c r="F3" s="155"/>
      <c r="G3" s="159" t="s">
        <v>66</v>
      </c>
      <c r="H3" s="158"/>
      <c r="I3" s="155"/>
      <c r="J3" s="155"/>
      <c r="K3" s="155"/>
      <c r="L3" s="155"/>
      <c r="M3" s="155"/>
      <c r="N3" s="155"/>
      <c r="O3" s="155"/>
      <c r="P3" s="155"/>
      <c r="Q3" s="155"/>
      <c r="R3" s="155"/>
      <c r="S3" s="155"/>
      <c r="T3" s="155"/>
      <c r="U3" s="155"/>
      <c r="V3" s="155"/>
      <c r="W3" s="155"/>
      <c r="X3" s="155"/>
      <c r="Y3" s="155"/>
      <c r="Z3" s="155"/>
      <c r="AA3" s="155"/>
      <c r="AB3" s="155"/>
    </row>
    <row r="4" spans="1:29">
      <c r="A4" s="152"/>
      <c r="B4" s="153" t="s">
        <v>16</v>
      </c>
      <c r="C4" s="152"/>
      <c r="D4" s="152"/>
      <c r="E4" s="152"/>
      <c r="F4" s="155"/>
      <c r="G4" s="837" t="s">
        <v>17</v>
      </c>
      <c r="H4" s="155"/>
      <c r="I4" s="155"/>
      <c r="J4" s="194">
        <f>+'Emissions CalculationsGuinea '!J4+'Emissions CalculationsSenegal'!J4+'Emissions CalculationsTogo'!J4</f>
        <v>2.5857480000000002</v>
      </c>
      <c r="K4" s="194"/>
      <c r="L4" s="155"/>
      <c r="M4" s="155"/>
      <c r="N4" s="155"/>
      <c r="O4" s="155"/>
      <c r="P4" s="155"/>
      <c r="Q4" s="155"/>
      <c r="R4" s="155"/>
      <c r="S4" s="155"/>
      <c r="T4" s="155"/>
      <c r="U4" s="155"/>
      <c r="V4" s="155"/>
      <c r="W4" s="155"/>
      <c r="X4" s="155"/>
      <c r="Y4" s="155"/>
      <c r="Z4" s="155"/>
      <c r="AA4" s="155"/>
      <c r="AB4" s="155"/>
    </row>
    <row r="5" spans="1:29" ht="17.45">
      <c r="A5" s="152"/>
      <c r="B5" s="154" t="s">
        <v>18</v>
      </c>
      <c r="C5" s="152"/>
      <c r="D5" s="152"/>
      <c r="E5" s="152"/>
      <c r="F5" s="155"/>
      <c r="G5" s="837" t="s">
        <v>19</v>
      </c>
      <c r="H5" s="156"/>
      <c r="I5" s="155"/>
      <c r="J5" s="194">
        <f>+'Emissions CalculationsGuinea '!J5+'Emissions CalculationsSenegal'!J5+'Emissions CalculationsTogo'!J5</f>
        <v>14.690266840961538</v>
      </c>
      <c r="K5" s="194">
        <f>J5+J4</f>
        <v>17.276014840961537</v>
      </c>
      <c r="L5" s="155"/>
      <c r="M5" s="155"/>
      <c r="N5" s="155"/>
      <c r="O5" s="155"/>
      <c r="P5" s="155"/>
      <c r="Q5" s="155"/>
      <c r="R5" s="155"/>
      <c r="S5" s="155"/>
      <c r="T5" s="155"/>
      <c r="U5" s="155"/>
      <c r="V5" s="155"/>
      <c r="W5" s="155"/>
      <c r="X5" s="155"/>
      <c r="Y5" s="155"/>
      <c r="Z5" s="155"/>
      <c r="AA5" s="155"/>
      <c r="AB5" s="155"/>
    </row>
    <row r="6" spans="1:29" ht="17.45">
      <c r="A6" s="152"/>
      <c r="B6" s="151"/>
      <c r="C6" s="155"/>
      <c r="D6" s="156"/>
      <c r="E6" s="155"/>
      <c r="F6" s="155"/>
      <c r="G6" s="837" t="s">
        <v>20</v>
      </c>
      <c r="H6" s="155"/>
      <c r="I6" s="155"/>
      <c r="J6" s="160">
        <f>+'SCPZ Biogas Assump&amp; Estimation'!E32</f>
        <v>24576.661860096156</v>
      </c>
      <c r="K6" s="155"/>
      <c r="L6" s="155"/>
      <c r="M6" s="155"/>
      <c r="N6" s="155"/>
      <c r="O6" s="155"/>
      <c r="P6" s="155"/>
      <c r="Q6" s="155"/>
      <c r="R6" s="155"/>
      <c r="S6" s="155"/>
      <c r="T6" s="155"/>
      <c r="U6" s="155"/>
      <c r="V6" s="155"/>
      <c r="W6" s="155"/>
      <c r="X6" s="155"/>
      <c r="Y6" s="155"/>
      <c r="Z6" s="155"/>
      <c r="AA6" s="155"/>
      <c r="AB6" s="155"/>
    </row>
    <row r="7" spans="1:29">
      <c r="A7" s="152"/>
      <c r="B7" s="151"/>
      <c r="C7" s="155"/>
      <c r="D7" s="155"/>
      <c r="E7" s="155"/>
      <c r="F7" s="155"/>
      <c r="G7" s="155"/>
      <c r="H7" s="155"/>
      <c r="I7" s="155"/>
      <c r="J7" s="155"/>
      <c r="K7" s="155"/>
      <c r="L7" s="155"/>
      <c r="M7" s="155"/>
      <c r="N7" s="155"/>
      <c r="O7" s="155"/>
      <c r="P7" s="155"/>
      <c r="Q7" s="155"/>
      <c r="R7" s="155"/>
      <c r="S7" s="155"/>
      <c r="T7" s="155"/>
      <c r="U7" s="155"/>
      <c r="V7" s="155"/>
      <c r="W7" s="155"/>
      <c r="X7" s="155"/>
      <c r="Y7" s="155"/>
      <c r="Z7" s="155"/>
      <c r="AA7" s="155"/>
      <c r="AB7" s="155"/>
    </row>
    <row r="8" spans="1:29">
      <c r="A8" s="157" t="s">
        <v>21</v>
      </c>
      <c r="B8" s="153"/>
      <c r="C8" s="184"/>
      <c r="D8" s="161"/>
      <c r="E8" s="161"/>
      <c r="F8" s="161"/>
      <c r="G8" s="161"/>
      <c r="H8" s="161"/>
      <c r="I8" s="161"/>
      <c r="J8" s="161"/>
      <c r="K8" s="161"/>
      <c r="L8" s="161"/>
      <c r="M8" s="161"/>
      <c r="N8" s="161"/>
      <c r="O8" s="161"/>
      <c r="P8" s="161"/>
      <c r="Q8" s="161"/>
      <c r="R8" s="161"/>
      <c r="S8" s="161"/>
      <c r="T8" s="161"/>
      <c r="U8" s="161"/>
      <c r="V8" s="161"/>
      <c r="W8" s="161"/>
      <c r="X8" s="161"/>
      <c r="Y8" s="161"/>
      <c r="Z8" s="161"/>
      <c r="AA8" s="161"/>
      <c r="AB8" s="161"/>
    </row>
    <row r="9" spans="1:29">
      <c r="A9" s="152"/>
      <c r="B9" s="151" t="s">
        <v>23</v>
      </c>
      <c r="C9" s="162">
        <f>5*365</f>
        <v>1825</v>
      </c>
      <c r="D9" s="163"/>
      <c r="E9" s="163"/>
      <c r="F9" s="163"/>
      <c r="G9" s="163"/>
      <c r="H9" s="163"/>
      <c r="I9" s="163"/>
      <c r="J9" s="163"/>
      <c r="K9" s="163"/>
      <c r="L9" s="163"/>
      <c r="M9" s="163"/>
      <c r="N9" s="163"/>
      <c r="O9" s="163"/>
      <c r="P9" s="163"/>
      <c r="Q9" s="163"/>
      <c r="R9" s="163"/>
      <c r="S9" s="163"/>
      <c r="T9" s="163"/>
      <c r="U9" s="163"/>
      <c r="V9" s="163"/>
      <c r="W9" s="163"/>
      <c r="X9" s="163"/>
      <c r="Y9" s="163"/>
      <c r="Z9" s="163"/>
      <c r="AA9" s="163"/>
      <c r="AB9" s="163"/>
    </row>
    <row r="10" spans="1:29">
      <c r="A10" s="152"/>
      <c r="B10" s="151" t="s">
        <v>24</v>
      </c>
      <c r="C10" s="162">
        <f>12*365</f>
        <v>4380</v>
      </c>
      <c r="D10" s="163"/>
      <c r="E10" s="163"/>
      <c r="F10" s="163"/>
      <c r="G10" s="163"/>
      <c r="H10" s="163"/>
      <c r="I10" s="163"/>
      <c r="J10" s="163"/>
      <c r="K10" s="163"/>
      <c r="L10" s="163"/>
      <c r="M10" s="163"/>
      <c r="N10" s="163"/>
      <c r="O10" s="163"/>
      <c r="P10" s="163"/>
      <c r="Q10" s="163"/>
      <c r="R10" s="163"/>
      <c r="S10" s="163"/>
      <c r="T10" s="163"/>
      <c r="U10" s="163"/>
      <c r="V10" s="163"/>
      <c r="W10" s="163"/>
      <c r="X10" s="163"/>
      <c r="Y10" s="163"/>
      <c r="Z10" s="163"/>
      <c r="AA10" s="163"/>
      <c r="AB10" s="163"/>
    </row>
    <row r="11" spans="1:29">
      <c r="A11" s="152"/>
      <c r="B11" s="151" t="s">
        <v>25</v>
      </c>
      <c r="C11" s="162">
        <f>12*365</f>
        <v>4380</v>
      </c>
      <c r="D11" s="163"/>
      <c r="E11" s="163"/>
      <c r="F11" s="163"/>
      <c r="G11" s="163"/>
      <c r="H11" s="163"/>
      <c r="I11" s="163"/>
      <c r="J11" s="163"/>
      <c r="K11" s="163"/>
      <c r="L11" s="163"/>
      <c r="M11" s="163"/>
      <c r="N11" s="163"/>
      <c r="O11" s="163"/>
      <c r="P11" s="163"/>
      <c r="Q11" s="163"/>
      <c r="R11" s="163"/>
      <c r="S11" s="163"/>
      <c r="T11" s="163"/>
      <c r="U11" s="163"/>
      <c r="V11" s="163"/>
      <c r="W11" s="163"/>
      <c r="X11" s="163"/>
      <c r="Y11" s="163"/>
      <c r="Z11" s="163"/>
      <c r="AA11" s="163"/>
      <c r="AB11" s="163"/>
    </row>
    <row r="12" spans="1:29">
      <c r="A12" s="152"/>
      <c r="B12" s="151" t="s">
        <v>26</v>
      </c>
      <c r="C12" s="162">
        <v>0.8</v>
      </c>
      <c r="D12" s="163"/>
      <c r="E12" s="163"/>
      <c r="F12" s="163"/>
      <c r="G12" s="163"/>
      <c r="H12" s="163"/>
      <c r="I12" s="163"/>
      <c r="J12" s="163"/>
      <c r="K12" s="163"/>
      <c r="L12" s="163"/>
      <c r="M12" s="163"/>
      <c r="N12" s="163"/>
      <c r="O12" s="163"/>
      <c r="P12" s="163"/>
      <c r="Q12" s="163"/>
      <c r="R12" s="163"/>
      <c r="S12" s="163"/>
      <c r="T12" s="163"/>
      <c r="U12" s="163"/>
      <c r="V12" s="163"/>
      <c r="W12" s="163"/>
      <c r="X12" s="163"/>
      <c r="Y12" s="163"/>
      <c r="Z12" s="163"/>
      <c r="AA12" s="163"/>
      <c r="AB12" s="163"/>
      <c r="AC12" s="838">
        <f>AC19*1000</f>
        <v>1121677515.1524816</v>
      </c>
    </row>
    <row r="13" spans="1:29">
      <c r="A13" s="152"/>
      <c r="B13" s="151" t="s">
        <v>27</v>
      </c>
      <c r="C13" s="162">
        <v>25</v>
      </c>
      <c r="D13" s="163"/>
      <c r="E13" s="163"/>
      <c r="F13" s="163"/>
      <c r="G13" s="163"/>
      <c r="H13" s="163"/>
      <c r="I13" s="163"/>
      <c r="J13" s="163"/>
      <c r="K13" s="163"/>
      <c r="L13" s="163"/>
      <c r="M13" s="163"/>
      <c r="N13" s="163"/>
      <c r="O13" s="163"/>
      <c r="P13" s="163"/>
      <c r="Q13" s="163"/>
      <c r="R13" s="163"/>
      <c r="S13" s="163"/>
      <c r="T13" s="163"/>
      <c r="U13" s="163"/>
      <c r="V13" s="163"/>
      <c r="W13" s="163"/>
      <c r="X13" s="163"/>
      <c r="Y13" s="163"/>
      <c r="Z13" s="163"/>
      <c r="AA13" s="163"/>
      <c r="AB13" s="163"/>
    </row>
    <row r="14" spans="1:29">
      <c r="A14" s="152"/>
      <c r="B14" s="151" t="s">
        <v>28</v>
      </c>
      <c r="C14" s="165">
        <f>+J6/'SCPZ Biogas Assump&amp; Estimation'!E32</f>
        <v>1</v>
      </c>
      <c r="D14" s="163"/>
      <c r="E14" s="163"/>
      <c r="F14" s="163"/>
      <c r="G14" s="163"/>
      <c r="H14" s="163"/>
      <c r="I14" s="163"/>
      <c r="J14" s="163"/>
      <c r="K14" s="163"/>
      <c r="L14" s="163"/>
      <c r="M14" s="163"/>
      <c r="N14" s="163"/>
      <c r="O14" s="163"/>
      <c r="P14" s="163"/>
      <c r="Q14" s="163"/>
      <c r="R14" s="163"/>
      <c r="S14" s="163"/>
      <c r="T14" s="163"/>
      <c r="U14" s="163"/>
      <c r="V14" s="163"/>
      <c r="W14" s="163"/>
      <c r="X14" s="163"/>
      <c r="Y14" s="163"/>
      <c r="Z14" s="163"/>
      <c r="AA14" s="163"/>
      <c r="AB14" s="163"/>
    </row>
    <row r="15" spans="1:29">
      <c r="A15" s="152"/>
      <c r="B15" s="151"/>
      <c r="C15" s="164"/>
      <c r="D15" s="163"/>
      <c r="E15" s="163"/>
      <c r="F15" s="163"/>
      <c r="G15" s="163"/>
      <c r="H15" s="163"/>
      <c r="I15" s="163"/>
      <c r="J15" s="163"/>
      <c r="K15" s="163"/>
      <c r="L15" s="163"/>
      <c r="M15" s="163"/>
      <c r="N15" s="163"/>
      <c r="O15" s="163"/>
      <c r="P15" s="163"/>
      <c r="Q15" s="163"/>
      <c r="R15" s="163"/>
      <c r="S15" s="163"/>
      <c r="T15" s="163"/>
      <c r="U15" s="163"/>
      <c r="V15" s="163"/>
      <c r="W15" s="163"/>
      <c r="X15" s="163"/>
      <c r="Y15" s="163"/>
      <c r="Z15" s="163"/>
      <c r="AA15" s="163"/>
      <c r="AB15" s="163"/>
    </row>
    <row r="16" spans="1:29">
      <c r="A16" s="152"/>
      <c r="B16" s="120" t="s">
        <v>67</v>
      </c>
      <c r="C16" s="121"/>
      <c r="D16" s="121">
        <v>1</v>
      </c>
      <c r="E16" s="121">
        <v>2</v>
      </c>
      <c r="F16" s="121">
        <v>3</v>
      </c>
      <c r="G16" s="121">
        <v>4</v>
      </c>
      <c r="H16" s="121">
        <v>5</v>
      </c>
      <c r="I16" s="121">
        <v>6</v>
      </c>
      <c r="J16" s="121">
        <v>7</v>
      </c>
      <c r="K16" s="121">
        <v>8</v>
      </c>
      <c r="L16" s="121">
        <v>9</v>
      </c>
      <c r="M16" s="121">
        <v>10</v>
      </c>
      <c r="N16" s="121">
        <v>11</v>
      </c>
      <c r="O16" s="121">
        <v>12</v>
      </c>
      <c r="P16" s="121">
        <v>13</v>
      </c>
      <c r="Q16" s="121">
        <v>14</v>
      </c>
      <c r="R16" s="121">
        <v>15</v>
      </c>
      <c r="S16" s="121">
        <v>16</v>
      </c>
      <c r="T16" s="121">
        <v>17</v>
      </c>
      <c r="U16" s="121">
        <v>18</v>
      </c>
      <c r="V16" s="121">
        <v>19</v>
      </c>
      <c r="W16" s="121">
        <v>20</v>
      </c>
      <c r="X16" s="121">
        <v>21</v>
      </c>
      <c r="Y16" s="121">
        <v>22</v>
      </c>
      <c r="Z16" s="121">
        <v>23</v>
      </c>
      <c r="AA16" s="121">
        <v>24</v>
      </c>
      <c r="AB16" s="121">
        <v>25</v>
      </c>
      <c r="AC16" s="195" t="s">
        <v>68</v>
      </c>
    </row>
    <row r="17" spans="1:29">
      <c r="A17" s="157" t="s">
        <v>29</v>
      </c>
      <c r="B17" s="839" t="s">
        <v>31</v>
      </c>
      <c r="C17" s="166"/>
      <c r="D17" s="161">
        <f>'SolarPV Financial Analysis'!D19/1000</f>
        <v>3775.1920800000007</v>
      </c>
      <c r="E17" s="161">
        <f>'Emissions CalculationsSCPZ'!$D$17</f>
        <v>3775.1920800000007</v>
      </c>
      <c r="F17" s="161">
        <f>'Emissions CalculationsSCPZ'!$D$17</f>
        <v>3775.1920800000007</v>
      </c>
      <c r="G17" s="161">
        <f>'Emissions CalculationsSCPZ'!$D$17</f>
        <v>3775.1920800000007</v>
      </c>
      <c r="H17" s="161">
        <f>'Emissions CalculationsSCPZ'!$D$17</f>
        <v>3775.1920800000007</v>
      </c>
      <c r="I17" s="161"/>
      <c r="J17" s="161"/>
      <c r="K17" s="161"/>
      <c r="L17" s="161"/>
      <c r="M17" s="161"/>
      <c r="N17" s="161"/>
      <c r="O17" s="161"/>
      <c r="P17" s="161"/>
      <c r="Q17" s="161"/>
      <c r="R17" s="161"/>
      <c r="S17" s="161"/>
      <c r="T17" s="161"/>
      <c r="U17" s="161"/>
      <c r="V17" s="161"/>
      <c r="W17" s="161"/>
      <c r="X17" s="161"/>
      <c r="Y17" s="161"/>
      <c r="Z17" s="161"/>
      <c r="AA17" s="161"/>
      <c r="AB17" s="161"/>
      <c r="AC17" s="196">
        <f>SUM(D17:AB17)</f>
        <v>18875.960400000004</v>
      </c>
    </row>
    <row r="18" spans="1:29">
      <c r="A18" s="152"/>
      <c r="B18" s="837" t="s">
        <v>32</v>
      </c>
      <c r="C18" s="164"/>
      <c r="D18" s="163">
        <f>'SolarPV Financial Analysis'!D20/1000</f>
        <v>51474.695010729236</v>
      </c>
      <c r="E18" s="163">
        <f>+D18</f>
        <v>51474.695010729236</v>
      </c>
      <c r="F18" s="163">
        <f t="shared" ref="F18:AB19" si="0">+E18</f>
        <v>51474.695010729236</v>
      </c>
      <c r="G18" s="163">
        <f t="shared" si="0"/>
        <v>51474.695010729236</v>
      </c>
      <c r="H18" s="163">
        <f t="shared" si="0"/>
        <v>51474.695010729236</v>
      </c>
      <c r="I18" s="163">
        <f t="shared" si="0"/>
        <v>51474.695010729236</v>
      </c>
      <c r="J18" s="163">
        <f t="shared" si="0"/>
        <v>51474.695010729236</v>
      </c>
      <c r="K18" s="163">
        <f t="shared" si="0"/>
        <v>51474.695010729236</v>
      </c>
      <c r="L18" s="163">
        <f t="shared" si="0"/>
        <v>51474.695010729236</v>
      </c>
      <c r="M18" s="163">
        <f t="shared" si="0"/>
        <v>51474.695010729236</v>
      </c>
      <c r="N18" s="163">
        <f t="shared" si="0"/>
        <v>51474.695010729236</v>
      </c>
      <c r="O18" s="163">
        <f t="shared" si="0"/>
        <v>51474.695010729236</v>
      </c>
      <c r="P18" s="163">
        <f t="shared" si="0"/>
        <v>51474.695010729236</v>
      </c>
      <c r="Q18" s="163">
        <f t="shared" si="0"/>
        <v>51474.695010729236</v>
      </c>
      <c r="R18" s="163">
        <f t="shared" si="0"/>
        <v>51474.695010729236</v>
      </c>
      <c r="S18" s="163">
        <f t="shared" si="0"/>
        <v>51474.695010729236</v>
      </c>
      <c r="T18" s="163">
        <f t="shared" si="0"/>
        <v>51474.695010729236</v>
      </c>
      <c r="U18" s="163">
        <f t="shared" si="0"/>
        <v>51474.695010729236</v>
      </c>
      <c r="V18" s="163">
        <f t="shared" si="0"/>
        <v>51474.695010729236</v>
      </c>
      <c r="W18" s="163">
        <f t="shared" si="0"/>
        <v>51474.695010729236</v>
      </c>
      <c r="X18" s="163">
        <f t="shared" si="0"/>
        <v>51474.695010729236</v>
      </c>
      <c r="Y18" s="163">
        <f t="shared" si="0"/>
        <v>51474.695010729236</v>
      </c>
      <c r="Z18" s="163">
        <f t="shared" si="0"/>
        <v>51474.695010729236</v>
      </c>
      <c r="AA18" s="163">
        <f t="shared" si="0"/>
        <v>51474.695010729236</v>
      </c>
      <c r="AB18" s="163">
        <f t="shared" si="0"/>
        <v>51474.695010729236</v>
      </c>
      <c r="AC18" s="196">
        <f>SUM(D18:AB18)</f>
        <v>1286867.3752682307</v>
      </c>
    </row>
    <row r="19" spans="1:29">
      <c r="A19" s="152"/>
      <c r="B19" s="837" t="s">
        <v>33</v>
      </c>
      <c r="C19" s="164"/>
      <c r="D19" s="163">
        <f>'ProgrBiogas Electricity Fin Anl'!D79/1000</f>
        <v>44867.100606099273</v>
      </c>
      <c r="E19" s="163">
        <f>+D19</f>
        <v>44867.100606099273</v>
      </c>
      <c r="F19" s="163">
        <f t="shared" si="0"/>
        <v>44867.100606099273</v>
      </c>
      <c r="G19" s="163">
        <f t="shared" si="0"/>
        <v>44867.100606099273</v>
      </c>
      <c r="H19" s="163">
        <f t="shared" si="0"/>
        <v>44867.100606099273</v>
      </c>
      <c r="I19" s="163">
        <f t="shared" si="0"/>
        <v>44867.100606099273</v>
      </c>
      <c r="J19" s="163">
        <f t="shared" si="0"/>
        <v>44867.100606099273</v>
      </c>
      <c r="K19" s="163">
        <f t="shared" si="0"/>
        <v>44867.100606099273</v>
      </c>
      <c r="L19" s="163">
        <f t="shared" si="0"/>
        <v>44867.100606099273</v>
      </c>
      <c r="M19" s="163">
        <f t="shared" si="0"/>
        <v>44867.100606099273</v>
      </c>
      <c r="N19" s="163">
        <f t="shared" si="0"/>
        <v>44867.100606099273</v>
      </c>
      <c r="O19" s="163">
        <f t="shared" si="0"/>
        <v>44867.100606099273</v>
      </c>
      <c r="P19" s="163">
        <f t="shared" si="0"/>
        <v>44867.100606099273</v>
      </c>
      <c r="Q19" s="163">
        <f t="shared" si="0"/>
        <v>44867.100606099273</v>
      </c>
      <c r="R19" s="163">
        <f t="shared" si="0"/>
        <v>44867.100606099273</v>
      </c>
      <c r="S19" s="163">
        <f t="shared" si="0"/>
        <v>44867.100606099273</v>
      </c>
      <c r="T19" s="163">
        <f t="shared" si="0"/>
        <v>44867.100606099273</v>
      </c>
      <c r="U19" s="163">
        <f t="shared" si="0"/>
        <v>44867.100606099273</v>
      </c>
      <c r="V19" s="163">
        <f t="shared" si="0"/>
        <v>44867.100606099273</v>
      </c>
      <c r="W19" s="163">
        <f t="shared" si="0"/>
        <v>44867.100606099273</v>
      </c>
      <c r="X19" s="163">
        <f t="shared" si="0"/>
        <v>44867.100606099273</v>
      </c>
      <c r="Y19" s="163">
        <f t="shared" si="0"/>
        <v>44867.100606099273</v>
      </c>
      <c r="Z19" s="163">
        <f t="shared" si="0"/>
        <v>44867.100606099273</v>
      </c>
      <c r="AA19" s="163">
        <f t="shared" si="0"/>
        <v>44867.100606099273</v>
      </c>
      <c r="AB19" s="163">
        <f t="shared" si="0"/>
        <v>44867.100606099273</v>
      </c>
      <c r="AC19" s="196">
        <f>SUM(D19:AB19)</f>
        <v>1121677.5151524816</v>
      </c>
    </row>
    <row r="20" spans="1:29">
      <c r="A20" s="152"/>
      <c r="B20" s="151" t="s">
        <v>69</v>
      </c>
      <c r="C20" s="164"/>
      <c r="D20" s="163">
        <f>D17+D18+D19</f>
        <v>100116.98769682851</v>
      </c>
      <c r="E20" s="163">
        <f t="shared" ref="E20:AC20" si="1">E17+E18+E19</f>
        <v>100116.98769682851</v>
      </c>
      <c r="F20" s="163">
        <f t="shared" si="1"/>
        <v>100116.98769682851</v>
      </c>
      <c r="G20" s="163">
        <f t="shared" si="1"/>
        <v>100116.98769682851</v>
      </c>
      <c r="H20" s="163">
        <f t="shared" si="1"/>
        <v>100116.98769682851</v>
      </c>
      <c r="I20" s="163">
        <f t="shared" si="1"/>
        <v>96341.795616828516</v>
      </c>
      <c r="J20" s="163">
        <f t="shared" si="1"/>
        <v>96341.795616828516</v>
      </c>
      <c r="K20" s="163">
        <f t="shared" si="1"/>
        <v>96341.795616828516</v>
      </c>
      <c r="L20" s="163">
        <f t="shared" si="1"/>
        <v>96341.795616828516</v>
      </c>
      <c r="M20" s="163">
        <f t="shared" si="1"/>
        <v>96341.795616828516</v>
      </c>
      <c r="N20" s="163">
        <f t="shared" si="1"/>
        <v>96341.795616828516</v>
      </c>
      <c r="O20" s="163">
        <f t="shared" si="1"/>
        <v>96341.795616828516</v>
      </c>
      <c r="P20" s="163">
        <f t="shared" si="1"/>
        <v>96341.795616828516</v>
      </c>
      <c r="Q20" s="163">
        <f t="shared" si="1"/>
        <v>96341.795616828516</v>
      </c>
      <c r="R20" s="163">
        <f t="shared" si="1"/>
        <v>96341.795616828516</v>
      </c>
      <c r="S20" s="163">
        <f t="shared" si="1"/>
        <v>96341.795616828516</v>
      </c>
      <c r="T20" s="163">
        <f t="shared" si="1"/>
        <v>96341.795616828516</v>
      </c>
      <c r="U20" s="163">
        <f t="shared" si="1"/>
        <v>96341.795616828516</v>
      </c>
      <c r="V20" s="163">
        <f t="shared" si="1"/>
        <v>96341.795616828516</v>
      </c>
      <c r="W20" s="163">
        <f t="shared" si="1"/>
        <v>96341.795616828516</v>
      </c>
      <c r="X20" s="163">
        <f t="shared" si="1"/>
        <v>96341.795616828516</v>
      </c>
      <c r="Y20" s="163">
        <f t="shared" si="1"/>
        <v>96341.795616828516</v>
      </c>
      <c r="Z20" s="163">
        <f t="shared" si="1"/>
        <v>96341.795616828516</v>
      </c>
      <c r="AA20" s="163">
        <f t="shared" si="1"/>
        <v>96341.795616828516</v>
      </c>
      <c r="AB20" s="163">
        <f t="shared" si="1"/>
        <v>96341.795616828516</v>
      </c>
      <c r="AC20" s="163">
        <f t="shared" si="1"/>
        <v>2427420.8508207123</v>
      </c>
    </row>
    <row r="21" spans="1:29">
      <c r="A21" s="152"/>
      <c r="B21" s="151" t="s">
        <v>70</v>
      </c>
      <c r="C21" s="164"/>
      <c r="D21" s="163">
        <f>D20</f>
        <v>100116.98769682851</v>
      </c>
      <c r="E21" s="163">
        <f>E20+D21</f>
        <v>200233.97539365702</v>
      </c>
      <c r="F21" s="163">
        <f t="shared" ref="F21:AC21" si="2">F20+E21</f>
        <v>300350.96309048554</v>
      </c>
      <c r="G21" s="163">
        <f t="shared" si="2"/>
        <v>400467.95078731404</v>
      </c>
      <c r="H21" s="163">
        <f t="shared" si="2"/>
        <v>500584.93848414253</v>
      </c>
      <c r="I21" s="163">
        <f t="shared" si="2"/>
        <v>596926.73410097102</v>
      </c>
      <c r="J21" s="163">
        <f t="shared" si="2"/>
        <v>693268.52971779951</v>
      </c>
      <c r="K21" s="163">
        <f t="shared" si="2"/>
        <v>789610.325334628</v>
      </c>
      <c r="L21" s="163">
        <f t="shared" si="2"/>
        <v>885952.12095145648</v>
      </c>
      <c r="M21" s="163">
        <f t="shared" si="2"/>
        <v>982293.91656828497</v>
      </c>
      <c r="N21" s="163">
        <f t="shared" si="2"/>
        <v>1078635.7121851135</v>
      </c>
      <c r="O21" s="163">
        <f t="shared" si="2"/>
        <v>1174977.5078019421</v>
      </c>
      <c r="P21" s="163">
        <f t="shared" si="2"/>
        <v>1271319.3034187707</v>
      </c>
      <c r="Q21" s="163">
        <f t="shared" si="2"/>
        <v>1367661.0990355993</v>
      </c>
      <c r="R21" s="163">
        <f t="shared" si="2"/>
        <v>1464002.8946524279</v>
      </c>
      <c r="S21" s="163">
        <f t="shared" si="2"/>
        <v>1560344.6902692565</v>
      </c>
      <c r="T21" s="163">
        <f t="shared" si="2"/>
        <v>1656686.4858860851</v>
      </c>
      <c r="U21" s="163">
        <f t="shared" si="2"/>
        <v>1753028.2815029137</v>
      </c>
      <c r="V21" s="163">
        <f t="shared" si="2"/>
        <v>1849370.0771197423</v>
      </c>
      <c r="W21" s="163">
        <f t="shared" si="2"/>
        <v>1945711.8727365709</v>
      </c>
      <c r="X21" s="163">
        <f t="shared" si="2"/>
        <v>2042053.6683533995</v>
      </c>
      <c r="Y21" s="163">
        <f t="shared" si="2"/>
        <v>2138395.4639702281</v>
      </c>
      <c r="Z21" s="163">
        <f t="shared" si="2"/>
        <v>2234737.2595870565</v>
      </c>
      <c r="AA21" s="163">
        <f t="shared" si="2"/>
        <v>2331079.0552038848</v>
      </c>
      <c r="AB21" s="163">
        <f t="shared" si="2"/>
        <v>2427420.8508207132</v>
      </c>
      <c r="AC21" s="163">
        <f t="shared" si="2"/>
        <v>4854841.7016414255</v>
      </c>
    </row>
    <row r="22" spans="1:29">
      <c r="A22" s="152"/>
      <c r="B22" s="123"/>
      <c r="C22" s="131"/>
      <c r="D22" s="124"/>
      <c r="E22" s="124"/>
      <c r="F22" s="124"/>
      <c r="G22" s="124"/>
      <c r="H22" s="124"/>
      <c r="I22" s="124"/>
      <c r="J22" s="124"/>
      <c r="K22" s="124"/>
      <c r="L22" s="124"/>
      <c r="M22" s="124"/>
      <c r="N22" s="124"/>
      <c r="O22" s="124"/>
      <c r="P22" s="124"/>
      <c r="Q22" s="124"/>
      <c r="R22" s="124"/>
      <c r="S22" s="124"/>
      <c r="T22" s="124"/>
      <c r="U22" s="124"/>
      <c r="V22" s="124"/>
      <c r="W22" s="124"/>
      <c r="X22" s="124"/>
      <c r="Y22" s="124"/>
      <c r="Z22" s="124"/>
      <c r="AA22" s="124"/>
      <c r="AB22" s="124"/>
      <c r="AC22" s="197"/>
    </row>
    <row r="23" spans="1:29">
      <c r="A23" s="157" t="s">
        <v>34</v>
      </c>
      <c r="B23" s="839" t="s">
        <v>35</v>
      </c>
      <c r="C23" s="169"/>
      <c r="D23" s="170">
        <f>-'SolarPV Financial Analysis'!D117</f>
        <v>14738.459880322931</v>
      </c>
      <c r="E23" s="170">
        <f>-'SolarPV Financial Analysis'!E117</f>
        <v>14738.459880322931</v>
      </c>
      <c r="F23" s="170">
        <f>-'SolarPV Financial Analysis'!F117</f>
        <v>14738.459880322931</v>
      </c>
      <c r="G23" s="170">
        <f>-'SolarPV Financial Analysis'!G117</f>
        <v>14738.459880322931</v>
      </c>
      <c r="H23" s="170">
        <f>-'SolarPV Financial Analysis'!H117</f>
        <v>14738.459880322931</v>
      </c>
      <c r="I23" s="170">
        <f>-'SolarPV Financial Analysis'!I117</f>
        <v>13731.389641062133</v>
      </c>
      <c r="J23" s="170">
        <f>-'SolarPV Financial Analysis'!J117</f>
        <v>13731.389641062133</v>
      </c>
      <c r="K23" s="170">
        <f>-'SolarPV Financial Analysis'!K117</f>
        <v>13731.389641062133</v>
      </c>
      <c r="L23" s="170">
        <f>-'SolarPV Financial Analysis'!L117</f>
        <v>13731.389641062133</v>
      </c>
      <c r="M23" s="170">
        <f>-'SolarPV Financial Analysis'!M117</f>
        <v>13731.389641062133</v>
      </c>
      <c r="N23" s="170">
        <f>-'SolarPV Financial Analysis'!N117</f>
        <v>13731.389641062133</v>
      </c>
      <c r="O23" s="170">
        <f>-'SolarPV Financial Analysis'!O117</f>
        <v>13731.389641062133</v>
      </c>
      <c r="P23" s="170">
        <f>-'SolarPV Financial Analysis'!P117</f>
        <v>13731.389641062133</v>
      </c>
      <c r="Q23" s="170">
        <f>-'SolarPV Financial Analysis'!Q117</f>
        <v>13731.389641062133</v>
      </c>
      <c r="R23" s="170">
        <f>-'SolarPV Financial Analysis'!R117</f>
        <v>13731.389641062133</v>
      </c>
      <c r="S23" s="170">
        <f>-'SolarPV Financial Analysis'!S117</f>
        <v>13731.389641062133</v>
      </c>
      <c r="T23" s="170">
        <f>-'SolarPV Financial Analysis'!T117</f>
        <v>13731.389641062133</v>
      </c>
      <c r="U23" s="170">
        <f>-'SolarPV Financial Analysis'!U117</f>
        <v>13731.389641062133</v>
      </c>
      <c r="V23" s="170">
        <f>-'SolarPV Financial Analysis'!V117</f>
        <v>13731.389641062133</v>
      </c>
      <c r="W23" s="170">
        <f>-'SolarPV Financial Analysis'!W117</f>
        <v>13731.389641062133</v>
      </c>
      <c r="X23" s="170">
        <f>-'SolarPV Financial Analysis'!X117</f>
        <v>13731.389641062133</v>
      </c>
      <c r="Y23" s="170">
        <f>-'SolarPV Financial Analysis'!Y117</f>
        <v>13731.389641062133</v>
      </c>
      <c r="Z23" s="170">
        <f>-'SolarPV Financial Analysis'!Z117</f>
        <v>13731.389641062133</v>
      </c>
      <c r="AA23" s="170">
        <f>-'SolarPV Financial Analysis'!AA117</f>
        <v>13731.389641062133</v>
      </c>
      <c r="AB23" s="170">
        <f>-'SolarPV Financial Analysis'!AB117</f>
        <v>13731.389641062133</v>
      </c>
      <c r="AC23" s="198">
        <f>SUM(D23:AB23)</f>
        <v>348320.09222285723</v>
      </c>
    </row>
    <row r="24" spans="1:29">
      <c r="A24" s="151"/>
      <c r="B24" s="837" t="s">
        <v>36</v>
      </c>
      <c r="C24" s="167"/>
      <c r="D24" s="167">
        <f>C13*ProgrammeLevelDigesterAnalysis!G12</f>
        <v>477391.98571592598</v>
      </c>
      <c r="E24" s="167">
        <f>+D24</f>
        <v>477391.98571592598</v>
      </c>
      <c r="F24" s="167">
        <f t="shared" ref="F23:AB25" si="3">+E24</f>
        <v>477391.98571592598</v>
      </c>
      <c r="G24" s="167">
        <f t="shared" si="3"/>
        <v>477391.98571592598</v>
      </c>
      <c r="H24" s="167">
        <f t="shared" si="3"/>
        <v>477391.98571592598</v>
      </c>
      <c r="I24" s="167">
        <f t="shared" si="3"/>
        <v>477391.98571592598</v>
      </c>
      <c r="J24" s="167">
        <f t="shared" si="3"/>
        <v>477391.98571592598</v>
      </c>
      <c r="K24" s="167">
        <f t="shared" si="3"/>
        <v>477391.98571592598</v>
      </c>
      <c r="L24" s="167">
        <f t="shared" si="3"/>
        <v>477391.98571592598</v>
      </c>
      <c r="M24" s="167">
        <f t="shared" si="3"/>
        <v>477391.98571592598</v>
      </c>
      <c r="N24" s="167">
        <f t="shared" si="3"/>
        <v>477391.98571592598</v>
      </c>
      <c r="O24" s="167">
        <f t="shared" si="3"/>
        <v>477391.98571592598</v>
      </c>
      <c r="P24" s="167">
        <f t="shared" si="3"/>
        <v>477391.98571592598</v>
      </c>
      <c r="Q24" s="167">
        <f t="shared" si="3"/>
        <v>477391.98571592598</v>
      </c>
      <c r="R24" s="167">
        <f t="shared" si="3"/>
        <v>477391.98571592598</v>
      </c>
      <c r="S24" s="167">
        <f t="shared" si="3"/>
        <v>477391.98571592598</v>
      </c>
      <c r="T24" s="167">
        <f t="shared" si="3"/>
        <v>477391.98571592598</v>
      </c>
      <c r="U24" s="167">
        <f t="shared" si="3"/>
        <v>477391.98571592598</v>
      </c>
      <c r="V24" s="167">
        <f t="shared" si="3"/>
        <v>477391.98571592598</v>
      </c>
      <c r="W24" s="167">
        <f t="shared" si="3"/>
        <v>477391.98571592598</v>
      </c>
      <c r="X24" s="167">
        <f t="shared" si="3"/>
        <v>477391.98571592598</v>
      </c>
      <c r="Y24" s="167">
        <f t="shared" si="3"/>
        <v>477391.98571592598</v>
      </c>
      <c r="Z24" s="167">
        <f t="shared" si="3"/>
        <v>477391.98571592598</v>
      </c>
      <c r="AA24" s="167">
        <f t="shared" si="3"/>
        <v>477391.98571592598</v>
      </c>
      <c r="AB24" s="167">
        <f t="shared" si="3"/>
        <v>477391.98571592598</v>
      </c>
      <c r="AC24" s="198">
        <f t="shared" ref="AC24:AC27" si="4">SUM(D24:AB24)</f>
        <v>11934799.642898146</v>
      </c>
    </row>
    <row r="25" spans="1:29">
      <c r="A25" s="151"/>
      <c r="B25" s="837" t="s">
        <v>37</v>
      </c>
      <c r="C25" s="152"/>
      <c r="D25" s="167">
        <f>+(C14*ProgrammeLevelDigesterAnalysis!C67)*C11*C8</f>
        <v>0</v>
      </c>
      <c r="E25" s="167">
        <f>+D25</f>
        <v>0</v>
      </c>
      <c r="F25" s="167">
        <f t="shared" si="3"/>
        <v>0</v>
      </c>
      <c r="G25" s="167">
        <f t="shared" si="3"/>
        <v>0</v>
      </c>
      <c r="H25" s="167">
        <f t="shared" si="3"/>
        <v>0</v>
      </c>
      <c r="I25" s="167">
        <f t="shared" si="3"/>
        <v>0</v>
      </c>
      <c r="J25" s="167">
        <f t="shared" si="3"/>
        <v>0</v>
      </c>
      <c r="K25" s="167">
        <f t="shared" si="3"/>
        <v>0</v>
      </c>
      <c r="L25" s="167">
        <f t="shared" si="3"/>
        <v>0</v>
      </c>
      <c r="M25" s="167">
        <f t="shared" si="3"/>
        <v>0</v>
      </c>
      <c r="N25" s="167">
        <f t="shared" si="3"/>
        <v>0</v>
      </c>
      <c r="O25" s="167">
        <f t="shared" si="3"/>
        <v>0</v>
      </c>
      <c r="P25" s="167">
        <f t="shared" si="3"/>
        <v>0</v>
      </c>
      <c r="Q25" s="167">
        <f t="shared" si="3"/>
        <v>0</v>
      </c>
      <c r="R25" s="167">
        <f t="shared" si="3"/>
        <v>0</v>
      </c>
      <c r="S25" s="167">
        <f t="shared" si="3"/>
        <v>0</v>
      </c>
      <c r="T25" s="167">
        <f t="shared" si="3"/>
        <v>0</v>
      </c>
      <c r="U25" s="167">
        <f t="shared" si="3"/>
        <v>0</v>
      </c>
      <c r="V25" s="167">
        <f t="shared" si="3"/>
        <v>0</v>
      </c>
      <c r="W25" s="167">
        <f t="shared" si="3"/>
        <v>0</v>
      </c>
      <c r="X25" s="167">
        <f t="shared" si="3"/>
        <v>0</v>
      </c>
      <c r="Y25" s="167">
        <f t="shared" si="3"/>
        <v>0</v>
      </c>
      <c r="Z25" s="167">
        <f t="shared" si="3"/>
        <v>0</v>
      </c>
      <c r="AA25" s="167">
        <f t="shared" si="3"/>
        <v>0</v>
      </c>
      <c r="AB25" s="167">
        <f t="shared" si="3"/>
        <v>0</v>
      </c>
      <c r="AC25" s="198">
        <f t="shared" si="4"/>
        <v>0</v>
      </c>
    </row>
    <row r="26" spans="1:29">
      <c r="A26" s="151"/>
      <c r="B26" s="837" t="s">
        <v>71</v>
      </c>
      <c r="C26" s="152"/>
      <c r="D26" s="167">
        <f>+D54</f>
        <v>0</v>
      </c>
      <c r="E26" s="167">
        <f t="shared" ref="E26:AB26" si="5">+E54</f>
        <v>0</v>
      </c>
      <c r="F26" s="167">
        <f t="shared" si="5"/>
        <v>0</v>
      </c>
      <c r="G26" s="167">
        <f t="shared" si="5"/>
        <v>0</v>
      </c>
      <c r="H26" s="167">
        <f t="shared" si="5"/>
        <v>0</v>
      </c>
      <c r="I26" s="167">
        <f t="shared" si="5"/>
        <v>5743266</v>
      </c>
      <c r="J26" s="167">
        <f t="shared" si="5"/>
        <v>5743266</v>
      </c>
      <c r="K26" s="167">
        <f t="shared" si="5"/>
        <v>5743266</v>
      </c>
      <c r="L26" s="167">
        <f t="shared" si="5"/>
        <v>5743266</v>
      </c>
      <c r="M26" s="167">
        <f t="shared" si="5"/>
        <v>5743266</v>
      </c>
      <c r="N26" s="167">
        <f t="shared" si="5"/>
        <v>5743266</v>
      </c>
      <c r="O26" s="167">
        <f t="shared" si="5"/>
        <v>5743266</v>
      </c>
      <c r="P26" s="167">
        <f t="shared" si="5"/>
        <v>5743266</v>
      </c>
      <c r="Q26" s="167">
        <f t="shared" si="5"/>
        <v>5743266</v>
      </c>
      <c r="R26" s="167">
        <f t="shared" si="5"/>
        <v>5743266</v>
      </c>
      <c r="S26" s="167">
        <f t="shared" si="5"/>
        <v>5743266</v>
      </c>
      <c r="T26" s="167">
        <f t="shared" si="5"/>
        <v>5743266</v>
      </c>
      <c r="U26" s="167">
        <f t="shared" si="5"/>
        <v>5743266</v>
      </c>
      <c r="V26" s="167">
        <f t="shared" si="5"/>
        <v>5743266</v>
      </c>
      <c r="W26" s="167">
        <f t="shared" si="5"/>
        <v>5743266</v>
      </c>
      <c r="X26" s="167">
        <f t="shared" si="5"/>
        <v>5743266</v>
      </c>
      <c r="Y26" s="167">
        <f t="shared" si="5"/>
        <v>5743266</v>
      </c>
      <c r="Z26" s="167">
        <f t="shared" si="5"/>
        <v>5743266</v>
      </c>
      <c r="AA26" s="167">
        <f t="shared" si="5"/>
        <v>5743266</v>
      </c>
      <c r="AB26" s="167">
        <f t="shared" si="5"/>
        <v>5743266</v>
      </c>
      <c r="AC26" s="198">
        <f t="shared" si="4"/>
        <v>114865320</v>
      </c>
    </row>
    <row r="27" spans="1:29">
      <c r="A27" s="151"/>
      <c r="B27" s="151" t="s">
        <v>40</v>
      </c>
      <c r="C27" s="172"/>
      <c r="D27" s="168">
        <f t="shared" ref="D27:AB27" si="6">SUM(D23:D26)</f>
        <v>492130.4455962489</v>
      </c>
      <c r="E27" s="168">
        <f t="shared" si="6"/>
        <v>492130.4455962489</v>
      </c>
      <c r="F27" s="168">
        <f t="shared" si="6"/>
        <v>492130.4455962489</v>
      </c>
      <c r="G27" s="168">
        <f t="shared" si="6"/>
        <v>492130.4455962489</v>
      </c>
      <c r="H27" s="168">
        <f t="shared" si="6"/>
        <v>492130.4455962489</v>
      </c>
      <c r="I27" s="168">
        <f t="shared" si="6"/>
        <v>6234389.3753569881</v>
      </c>
      <c r="J27" s="168">
        <f t="shared" si="6"/>
        <v>6234389.3753569881</v>
      </c>
      <c r="K27" s="168">
        <f t="shared" si="6"/>
        <v>6234389.3753569881</v>
      </c>
      <c r="L27" s="168">
        <f t="shared" si="6"/>
        <v>6234389.3753569881</v>
      </c>
      <c r="M27" s="168">
        <f t="shared" si="6"/>
        <v>6234389.3753569881</v>
      </c>
      <c r="N27" s="168">
        <f t="shared" si="6"/>
        <v>6234389.3753569881</v>
      </c>
      <c r="O27" s="168">
        <f t="shared" si="6"/>
        <v>6234389.3753569881</v>
      </c>
      <c r="P27" s="168">
        <f t="shared" si="6"/>
        <v>6234389.3753569881</v>
      </c>
      <c r="Q27" s="168">
        <f t="shared" si="6"/>
        <v>6234389.3753569881</v>
      </c>
      <c r="R27" s="168">
        <f t="shared" si="6"/>
        <v>6234389.3753569881</v>
      </c>
      <c r="S27" s="168">
        <f t="shared" si="6"/>
        <v>6234389.3753569881</v>
      </c>
      <c r="T27" s="168">
        <f t="shared" si="6"/>
        <v>6234389.3753569881</v>
      </c>
      <c r="U27" s="168">
        <f t="shared" si="6"/>
        <v>6234389.3753569881</v>
      </c>
      <c r="V27" s="168">
        <f t="shared" si="6"/>
        <v>6234389.3753569881</v>
      </c>
      <c r="W27" s="168">
        <f t="shared" si="6"/>
        <v>6234389.3753569881</v>
      </c>
      <c r="X27" s="168">
        <f t="shared" si="6"/>
        <v>6234389.3753569881</v>
      </c>
      <c r="Y27" s="168">
        <f t="shared" si="6"/>
        <v>6234389.3753569881</v>
      </c>
      <c r="Z27" s="168">
        <f t="shared" si="6"/>
        <v>6234389.3753569881</v>
      </c>
      <c r="AA27" s="168">
        <f t="shared" si="6"/>
        <v>6234389.3753569881</v>
      </c>
      <c r="AB27" s="168">
        <f t="shared" si="6"/>
        <v>6234389.3753569881</v>
      </c>
      <c r="AC27" s="198">
        <f t="shared" si="4"/>
        <v>127148439.735121</v>
      </c>
    </row>
    <row r="28" spans="1:29">
      <c r="A28" s="152"/>
      <c r="B28" s="152"/>
      <c r="C28" s="152"/>
      <c r="D28" s="171"/>
      <c r="E28" s="171"/>
      <c r="F28" s="171"/>
      <c r="G28" s="171"/>
      <c r="H28" s="171"/>
      <c r="I28" s="171"/>
      <c r="J28" s="171"/>
      <c r="K28" s="171"/>
      <c r="L28" s="171"/>
      <c r="M28" s="171"/>
      <c r="N28" s="171"/>
      <c r="O28" s="171"/>
      <c r="P28" s="171"/>
      <c r="Q28" s="171"/>
      <c r="R28" s="171"/>
      <c r="S28" s="171"/>
      <c r="T28" s="171"/>
      <c r="U28" s="171"/>
      <c r="V28" s="171"/>
      <c r="W28" s="171"/>
      <c r="X28" s="171"/>
      <c r="Y28" s="171"/>
      <c r="Z28" s="171"/>
      <c r="AA28" s="171"/>
      <c r="AB28" s="171"/>
      <c r="AC28" s="197"/>
    </row>
    <row r="29" spans="1:29" ht="29.1">
      <c r="A29" s="173" t="s">
        <v>41</v>
      </c>
      <c r="B29" s="839" t="s">
        <v>44</v>
      </c>
      <c r="C29" s="169"/>
      <c r="D29" s="175">
        <f>'SolarPV Financial Analysis'!D19*'SolarPV Financial Analysis'!C31*'SolarPV Financial Analysis'!D23</f>
        <v>1007.0702392608001</v>
      </c>
      <c r="E29" s="170">
        <f>+D29</f>
        <v>1007.0702392608001</v>
      </c>
      <c r="F29" s="170">
        <f t="shared" ref="F29:AB32" si="7">+E29</f>
        <v>1007.0702392608001</v>
      </c>
      <c r="G29" s="170">
        <f t="shared" si="7"/>
        <v>1007.0702392608001</v>
      </c>
      <c r="H29" s="170">
        <f t="shared" si="7"/>
        <v>1007.0702392608001</v>
      </c>
      <c r="I29" s="170"/>
      <c r="J29" s="170"/>
      <c r="K29" s="170"/>
      <c r="L29" s="170"/>
      <c r="M29" s="170"/>
      <c r="N29" s="170"/>
      <c r="O29" s="170"/>
      <c r="P29" s="170"/>
      <c r="Q29" s="170"/>
      <c r="R29" s="170"/>
      <c r="S29" s="170"/>
      <c r="T29" s="170"/>
      <c r="U29" s="170"/>
      <c r="V29" s="170"/>
      <c r="W29" s="170"/>
      <c r="X29" s="170"/>
      <c r="Y29" s="170"/>
      <c r="Z29" s="170"/>
      <c r="AA29" s="170"/>
      <c r="AB29" s="170"/>
      <c r="AC29" s="199">
        <f>SUM(D29:AB29)</f>
        <v>5035.351196304001</v>
      </c>
    </row>
    <row r="30" spans="1:29">
      <c r="A30" s="152"/>
      <c r="B30" s="837" t="s">
        <v>45</v>
      </c>
      <c r="C30" s="152"/>
      <c r="D30" s="174">
        <f>'SolarPV Financial Analysis'!D20*'SolarPV Financial Analysis'!C31*'SolarPV Financial Analysis'!D23</f>
        <v>13731.389641062133</v>
      </c>
      <c r="E30" s="167">
        <f>+D30</f>
        <v>13731.389641062133</v>
      </c>
      <c r="F30" s="167">
        <f t="shared" si="7"/>
        <v>13731.389641062133</v>
      </c>
      <c r="G30" s="167">
        <f t="shared" si="7"/>
        <v>13731.389641062133</v>
      </c>
      <c r="H30" s="167">
        <f t="shared" si="7"/>
        <v>13731.389641062133</v>
      </c>
      <c r="I30" s="167">
        <f t="shared" si="7"/>
        <v>13731.389641062133</v>
      </c>
      <c r="J30" s="167">
        <f t="shared" si="7"/>
        <v>13731.389641062133</v>
      </c>
      <c r="K30" s="167">
        <f t="shared" si="7"/>
        <v>13731.389641062133</v>
      </c>
      <c r="L30" s="167">
        <f t="shared" si="7"/>
        <v>13731.389641062133</v>
      </c>
      <c r="M30" s="167">
        <f t="shared" si="7"/>
        <v>13731.389641062133</v>
      </c>
      <c r="N30" s="167">
        <f t="shared" si="7"/>
        <v>13731.389641062133</v>
      </c>
      <c r="O30" s="167">
        <f t="shared" si="7"/>
        <v>13731.389641062133</v>
      </c>
      <c r="P30" s="167">
        <f t="shared" si="7"/>
        <v>13731.389641062133</v>
      </c>
      <c r="Q30" s="167">
        <f t="shared" si="7"/>
        <v>13731.389641062133</v>
      </c>
      <c r="R30" s="167">
        <f t="shared" si="7"/>
        <v>13731.389641062133</v>
      </c>
      <c r="S30" s="167">
        <f t="shared" si="7"/>
        <v>13731.389641062133</v>
      </c>
      <c r="T30" s="167">
        <f t="shared" si="7"/>
        <v>13731.389641062133</v>
      </c>
      <c r="U30" s="167">
        <f t="shared" si="7"/>
        <v>13731.389641062133</v>
      </c>
      <c r="V30" s="167">
        <f t="shared" si="7"/>
        <v>13731.389641062133</v>
      </c>
      <c r="W30" s="167">
        <f t="shared" si="7"/>
        <v>13731.389641062133</v>
      </c>
      <c r="X30" s="167">
        <f t="shared" si="7"/>
        <v>13731.389641062133</v>
      </c>
      <c r="Y30" s="167">
        <f t="shared" si="7"/>
        <v>13731.389641062133</v>
      </c>
      <c r="Z30" s="167">
        <f t="shared" si="7"/>
        <v>13731.389641062133</v>
      </c>
      <c r="AA30" s="167">
        <f t="shared" si="7"/>
        <v>13731.389641062133</v>
      </c>
      <c r="AB30" s="167">
        <f t="shared" si="7"/>
        <v>13731.389641062133</v>
      </c>
      <c r="AC30" s="199">
        <f>SUM(D30:AB30)</f>
        <v>343284.74102655321</v>
      </c>
    </row>
    <row r="31" spans="1:29">
      <c r="A31" s="152"/>
      <c r="B31" s="837" t="s">
        <v>46</v>
      </c>
      <c r="C31" s="174"/>
      <c r="D31" s="174">
        <f>+ProgrammeLevelDigesterAnalysis!J12</f>
        <v>424878.86728717404</v>
      </c>
      <c r="E31" s="167">
        <f>+D31</f>
        <v>424878.86728717404</v>
      </c>
      <c r="F31" s="167">
        <f t="shared" si="7"/>
        <v>424878.86728717404</v>
      </c>
      <c r="G31" s="167">
        <f t="shared" si="7"/>
        <v>424878.86728717404</v>
      </c>
      <c r="H31" s="167">
        <f t="shared" si="7"/>
        <v>424878.86728717404</v>
      </c>
      <c r="I31" s="167">
        <f t="shared" si="7"/>
        <v>424878.86728717404</v>
      </c>
      <c r="J31" s="167">
        <f t="shared" si="7"/>
        <v>424878.86728717404</v>
      </c>
      <c r="K31" s="167">
        <f t="shared" si="7"/>
        <v>424878.86728717404</v>
      </c>
      <c r="L31" s="167">
        <f t="shared" si="7"/>
        <v>424878.86728717404</v>
      </c>
      <c r="M31" s="167">
        <f t="shared" si="7"/>
        <v>424878.86728717404</v>
      </c>
      <c r="N31" s="167">
        <f t="shared" si="7"/>
        <v>424878.86728717404</v>
      </c>
      <c r="O31" s="167">
        <f t="shared" si="7"/>
        <v>424878.86728717404</v>
      </c>
      <c r="P31" s="167">
        <f t="shared" si="7"/>
        <v>424878.86728717404</v>
      </c>
      <c r="Q31" s="167">
        <f t="shared" si="7"/>
        <v>424878.86728717404</v>
      </c>
      <c r="R31" s="167">
        <f t="shared" si="7"/>
        <v>424878.86728717404</v>
      </c>
      <c r="S31" s="167">
        <f t="shared" si="7"/>
        <v>424878.86728717404</v>
      </c>
      <c r="T31" s="167">
        <f t="shared" si="7"/>
        <v>424878.86728717404</v>
      </c>
      <c r="U31" s="167">
        <f t="shared" si="7"/>
        <v>424878.86728717404</v>
      </c>
      <c r="V31" s="167">
        <f t="shared" si="7"/>
        <v>424878.86728717404</v>
      </c>
      <c r="W31" s="167">
        <f t="shared" si="7"/>
        <v>424878.86728717404</v>
      </c>
      <c r="X31" s="167">
        <f t="shared" si="7"/>
        <v>424878.86728717404</v>
      </c>
      <c r="Y31" s="167">
        <f t="shared" si="7"/>
        <v>424878.86728717404</v>
      </c>
      <c r="Z31" s="167">
        <f t="shared" si="7"/>
        <v>424878.86728717404</v>
      </c>
      <c r="AA31" s="167">
        <f t="shared" si="7"/>
        <v>424878.86728717404</v>
      </c>
      <c r="AB31" s="167">
        <f t="shared" si="7"/>
        <v>424878.86728717404</v>
      </c>
      <c r="AC31" s="199">
        <f>SUM(D31:AB31)</f>
        <v>10621971.682179349</v>
      </c>
    </row>
    <row r="32" spans="1:29">
      <c r="A32" s="152"/>
      <c r="B32" s="837" t="s">
        <v>47</v>
      </c>
      <c r="C32" s="152"/>
      <c r="D32" s="174">
        <f>-'ProgrBiogas Electricity Fin Anl'!D120</f>
        <v>11968.747757683041</v>
      </c>
      <c r="E32" s="167">
        <f>+D32</f>
        <v>11968.747757683041</v>
      </c>
      <c r="F32" s="167">
        <f t="shared" si="7"/>
        <v>11968.747757683041</v>
      </c>
      <c r="G32" s="167">
        <f t="shared" si="7"/>
        <v>11968.747757683041</v>
      </c>
      <c r="H32" s="167">
        <f t="shared" si="7"/>
        <v>11968.747757683041</v>
      </c>
      <c r="I32" s="167">
        <f t="shared" si="7"/>
        <v>11968.747757683041</v>
      </c>
      <c r="J32" s="167">
        <f t="shared" si="7"/>
        <v>11968.747757683041</v>
      </c>
      <c r="K32" s="167">
        <f t="shared" si="7"/>
        <v>11968.747757683041</v>
      </c>
      <c r="L32" s="167">
        <f t="shared" si="7"/>
        <v>11968.747757683041</v>
      </c>
      <c r="M32" s="167">
        <f t="shared" si="7"/>
        <v>11968.747757683041</v>
      </c>
      <c r="N32" s="167">
        <f t="shared" si="7"/>
        <v>11968.747757683041</v>
      </c>
      <c r="O32" s="167">
        <f t="shared" si="7"/>
        <v>11968.747757683041</v>
      </c>
      <c r="P32" s="167">
        <f t="shared" si="7"/>
        <v>11968.747757683041</v>
      </c>
      <c r="Q32" s="167">
        <f t="shared" si="7"/>
        <v>11968.747757683041</v>
      </c>
      <c r="R32" s="167">
        <f t="shared" si="7"/>
        <v>11968.747757683041</v>
      </c>
      <c r="S32" s="167">
        <f t="shared" si="7"/>
        <v>11968.747757683041</v>
      </c>
      <c r="T32" s="167">
        <f t="shared" si="7"/>
        <v>11968.747757683041</v>
      </c>
      <c r="U32" s="167">
        <f t="shared" si="7"/>
        <v>11968.747757683041</v>
      </c>
      <c r="V32" s="167">
        <f t="shared" si="7"/>
        <v>11968.747757683041</v>
      </c>
      <c r="W32" s="167">
        <f t="shared" si="7"/>
        <v>11968.747757683041</v>
      </c>
      <c r="X32" s="167">
        <f t="shared" si="7"/>
        <v>11968.747757683041</v>
      </c>
      <c r="Y32" s="167">
        <f t="shared" si="7"/>
        <v>11968.747757683041</v>
      </c>
      <c r="Z32" s="167">
        <f t="shared" si="7"/>
        <v>11968.747757683041</v>
      </c>
      <c r="AA32" s="167">
        <f t="shared" si="7"/>
        <v>11968.747757683041</v>
      </c>
      <c r="AB32" s="167">
        <f t="shared" si="7"/>
        <v>11968.747757683041</v>
      </c>
      <c r="AC32" s="199">
        <f>SUM(D32:AB32)</f>
        <v>299218.693942076</v>
      </c>
    </row>
    <row r="33" spans="1:29">
      <c r="A33" s="152"/>
      <c r="B33" s="837"/>
      <c r="C33" s="152"/>
      <c r="D33" s="174"/>
      <c r="E33" s="167"/>
      <c r="F33" s="167"/>
      <c r="G33" s="167"/>
      <c r="H33" s="167"/>
      <c r="I33" s="167"/>
      <c r="J33" s="167"/>
      <c r="K33" s="167"/>
      <c r="L33" s="167"/>
      <c r="M33" s="167"/>
      <c r="N33" s="167"/>
      <c r="O33" s="167"/>
      <c r="P33" s="167"/>
      <c r="Q33" s="167"/>
      <c r="R33" s="167"/>
      <c r="S33" s="167"/>
      <c r="T33" s="167"/>
      <c r="U33" s="167"/>
      <c r="V33" s="167"/>
      <c r="W33" s="167"/>
      <c r="X33" s="167"/>
      <c r="Y33" s="167"/>
      <c r="Z33" s="167"/>
      <c r="AA33" s="167"/>
      <c r="AB33" s="167"/>
      <c r="AC33" s="197"/>
    </row>
    <row r="34" spans="1:29" hidden="1">
      <c r="A34" s="152"/>
      <c r="D34" s="125"/>
      <c r="E34" s="125"/>
      <c r="F34" s="125"/>
      <c r="G34" s="125"/>
      <c r="H34" s="125"/>
      <c r="I34" s="125"/>
      <c r="J34" s="125"/>
      <c r="K34" s="125"/>
      <c r="L34" s="125"/>
      <c r="M34" s="125"/>
      <c r="N34" s="125"/>
      <c r="O34" s="125"/>
      <c r="P34" s="125"/>
      <c r="Q34" s="125"/>
      <c r="R34" s="125"/>
      <c r="S34" s="125"/>
      <c r="T34" s="125"/>
      <c r="U34" s="125"/>
      <c r="V34" s="125"/>
      <c r="W34" s="125"/>
      <c r="X34" s="125"/>
      <c r="Y34" s="125"/>
      <c r="Z34" s="125"/>
      <c r="AA34" s="125"/>
      <c r="AB34" s="125"/>
      <c r="AC34" s="152"/>
    </row>
    <row r="35" spans="1:29" hidden="1">
      <c r="A35" s="152"/>
      <c r="B35" s="126" t="s">
        <v>49</v>
      </c>
      <c r="C35" s="129"/>
      <c r="D35" s="127"/>
      <c r="E35" s="127"/>
      <c r="F35" s="127"/>
      <c r="G35" s="127"/>
      <c r="H35" s="127"/>
      <c r="I35" s="127"/>
      <c r="J35" s="127"/>
      <c r="K35" s="127"/>
      <c r="L35" s="127"/>
      <c r="M35" s="127"/>
      <c r="N35" s="127"/>
      <c r="O35" s="127"/>
      <c r="P35" s="127"/>
      <c r="Q35" s="127"/>
      <c r="R35" s="127"/>
      <c r="S35" s="127"/>
      <c r="T35" s="127"/>
      <c r="U35" s="127"/>
      <c r="V35" s="127"/>
      <c r="W35" s="127"/>
      <c r="X35" s="127"/>
      <c r="Y35" s="127"/>
      <c r="Z35" s="127"/>
      <c r="AA35" s="127"/>
      <c r="AB35" s="127"/>
      <c r="AC35" s="152"/>
    </row>
    <row r="36" spans="1:29" hidden="1">
      <c r="A36" s="152"/>
      <c r="B36" s="122" t="s">
        <v>50</v>
      </c>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0"/>
      <c r="AB36" s="130"/>
      <c r="AC36" s="152"/>
    </row>
    <row r="37" spans="1:29" hidden="1">
      <c r="A37" s="152"/>
      <c r="B37" s="122" t="s">
        <v>51</v>
      </c>
      <c r="C37" s="131"/>
      <c r="D37" s="128">
        <f>0.4*122136259/15/1000</f>
        <v>3256.9669066666665</v>
      </c>
      <c r="E37" s="128">
        <f t="shared" ref="E37:AB37" si="8">0.4*122136259/15/1000</f>
        <v>3256.9669066666665</v>
      </c>
      <c r="F37" s="128">
        <f t="shared" si="8"/>
        <v>3256.9669066666665</v>
      </c>
      <c r="G37" s="128">
        <f t="shared" si="8"/>
        <v>3256.9669066666665</v>
      </c>
      <c r="H37" s="128">
        <f t="shared" si="8"/>
        <v>3256.9669066666665</v>
      </c>
      <c r="I37" s="128">
        <f t="shared" si="8"/>
        <v>3256.9669066666665</v>
      </c>
      <c r="J37" s="128">
        <f t="shared" si="8"/>
        <v>3256.9669066666665</v>
      </c>
      <c r="K37" s="128">
        <f t="shared" si="8"/>
        <v>3256.9669066666665</v>
      </c>
      <c r="L37" s="128">
        <f t="shared" si="8"/>
        <v>3256.9669066666665</v>
      </c>
      <c r="M37" s="128">
        <f t="shared" si="8"/>
        <v>3256.9669066666665</v>
      </c>
      <c r="N37" s="128">
        <f t="shared" si="8"/>
        <v>3256.9669066666665</v>
      </c>
      <c r="O37" s="128">
        <f t="shared" si="8"/>
        <v>3256.9669066666665</v>
      </c>
      <c r="P37" s="128">
        <f t="shared" si="8"/>
        <v>3256.9669066666665</v>
      </c>
      <c r="Q37" s="128">
        <f t="shared" si="8"/>
        <v>3256.9669066666665</v>
      </c>
      <c r="R37" s="128">
        <f t="shared" si="8"/>
        <v>3256.9669066666665</v>
      </c>
      <c r="S37" s="128">
        <f t="shared" si="8"/>
        <v>3256.9669066666665</v>
      </c>
      <c r="T37" s="128">
        <f t="shared" si="8"/>
        <v>3256.9669066666665</v>
      </c>
      <c r="U37" s="128">
        <f t="shared" si="8"/>
        <v>3256.9669066666665</v>
      </c>
      <c r="V37" s="128">
        <f t="shared" si="8"/>
        <v>3256.9669066666665</v>
      </c>
      <c r="W37" s="128">
        <f t="shared" si="8"/>
        <v>3256.9669066666665</v>
      </c>
      <c r="X37" s="128">
        <f t="shared" si="8"/>
        <v>3256.9669066666665</v>
      </c>
      <c r="Y37" s="128">
        <f t="shared" si="8"/>
        <v>3256.9669066666665</v>
      </c>
      <c r="Z37" s="128">
        <f t="shared" si="8"/>
        <v>3256.9669066666665</v>
      </c>
      <c r="AA37" s="128">
        <f t="shared" si="8"/>
        <v>3256.9669066666665</v>
      </c>
      <c r="AB37" s="128">
        <f t="shared" si="8"/>
        <v>3256.9669066666665</v>
      </c>
      <c r="AC37" s="152"/>
    </row>
    <row r="38" spans="1:29" hidden="1">
      <c r="A38" s="152"/>
      <c r="B38" s="122" t="s">
        <v>52</v>
      </c>
      <c r="C38" s="131"/>
      <c r="D38" s="132">
        <v>374.51</v>
      </c>
      <c r="E38" s="132">
        <v>374.51</v>
      </c>
      <c r="F38" s="132">
        <v>374.51</v>
      </c>
      <c r="G38" s="132">
        <v>374.51</v>
      </c>
      <c r="H38" s="132">
        <v>374.51</v>
      </c>
      <c r="I38" s="132">
        <v>374.51</v>
      </c>
      <c r="J38" s="132">
        <v>374.51</v>
      </c>
      <c r="K38" s="132">
        <v>374.51</v>
      </c>
      <c r="L38" s="132">
        <v>374.51</v>
      </c>
      <c r="M38" s="132">
        <v>374.51</v>
      </c>
      <c r="N38" s="132">
        <v>374.51</v>
      </c>
      <c r="O38" s="132">
        <v>374.51</v>
      </c>
      <c r="P38" s="132">
        <v>374.51</v>
      </c>
      <c r="Q38" s="132">
        <v>374.51</v>
      </c>
      <c r="R38" s="132">
        <v>374.51</v>
      </c>
      <c r="S38" s="132">
        <v>374.51</v>
      </c>
      <c r="T38" s="132">
        <v>374.51</v>
      </c>
      <c r="U38" s="132">
        <v>374.51</v>
      </c>
      <c r="V38" s="132">
        <v>374.51</v>
      </c>
      <c r="W38" s="132">
        <v>374.51</v>
      </c>
      <c r="X38" s="132">
        <v>374.51</v>
      </c>
      <c r="Y38" s="132">
        <v>374.51</v>
      </c>
      <c r="Z38" s="132">
        <v>374.51</v>
      </c>
      <c r="AA38" s="132">
        <v>374.51</v>
      </c>
      <c r="AB38" s="132">
        <v>374.51</v>
      </c>
      <c r="AC38" s="152"/>
    </row>
    <row r="39" spans="1:29" hidden="1">
      <c r="A39" s="152"/>
      <c r="B39" s="122" t="s">
        <v>53</v>
      </c>
      <c r="C39" s="131"/>
      <c r="D39" s="132">
        <v>4.8600000000000003</v>
      </c>
      <c r="E39" s="132">
        <v>4.8600000000000003</v>
      </c>
      <c r="F39" s="132">
        <v>4.8600000000000003</v>
      </c>
      <c r="G39" s="132">
        <v>4.8600000000000003</v>
      </c>
      <c r="H39" s="132">
        <v>4.8600000000000003</v>
      </c>
      <c r="I39" s="132">
        <v>4.8600000000000003</v>
      </c>
      <c r="J39" s="132">
        <v>4.8600000000000003</v>
      </c>
      <c r="K39" s="132">
        <v>4.8600000000000003</v>
      </c>
      <c r="L39" s="132">
        <v>4.8600000000000003</v>
      </c>
      <c r="M39" s="132">
        <v>4.8600000000000003</v>
      </c>
      <c r="N39" s="132">
        <v>4.8600000000000003</v>
      </c>
      <c r="O39" s="132">
        <v>4.8600000000000003</v>
      </c>
      <c r="P39" s="132">
        <v>4.8600000000000003</v>
      </c>
      <c r="Q39" s="132">
        <v>4.8600000000000003</v>
      </c>
      <c r="R39" s="132">
        <v>4.8600000000000003</v>
      </c>
      <c r="S39" s="132">
        <v>4.8600000000000003</v>
      </c>
      <c r="T39" s="132">
        <v>4.8600000000000003</v>
      </c>
      <c r="U39" s="132">
        <v>4.8600000000000003</v>
      </c>
      <c r="V39" s="132">
        <v>4.8600000000000003</v>
      </c>
      <c r="W39" s="132">
        <v>4.8600000000000003</v>
      </c>
      <c r="X39" s="132">
        <v>4.8600000000000003</v>
      </c>
      <c r="Y39" s="132">
        <v>4.8600000000000003</v>
      </c>
      <c r="Z39" s="132">
        <v>4.8600000000000003</v>
      </c>
      <c r="AA39" s="132">
        <v>4.8600000000000003</v>
      </c>
      <c r="AB39" s="132">
        <v>4.8600000000000003</v>
      </c>
      <c r="AC39" s="152"/>
    </row>
    <row r="40" spans="1:29" hidden="1">
      <c r="A40" s="152"/>
      <c r="B40" s="122" t="s">
        <v>54</v>
      </c>
      <c r="C40" s="131"/>
      <c r="D40" s="125">
        <f>D38*D39</f>
        <v>1820.1186</v>
      </c>
      <c r="E40" s="125">
        <f t="shared" ref="E40:W40" si="9">E38*E39</f>
        <v>1820.1186</v>
      </c>
      <c r="F40" s="125">
        <f t="shared" si="9"/>
        <v>1820.1186</v>
      </c>
      <c r="G40" s="125">
        <f t="shared" si="9"/>
        <v>1820.1186</v>
      </c>
      <c r="H40" s="125">
        <f t="shared" si="9"/>
        <v>1820.1186</v>
      </c>
      <c r="I40" s="125">
        <f t="shared" si="9"/>
        <v>1820.1186</v>
      </c>
      <c r="J40" s="125">
        <f t="shared" si="9"/>
        <v>1820.1186</v>
      </c>
      <c r="K40" s="125">
        <f t="shared" si="9"/>
        <v>1820.1186</v>
      </c>
      <c r="L40" s="125">
        <f t="shared" si="9"/>
        <v>1820.1186</v>
      </c>
      <c r="M40" s="125">
        <f t="shared" si="9"/>
        <v>1820.1186</v>
      </c>
      <c r="N40" s="125">
        <f t="shared" si="9"/>
        <v>1820.1186</v>
      </c>
      <c r="O40" s="125">
        <f t="shared" si="9"/>
        <v>1820.1186</v>
      </c>
      <c r="P40" s="125">
        <f t="shared" si="9"/>
        <v>1820.1186</v>
      </c>
      <c r="Q40" s="125">
        <f t="shared" si="9"/>
        <v>1820.1186</v>
      </c>
      <c r="R40" s="125">
        <f t="shared" si="9"/>
        <v>1820.1186</v>
      </c>
      <c r="S40" s="125">
        <f t="shared" si="9"/>
        <v>1820.1186</v>
      </c>
      <c r="T40" s="125">
        <f t="shared" si="9"/>
        <v>1820.1186</v>
      </c>
      <c r="U40" s="125">
        <f t="shared" si="9"/>
        <v>1820.1186</v>
      </c>
      <c r="V40" s="125">
        <f t="shared" si="9"/>
        <v>1820.1186</v>
      </c>
      <c r="W40" s="125">
        <f t="shared" si="9"/>
        <v>1820.1186</v>
      </c>
      <c r="X40" s="125">
        <f>X38*X39</f>
        <v>1820.1186</v>
      </c>
      <c r="Y40" s="125">
        <f>Y38*Y39</f>
        <v>1820.1186</v>
      </c>
      <c r="Z40" s="125">
        <f>Z38*Z39</f>
        <v>1820.1186</v>
      </c>
      <c r="AA40" s="125">
        <f>AA38*AA39</f>
        <v>1820.1186</v>
      </c>
      <c r="AB40" s="125">
        <f>AB38*AB39</f>
        <v>1820.1186</v>
      </c>
      <c r="AC40" s="152"/>
    </row>
    <row r="41" spans="1:29" hidden="1">
      <c r="A41" s="152"/>
      <c r="D41" s="125"/>
      <c r="E41" s="125"/>
      <c r="F41" s="125"/>
      <c r="G41" s="125"/>
      <c r="H41" s="125"/>
      <c r="I41" s="125"/>
      <c r="J41" s="125"/>
      <c r="K41" s="125"/>
      <c r="L41" s="125"/>
      <c r="M41" s="125"/>
      <c r="N41" s="125"/>
      <c r="O41" s="125"/>
      <c r="P41" s="125"/>
      <c r="Q41" s="125"/>
      <c r="R41" s="125"/>
      <c r="S41" s="125"/>
      <c r="T41" s="125"/>
      <c r="U41" s="125"/>
      <c r="V41" s="125"/>
      <c r="W41" s="125"/>
      <c r="X41" s="125"/>
      <c r="Y41" s="125"/>
      <c r="Z41" s="125"/>
      <c r="AA41" s="125"/>
      <c r="AB41" s="125"/>
      <c r="AC41" s="152"/>
    </row>
    <row r="42" spans="1:29" hidden="1">
      <c r="A42" s="157" t="s">
        <v>48</v>
      </c>
      <c r="B42" s="153" t="s">
        <v>55</v>
      </c>
      <c r="C42" s="169"/>
      <c r="D42" s="170"/>
      <c r="E42" s="170"/>
      <c r="F42" s="170"/>
      <c r="G42" s="170"/>
      <c r="H42" s="170"/>
      <c r="I42" s="170"/>
      <c r="J42" s="170"/>
      <c r="K42" s="170"/>
      <c r="L42" s="170"/>
      <c r="M42" s="170"/>
      <c r="N42" s="170"/>
      <c r="O42" s="170"/>
      <c r="P42" s="170"/>
      <c r="Q42" s="170"/>
      <c r="R42" s="170"/>
      <c r="S42" s="170"/>
      <c r="T42" s="170"/>
      <c r="U42" s="170"/>
      <c r="V42" s="170"/>
      <c r="W42" s="170"/>
      <c r="X42" s="170"/>
      <c r="Y42" s="170"/>
      <c r="Z42" s="170"/>
      <c r="AA42" s="170"/>
      <c r="AB42" s="170"/>
      <c r="AC42" s="152"/>
    </row>
    <row r="43" spans="1:29" hidden="1">
      <c r="A43" s="152"/>
      <c r="B43" s="152" t="s">
        <v>56</v>
      </c>
      <c r="C43" s="152">
        <v>1.292</v>
      </c>
      <c r="D43" s="167"/>
      <c r="E43" s="167"/>
      <c r="F43" s="167"/>
      <c r="G43" s="167"/>
      <c r="H43" s="167"/>
      <c r="I43" s="167"/>
      <c r="J43" s="167"/>
      <c r="K43" s="167"/>
      <c r="L43" s="167"/>
      <c r="M43" s="167"/>
      <c r="N43" s="167"/>
      <c r="O43" s="167"/>
      <c r="P43" s="167"/>
      <c r="Q43" s="167"/>
      <c r="R43" s="167"/>
      <c r="S43" s="167"/>
      <c r="T43" s="167"/>
      <c r="U43" s="167"/>
      <c r="V43" s="167"/>
      <c r="W43" s="167"/>
      <c r="X43" s="167"/>
      <c r="Y43" s="167"/>
      <c r="Z43" s="167"/>
      <c r="AA43" s="167"/>
      <c r="AB43" s="167"/>
      <c r="AC43" s="152"/>
    </row>
    <row r="44" spans="1:29" hidden="1">
      <c r="A44" s="152"/>
      <c r="B44" s="152" t="s">
        <v>57</v>
      </c>
      <c r="C44" s="176">
        <f>+'Emissions CalculationsGuinea '!C44+'Emissions CalculationsSenegal'!C45+'Emissions CalculationsTogo'!C44</f>
        <v>39178</v>
      </c>
      <c r="D44" s="167"/>
      <c r="E44" s="167"/>
      <c r="F44" s="167"/>
      <c r="G44" s="167"/>
      <c r="H44" s="167"/>
      <c r="I44" s="167"/>
      <c r="J44" s="167"/>
      <c r="K44" s="167"/>
      <c r="L44" s="167"/>
      <c r="M44" s="167"/>
      <c r="N44" s="167"/>
      <c r="O44" s="167"/>
      <c r="P44" s="167"/>
      <c r="Q44" s="167"/>
      <c r="R44" s="167"/>
      <c r="S44" s="167"/>
      <c r="T44" s="167"/>
      <c r="U44" s="167"/>
      <c r="V44" s="167"/>
      <c r="W44" s="167"/>
      <c r="X44" s="167"/>
      <c r="Y44" s="167"/>
      <c r="Z44" s="167"/>
      <c r="AA44" s="167"/>
      <c r="AB44" s="167"/>
      <c r="AC44" s="152"/>
    </row>
    <row r="45" spans="1:29" hidden="1">
      <c r="A45" s="152"/>
      <c r="B45" s="152" t="s">
        <v>54</v>
      </c>
      <c r="C45" s="152"/>
      <c r="D45" s="177"/>
      <c r="E45" s="177"/>
      <c r="F45" s="177"/>
      <c r="G45" s="177"/>
      <c r="H45" s="177"/>
      <c r="I45" s="177"/>
      <c r="J45" s="177"/>
      <c r="K45" s="177"/>
      <c r="L45" s="177"/>
      <c r="M45" s="177"/>
      <c r="N45" s="177"/>
      <c r="O45" s="177"/>
      <c r="P45" s="177"/>
      <c r="Q45" s="177"/>
      <c r="R45" s="177"/>
      <c r="S45" s="177"/>
      <c r="T45" s="177"/>
      <c r="U45" s="177"/>
      <c r="V45" s="177"/>
      <c r="W45" s="177"/>
      <c r="X45" s="177"/>
      <c r="Y45" s="177"/>
      <c r="Z45" s="177"/>
      <c r="AA45" s="177"/>
      <c r="AB45" s="177"/>
      <c r="AC45" s="198"/>
    </row>
    <row r="46" spans="1:29" hidden="1">
      <c r="A46" s="152"/>
      <c r="B46" s="152"/>
      <c r="C46" s="152"/>
      <c r="D46" s="177"/>
      <c r="E46" s="177"/>
      <c r="F46" s="177"/>
      <c r="G46" s="177"/>
      <c r="H46" s="177"/>
      <c r="I46" s="177"/>
      <c r="J46" s="177"/>
      <c r="K46" s="177"/>
      <c r="L46" s="177"/>
      <c r="M46" s="177"/>
      <c r="N46" s="177"/>
      <c r="O46" s="177"/>
      <c r="P46" s="177"/>
      <c r="Q46" s="177"/>
      <c r="R46" s="177"/>
      <c r="S46" s="177"/>
      <c r="T46" s="177"/>
      <c r="U46" s="177"/>
      <c r="V46" s="177"/>
      <c r="W46" s="177"/>
      <c r="X46" s="177"/>
      <c r="Y46" s="177"/>
      <c r="Z46" s="177"/>
      <c r="AA46" s="177"/>
      <c r="AB46" s="177"/>
      <c r="AC46" s="152"/>
    </row>
    <row r="47" spans="1:29" hidden="1">
      <c r="A47" s="152"/>
      <c r="D47" s="128"/>
      <c r="E47" s="128"/>
      <c r="F47" s="128"/>
      <c r="G47" s="128"/>
      <c r="H47" s="128"/>
      <c r="I47" s="128"/>
      <c r="J47" s="128"/>
      <c r="K47" s="128"/>
      <c r="L47" s="128"/>
      <c r="M47" s="128"/>
      <c r="N47" s="128"/>
      <c r="O47" s="128"/>
      <c r="P47" s="128"/>
      <c r="Q47" s="128"/>
      <c r="R47" s="128"/>
      <c r="S47" s="128"/>
      <c r="T47" s="128"/>
      <c r="U47" s="128"/>
      <c r="V47" s="128"/>
      <c r="W47" s="128"/>
      <c r="X47" s="128"/>
      <c r="Y47" s="128"/>
      <c r="Z47" s="128"/>
      <c r="AA47" s="128"/>
      <c r="AB47" s="128"/>
      <c r="AC47" s="152"/>
    </row>
    <row r="48" spans="1:29" ht="29.1">
      <c r="A48" s="173" t="s">
        <v>72</v>
      </c>
      <c r="B48" s="866" t="s">
        <v>73</v>
      </c>
      <c r="C48" s="178" t="s">
        <v>74</v>
      </c>
      <c r="D48" s="178"/>
      <c r="E48" s="178"/>
      <c r="F48" s="178"/>
      <c r="G48" s="178" t="s">
        <v>12</v>
      </c>
      <c r="H48" s="177"/>
      <c r="I48" s="177"/>
      <c r="J48" s="177"/>
      <c r="K48" s="177"/>
      <c r="L48" s="177"/>
      <c r="M48" s="177"/>
      <c r="N48" s="177"/>
      <c r="O48" s="177"/>
      <c r="P48" s="177"/>
      <c r="Q48" s="177"/>
      <c r="R48" s="177"/>
      <c r="S48" s="177"/>
      <c r="T48" s="177"/>
      <c r="U48" s="177"/>
      <c r="V48" s="177"/>
      <c r="W48" s="177"/>
      <c r="X48" s="177"/>
      <c r="Y48" s="177"/>
      <c r="Z48" s="177"/>
      <c r="AA48" s="177"/>
      <c r="AB48" s="177"/>
      <c r="AC48" s="152"/>
    </row>
    <row r="49" spans="1:29">
      <c r="A49" s="152"/>
      <c r="B49" s="179"/>
      <c r="C49" s="179"/>
      <c r="D49" s="179" t="s">
        <v>10</v>
      </c>
      <c r="E49" s="179" t="s">
        <v>8</v>
      </c>
      <c r="F49" s="179" t="s">
        <v>6</v>
      </c>
      <c r="G49" s="179"/>
      <c r="H49" s="177"/>
      <c r="I49" s="177"/>
      <c r="J49" s="177"/>
      <c r="K49" s="177"/>
      <c r="L49" s="177"/>
      <c r="M49" s="177"/>
      <c r="N49" s="177"/>
      <c r="O49" s="177"/>
      <c r="P49" s="177"/>
      <c r="Q49" s="177"/>
      <c r="R49" s="177"/>
      <c r="S49" s="177"/>
      <c r="T49" s="177"/>
      <c r="U49" s="177"/>
      <c r="V49" s="177"/>
      <c r="W49" s="177"/>
      <c r="X49" s="177"/>
      <c r="Y49" s="177"/>
      <c r="Z49" s="177"/>
      <c r="AA49" s="177"/>
      <c r="AB49" s="177"/>
      <c r="AC49" s="152"/>
    </row>
    <row r="50" spans="1:29">
      <c r="A50" s="152"/>
      <c r="B50" s="179" t="s">
        <v>75</v>
      </c>
      <c r="C50" s="801"/>
      <c r="D50" s="801">
        <v>10000</v>
      </c>
      <c r="E50" s="801">
        <v>20000</v>
      </c>
      <c r="F50" s="801">
        <v>10000</v>
      </c>
      <c r="G50" s="180">
        <f>SUM(D50:F50)</f>
        <v>40000</v>
      </c>
      <c r="H50" s="177"/>
      <c r="I50" s="177"/>
      <c r="J50" s="177"/>
      <c r="K50" s="177"/>
      <c r="L50" s="177"/>
      <c r="M50" s="177"/>
      <c r="N50" s="177"/>
      <c r="O50" s="177"/>
      <c r="P50" s="177"/>
      <c r="Q50" s="177"/>
      <c r="R50" s="177"/>
      <c r="S50" s="177"/>
      <c r="T50" s="177"/>
      <c r="U50" s="177"/>
      <c r="V50" s="177"/>
      <c r="W50" s="177"/>
      <c r="X50" s="177"/>
      <c r="Y50" s="177"/>
      <c r="Z50" s="177"/>
      <c r="AA50" s="177"/>
      <c r="AB50" s="177"/>
      <c r="AC50" s="152"/>
    </row>
    <row r="51" spans="1:29">
      <c r="A51" s="152"/>
      <c r="B51" s="182" t="s">
        <v>76</v>
      </c>
      <c r="C51" s="183"/>
      <c r="D51" s="183">
        <v>1645668</v>
      </c>
      <c r="E51" s="183">
        <v>3291336</v>
      </c>
      <c r="F51" s="183">
        <v>806262</v>
      </c>
      <c r="G51" s="183">
        <f>SUM(C51:F51)</f>
        <v>5743266</v>
      </c>
      <c r="H51" s="177"/>
      <c r="I51" s="177"/>
      <c r="J51" s="177"/>
      <c r="K51" s="177"/>
      <c r="L51" s="177"/>
      <c r="M51" s="177"/>
      <c r="N51" s="177"/>
      <c r="O51" s="177"/>
      <c r="P51" s="177"/>
      <c r="Q51" s="177"/>
      <c r="R51" s="177"/>
      <c r="S51" s="177"/>
      <c r="T51" s="177"/>
      <c r="U51" s="177"/>
      <c r="V51" s="177"/>
      <c r="W51" s="177"/>
      <c r="X51" s="177"/>
      <c r="Y51" s="177"/>
      <c r="Z51" s="177"/>
      <c r="AA51" s="177"/>
      <c r="AB51" s="177"/>
      <c r="AC51" s="152"/>
    </row>
    <row r="52" spans="1:29">
      <c r="A52" s="152"/>
      <c r="B52" s="824"/>
      <c r="C52" s="825"/>
      <c r="D52" s="825"/>
      <c r="E52" s="825"/>
      <c r="F52" s="825"/>
      <c r="G52" s="825"/>
      <c r="H52" s="177"/>
      <c r="I52" s="177"/>
      <c r="J52" s="177"/>
      <c r="K52" s="177"/>
      <c r="L52" s="177"/>
      <c r="M52" s="177"/>
      <c r="N52" s="177"/>
      <c r="O52" s="177"/>
      <c r="P52" s="177"/>
      <c r="Q52" s="177"/>
      <c r="R52" s="177"/>
      <c r="S52" s="177"/>
      <c r="T52" s="177"/>
      <c r="U52" s="177"/>
      <c r="V52" s="177"/>
      <c r="W52" s="177"/>
      <c r="X52" s="177"/>
      <c r="Y52" s="177"/>
      <c r="Z52" s="177"/>
      <c r="AA52" s="177"/>
      <c r="AB52" s="177"/>
      <c r="AC52" s="152"/>
    </row>
    <row r="53" spans="1:29">
      <c r="A53" s="152"/>
      <c r="B53" s="840" t="s">
        <v>77</v>
      </c>
      <c r="C53" s="832">
        <v>31</v>
      </c>
      <c r="D53" s="177"/>
      <c r="E53" s="177"/>
      <c r="F53" s="177"/>
      <c r="G53" s="177"/>
      <c r="H53" s="177"/>
      <c r="I53" s="177"/>
      <c r="J53" s="177"/>
      <c r="K53" s="177"/>
      <c r="L53" s="177"/>
      <c r="M53" s="177"/>
      <c r="N53" s="177"/>
      <c r="O53" s="177"/>
      <c r="P53" s="177"/>
      <c r="Q53" s="177"/>
      <c r="R53" s="177"/>
      <c r="S53" s="177"/>
      <c r="T53" s="177"/>
      <c r="U53" s="177"/>
      <c r="V53" s="177"/>
      <c r="W53" s="177"/>
      <c r="X53" s="177"/>
      <c r="Y53" s="177"/>
      <c r="Z53" s="177"/>
      <c r="AA53" s="177"/>
      <c r="AB53" s="177"/>
      <c r="AC53" s="152"/>
    </row>
    <row r="54" spans="1:29" s="150" customFormat="1">
      <c r="A54" s="841"/>
      <c r="B54" s="827" t="s">
        <v>78</v>
      </c>
      <c r="C54" s="842"/>
      <c r="D54" s="828">
        <v>0</v>
      </c>
      <c r="E54" s="843">
        <v>0</v>
      </c>
      <c r="F54" s="843">
        <v>0</v>
      </c>
      <c r="G54" s="843">
        <v>0</v>
      </c>
      <c r="H54" s="843">
        <v>0</v>
      </c>
      <c r="I54" s="843">
        <f>G51</f>
        <v>5743266</v>
      </c>
      <c r="J54" s="843">
        <f>I54</f>
        <v>5743266</v>
      </c>
      <c r="K54" s="843">
        <f t="shared" ref="K54:AB54" si="10">J54</f>
        <v>5743266</v>
      </c>
      <c r="L54" s="843">
        <f t="shared" si="10"/>
        <v>5743266</v>
      </c>
      <c r="M54" s="843">
        <f t="shared" si="10"/>
        <v>5743266</v>
      </c>
      <c r="N54" s="843">
        <f t="shared" si="10"/>
        <v>5743266</v>
      </c>
      <c r="O54" s="843">
        <f t="shared" si="10"/>
        <v>5743266</v>
      </c>
      <c r="P54" s="843">
        <f t="shared" si="10"/>
        <v>5743266</v>
      </c>
      <c r="Q54" s="843">
        <f t="shared" si="10"/>
        <v>5743266</v>
      </c>
      <c r="R54" s="843">
        <f t="shared" si="10"/>
        <v>5743266</v>
      </c>
      <c r="S54" s="843">
        <f t="shared" si="10"/>
        <v>5743266</v>
      </c>
      <c r="T54" s="843">
        <f t="shared" si="10"/>
        <v>5743266</v>
      </c>
      <c r="U54" s="843">
        <f t="shared" si="10"/>
        <v>5743266</v>
      </c>
      <c r="V54" s="843">
        <f t="shared" si="10"/>
        <v>5743266</v>
      </c>
      <c r="W54" s="843">
        <f t="shared" si="10"/>
        <v>5743266</v>
      </c>
      <c r="X54" s="843">
        <f t="shared" si="10"/>
        <v>5743266</v>
      </c>
      <c r="Y54" s="843">
        <f t="shared" si="10"/>
        <v>5743266</v>
      </c>
      <c r="Z54" s="843">
        <f t="shared" si="10"/>
        <v>5743266</v>
      </c>
      <c r="AA54" s="843">
        <f t="shared" si="10"/>
        <v>5743266</v>
      </c>
      <c r="AB54" s="843">
        <f t="shared" si="10"/>
        <v>5743266</v>
      </c>
      <c r="AC54" s="841">
        <f>SUM(D54:AB54)</f>
        <v>114865320</v>
      </c>
    </row>
    <row r="55" spans="1:29">
      <c r="A55" s="152"/>
      <c r="B55" s="829" t="s">
        <v>79</v>
      </c>
      <c r="C55" s="826"/>
      <c r="D55" s="830"/>
      <c r="E55" s="831"/>
      <c r="F55" s="831"/>
      <c r="G55" s="831"/>
      <c r="H55" s="831"/>
      <c r="I55" s="833">
        <f>I54*$C$53</f>
        <v>178041246</v>
      </c>
      <c r="J55" s="833">
        <f t="shared" ref="J55:AB55" si="11">J54*$C$53</f>
        <v>178041246</v>
      </c>
      <c r="K55" s="833">
        <f t="shared" si="11"/>
        <v>178041246</v>
      </c>
      <c r="L55" s="833">
        <f t="shared" si="11"/>
        <v>178041246</v>
      </c>
      <c r="M55" s="833">
        <f t="shared" si="11"/>
        <v>178041246</v>
      </c>
      <c r="N55" s="833">
        <f t="shared" si="11"/>
        <v>178041246</v>
      </c>
      <c r="O55" s="833">
        <f t="shared" si="11"/>
        <v>178041246</v>
      </c>
      <c r="P55" s="833">
        <f t="shared" si="11"/>
        <v>178041246</v>
      </c>
      <c r="Q55" s="833">
        <f t="shared" si="11"/>
        <v>178041246</v>
      </c>
      <c r="R55" s="833">
        <f t="shared" si="11"/>
        <v>178041246</v>
      </c>
      <c r="S55" s="833">
        <f t="shared" si="11"/>
        <v>178041246</v>
      </c>
      <c r="T55" s="833">
        <f t="shared" si="11"/>
        <v>178041246</v>
      </c>
      <c r="U55" s="833">
        <f t="shared" si="11"/>
        <v>178041246</v>
      </c>
      <c r="V55" s="833">
        <f t="shared" si="11"/>
        <v>178041246</v>
      </c>
      <c r="W55" s="833">
        <f t="shared" si="11"/>
        <v>178041246</v>
      </c>
      <c r="X55" s="833">
        <f t="shared" si="11"/>
        <v>178041246</v>
      </c>
      <c r="Y55" s="833">
        <f t="shared" si="11"/>
        <v>178041246</v>
      </c>
      <c r="Z55" s="833">
        <f t="shared" si="11"/>
        <v>178041246</v>
      </c>
      <c r="AA55" s="833">
        <f t="shared" si="11"/>
        <v>178041246</v>
      </c>
      <c r="AB55" s="833">
        <f t="shared" si="11"/>
        <v>178041246</v>
      </c>
      <c r="AC55" s="841">
        <f>SUM(D55:AB55)</f>
        <v>3560824920</v>
      </c>
    </row>
    <row r="56" spans="1:29">
      <c r="A56" s="152"/>
      <c r="B56" s="188"/>
      <c r="C56" s="152"/>
      <c r="D56" s="202"/>
      <c r="E56" s="171"/>
      <c r="F56" s="171"/>
      <c r="G56" s="171"/>
      <c r="H56" s="171"/>
      <c r="I56" s="171"/>
      <c r="J56" s="171"/>
      <c r="K56" s="171"/>
      <c r="L56" s="171"/>
      <c r="M56" s="171"/>
      <c r="N56" s="171"/>
      <c r="O56" s="171"/>
      <c r="P56" s="171"/>
      <c r="Q56" s="171"/>
      <c r="R56" s="171"/>
      <c r="S56" s="171"/>
      <c r="T56" s="171"/>
      <c r="U56" s="171"/>
      <c r="V56" s="171"/>
      <c r="W56" s="171"/>
      <c r="X56" s="171"/>
      <c r="Y56" s="171"/>
      <c r="Z56" s="171"/>
      <c r="AA56" s="171"/>
      <c r="AB56" s="171"/>
      <c r="AC56" s="152"/>
    </row>
    <row r="57" spans="1:29">
      <c r="A57" s="152"/>
      <c r="B57" s="200" t="s">
        <v>80</v>
      </c>
      <c r="C57" s="152">
        <f>-'Roads construction and rehab'!D15</f>
        <v>-58894.399999999994</v>
      </c>
      <c r="D57" s="202"/>
      <c r="E57" s="171"/>
      <c r="F57" s="171"/>
      <c r="G57" s="171"/>
      <c r="H57" s="171"/>
      <c r="I57" s="171"/>
      <c r="J57" s="171"/>
      <c r="K57" s="171"/>
      <c r="L57" s="171"/>
      <c r="M57" s="171"/>
      <c r="N57" s="171"/>
      <c r="O57" s="171"/>
      <c r="P57" s="171"/>
      <c r="Q57" s="171"/>
      <c r="R57" s="171"/>
      <c r="S57" s="171"/>
      <c r="T57" s="171"/>
      <c r="U57" s="171"/>
      <c r="V57" s="171"/>
      <c r="W57" s="171"/>
      <c r="X57" s="171"/>
      <c r="Y57" s="171"/>
      <c r="Z57" s="171"/>
      <c r="AA57" s="171"/>
      <c r="AB57" s="171"/>
      <c r="AC57" s="152"/>
    </row>
    <row r="58" spans="1:29">
      <c r="A58" s="152"/>
      <c r="B58" s="188"/>
      <c r="C58" s="152"/>
      <c r="D58" s="202"/>
      <c r="E58" s="171"/>
      <c r="F58" s="171"/>
      <c r="G58" s="171"/>
      <c r="H58" s="171"/>
      <c r="I58" s="171"/>
      <c r="J58" s="171"/>
      <c r="K58" s="171"/>
      <c r="L58" s="171"/>
      <c r="M58" s="171"/>
      <c r="N58" s="171"/>
      <c r="O58" s="171"/>
      <c r="P58" s="171"/>
      <c r="Q58" s="171"/>
      <c r="R58" s="171"/>
      <c r="S58" s="171"/>
      <c r="T58" s="171"/>
      <c r="U58" s="171"/>
      <c r="V58" s="171"/>
      <c r="W58" s="171"/>
      <c r="X58" s="171"/>
      <c r="Y58" s="171"/>
      <c r="Z58" s="171"/>
      <c r="AA58" s="171"/>
      <c r="AB58" s="171"/>
      <c r="AC58" s="152"/>
    </row>
    <row r="59" spans="1:29">
      <c r="A59" s="152"/>
      <c r="B59" s="203" t="s">
        <v>61</v>
      </c>
      <c r="C59" s="152"/>
      <c r="D59" s="133">
        <f>+D54+D45+D32+D31+D30+D29</f>
        <v>451586.07492518</v>
      </c>
      <c r="E59" s="133">
        <f>+E54+E45+E32+E31+E30+E29</f>
        <v>451586.07492518</v>
      </c>
      <c r="F59" s="133">
        <f>+F54+F45+F32+F31+F30+F29</f>
        <v>451586.07492518</v>
      </c>
      <c r="G59" s="133">
        <f>+G54+G45+G32+G31+G30+G29</f>
        <v>451586.07492518</v>
      </c>
      <c r="H59" s="133">
        <f>+H54+H45+H32+H31+H30+H29</f>
        <v>451586.07492518</v>
      </c>
      <c r="I59" s="133">
        <f>+I54+I45+I32+I31+I30+I29</f>
        <v>6193845.0046859188</v>
      </c>
      <c r="J59" s="133">
        <f>+J54+J45+J32+J31+J30+J29</f>
        <v>6193845.0046859188</v>
      </c>
      <c r="K59" s="133">
        <f>+K54+K45+K32+K31+K30+K29</f>
        <v>6193845.0046859188</v>
      </c>
      <c r="L59" s="133">
        <f>+L54+L45+L32+L31+L30+L29</f>
        <v>6193845.0046859188</v>
      </c>
      <c r="M59" s="133">
        <f>+M54+M45+M32+M31+M30+M29</f>
        <v>6193845.0046859188</v>
      </c>
      <c r="N59" s="133">
        <f>+N54+N45+N32+N31+N30+N29</f>
        <v>6193845.0046859188</v>
      </c>
      <c r="O59" s="133">
        <f>+O54+O45+O32+O31+O30+O29</f>
        <v>6193845.0046859188</v>
      </c>
      <c r="P59" s="133">
        <f>+P54+P45+P32+P31+P30+P29</f>
        <v>6193845.0046859188</v>
      </c>
      <c r="Q59" s="133">
        <f>+Q54+Q45+Q32+Q31+Q30+Q29</f>
        <v>6193845.0046859188</v>
      </c>
      <c r="R59" s="133">
        <f>+R54+R45+R32+R31+R30+R29</f>
        <v>6193845.0046859188</v>
      </c>
      <c r="S59" s="133">
        <f>+S54+S45+S32+S31+S30+S29</f>
        <v>6193845.0046859188</v>
      </c>
      <c r="T59" s="133">
        <f>+T54+T45+T32+T31+T30+T29</f>
        <v>6193845.0046859188</v>
      </c>
      <c r="U59" s="133">
        <f>+U54+U45+U32+U31+U30+U29</f>
        <v>6193845.0046859188</v>
      </c>
      <c r="V59" s="133">
        <f>+V54+V45+V32+V31+V30+V29</f>
        <v>6193845.0046859188</v>
      </c>
      <c r="W59" s="133">
        <f>+W54+W45+W32+W31+W30+W29</f>
        <v>6193845.0046859188</v>
      </c>
      <c r="X59" s="133">
        <f>+X54+X45+X32+X31+X30+X29</f>
        <v>6193845.0046859188</v>
      </c>
      <c r="Y59" s="133">
        <f>+Y54+Y45+Y32+Y31+Y30+Y29</f>
        <v>6193845.0046859188</v>
      </c>
      <c r="Z59" s="133">
        <f>+Z54+Z45+Z32+Z31+Z30+Z29</f>
        <v>6193845.0046859188</v>
      </c>
      <c r="AA59" s="133">
        <f>+AA54+AA45+AA32+AA31+AA30+AA29</f>
        <v>6193845.0046859188</v>
      </c>
      <c r="AB59" s="133">
        <f>+AB54+AB45+AB32+AB31+AB30+AB29</f>
        <v>6193845.0046859188</v>
      </c>
      <c r="AC59" s="152"/>
    </row>
    <row r="60" spans="1:29">
      <c r="A60" s="152"/>
      <c r="B60" s="203"/>
      <c r="C60" s="152"/>
      <c r="D60" s="177"/>
      <c r="E60" s="177"/>
      <c r="F60" s="177"/>
      <c r="G60" s="177"/>
      <c r="H60" s="177"/>
      <c r="I60" s="177"/>
      <c r="J60" s="177"/>
      <c r="K60" s="177"/>
      <c r="L60" s="177"/>
      <c r="M60" s="177"/>
      <c r="N60" s="177"/>
      <c r="O60" s="177"/>
      <c r="P60" s="177"/>
      <c r="Q60" s="177"/>
      <c r="R60" s="177"/>
      <c r="S60" s="177"/>
      <c r="T60" s="177"/>
      <c r="U60" s="177"/>
      <c r="V60" s="177"/>
      <c r="W60" s="177"/>
      <c r="X60" s="152"/>
      <c r="Y60" s="152"/>
      <c r="Z60" s="152"/>
      <c r="AA60" s="152"/>
      <c r="AB60" s="152"/>
      <c r="AC60" s="152"/>
    </row>
    <row r="61" spans="1:29">
      <c r="A61" s="152"/>
      <c r="B61" s="203" t="s">
        <v>81</v>
      </c>
      <c r="C61" s="172">
        <f>SUM(D59:M59)+C57</f>
        <v>33168260.998055499</v>
      </c>
      <c r="D61" s="152"/>
      <c r="E61" s="152"/>
      <c r="F61" s="152"/>
      <c r="G61" s="152"/>
      <c r="H61" s="152"/>
      <c r="I61" s="152"/>
      <c r="J61" s="152"/>
      <c r="K61" s="152"/>
      <c r="L61" s="152"/>
      <c r="M61" s="152"/>
      <c r="N61" s="152"/>
      <c r="O61" s="152"/>
      <c r="P61" s="152"/>
      <c r="Q61" s="152"/>
      <c r="R61" s="152"/>
      <c r="S61" s="152"/>
      <c r="T61" s="152"/>
      <c r="U61" s="152"/>
      <c r="V61" s="152"/>
      <c r="W61" s="152"/>
      <c r="X61" s="152"/>
      <c r="Y61" s="152"/>
      <c r="Z61" s="152"/>
      <c r="AA61" s="152"/>
      <c r="AB61" s="152"/>
      <c r="AC61" s="152"/>
    </row>
    <row r="62" spans="1:29">
      <c r="A62" s="152"/>
      <c r="B62" s="203" t="s">
        <v>82</v>
      </c>
      <c r="C62" s="172">
        <f>SUM(D59:AB59)+C57</f>
        <v>126075936.06834431</v>
      </c>
      <c r="D62" s="152"/>
      <c r="E62" s="152"/>
      <c r="F62" s="152"/>
      <c r="G62" s="152"/>
      <c r="H62" s="152"/>
      <c r="I62" s="152"/>
      <c r="J62" s="152"/>
      <c r="K62" s="152"/>
      <c r="L62" s="152"/>
      <c r="M62" s="152"/>
      <c r="N62" s="152"/>
      <c r="O62" s="152"/>
      <c r="P62" s="152"/>
      <c r="Q62" s="152"/>
      <c r="R62" s="152"/>
      <c r="S62" s="152"/>
      <c r="T62" s="152"/>
      <c r="U62" s="152"/>
      <c r="V62" s="152"/>
      <c r="W62" s="152"/>
      <c r="X62" s="152"/>
      <c r="Y62" s="152"/>
      <c r="Z62" s="152"/>
      <c r="AA62" s="152"/>
      <c r="AB62" s="152"/>
      <c r="AC62" s="152"/>
    </row>
    <row r="63" spans="1:29" ht="15" thickBot="1">
      <c r="A63" s="152"/>
      <c r="B63" s="152"/>
      <c r="C63" s="204"/>
      <c r="D63" s="152"/>
      <c r="E63" s="152"/>
      <c r="F63" s="152"/>
      <c r="G63" s="152"/>
      <c r="H63" s="185"/>
      <c r="I63" s="185"/>
      <c r="J63" s="185"/>
      <c r="K63" s="185"/>
      <c r="L63" s="185"/>
      <c r="M63" s="185"/>
      <c r="N63" s="152"/>
      <c r="O63" s="152"/>
      <c r="P63" s="152"/>
      <c r="Q63" s="152"/>
      <c r="R63" s="152"/>
      <c r="S63" s="152"/>
      <c r="T63" s="152"/>
      <c r="U63" s="152"/>
      <c r="V63" s="152"/>
      <c r="W63" s="152"/>
      <c r="X63" s="152"/>
      <c r="Y63" s="152"/>
      <c r="Z63" s="152"/>
      <c r="AA63" s="152"/>
      <c r="AB63" s="152"/>
      <c r="AC63" s="152"/>
    </row>
    <row r="64" spans="1:29" ht="14.1" customHeight="1" thickTop="1" thickBot="1">
      <c r="A64" s="152"/>
      <c r="B64" s="205"/>
      <c r="C64" s="205"/>
      <c r="D64" s="152"/>
      <c r="E64" s="207"/>
      <c r="F64" s="152"/>
      <c r="G64" s="152"/>
      <c r="H64" s="186"/>
      <c r="I64" s="186"/>
      <c r="J64" s="186"/>
      <c r="K64" s="186"/>
      <c r="L64" s="186"/>
      <c r="M64" s="186"/>
      <c r="N64" s="152"/>
      <c r="O64" s="152"/>
      <c r="P64" s="152"/>
      <c r="Q64" s="152"/>
      <c r="R64" s="152"/>
      <c r="S64" s="152"/>
      <c r="T64" s="152"/>
      <c r="U64" s="152"/>
      <c r="V64" s="152"/>
      <c r="W64" s="152"/>
      <c r="X64" s="152"/>
      <c r="Y64" s="152"/>
      <c r="Z64" s="152"/>
      <c r="AA64" s="152"/>
      <c r="AB64" s="152"/>
      <c r="AC64" s="152"/>
    </row>
    <row r="65" spans="1:29" ht="14.1" customHeight="1" thickTop="1" thickBot="1">
      <c r="A65" s="152"/>
      <c r="B65" s="205" t="s">
        <v>62</v>
      </c>
      <c r="C65" s="206">
        <f>'[4]Detailed Budget Summary'!$G$3</f>
        <v>271703524.58942312</v>
      </c>
      <c r="D65" s="152"/>
      <c r="E65" s="152"/>
      <c r="F65" s="152"/>
      <c r="G65" s="152"/>
      <c r="H65" s="186"/>
      <c r="I65" s="208"/>
      <c r="J65" s="208"/>
      <c r="K65" s="187"/>
      <c r="L65" s="187"/>
      <c r="M65" s="187"/>
      <c r="N65" s="152"/>
      <c r="O65" s="152"/>
      <c r="P65" s="152"/>
      <c r="Q65" s="152"/>
      <c r="R65" s="152"/>
      <c r="S65" s="152"/>
      <c r="T65" s="152"/>
      <c r="U65" s="152"/>
      <c r="V65" s="152"/>
      <c r="W65" s="152"/>
      <c r="X65" s="152"/>
      <c r="Y65" s="152"/>
      <c r="Z65" s="152"/>
      <c r="AA65" s="152"/>
      <c r="AB65" s="152"/>
      <c r="AC65" s="152"/>
    </row>
    <row r="66" spans="1:29" ht="14.1" customHeight="1" thickTop="1" thickBot="1">
      <c r="A66" s="152"/>
      <c r="B66" s="205" t="s">
        <v>63</v>
      </c>
      <c r="C66" s="206">
        <f>'[4]Detailed Budget Summary'!$G$4</f>
        <v>102790987.6394231</v>
      </c>
      <c r="D66" s="152"/>
      <c r="E66" s="152"/>
      <c r="F66" s="152"/>
      <c r="G66" s="152"/>
      <c r="H66" s="186"/>
      <c r="I66" s="187"/>
      <c r="J66" s="187"/>
      <c r="K66" s="187"/>
      <c r="L66" s="187"/>
      <c r="M66" s="187"/>
      <c r="N66" s="152"/>
      <c r="O66" s="152"/>
      <c r="P66" s="152"/>
      <c r="Q66" s="152"/>
      <c r="R66" s="152"/>
      <c r="S66" s="152"/>
      <c r="T66" s="152"/>
      <c r="U66" s="152"/>
      <c r="V66" s="152"/>
      <c r="W66" s="152"/>
      <c r="X66" s="152"/>
      <c r="Y66" s="152"/>
      <c r="Z66" s="152"/>
      <c r="AA66" s="152"/>
      <c r="AB66" s="152"/>
      <c r="AC66" s="152"/>
    </row>
    <row r="67" spans="1:29" ht="14.1" customHeight="1" thickTop="1" thickBot="1">
      <c r="A67" s="152"/>
      <c r="B67" s="205" t="s">
        <v>64</v>
      </c>
      <c r="C67" s="206">
        <f>+C65/C62</f>
        <v>2.1550783842059738</v>
      </c>
      <c r="D67" s="152"/>
      <c r="E67" s="152"/>
      <c r="F67" s="152"/>
      <c r="G67" s="152"/>
      <c r="H67" s="186"/>
      <c r="I67" s="187"/>
      <c r="J67" s="187"/>
      <c r="K67" s="187"/>
      <c r="L67" s="187"/>
      <c r="M67" s="187"/>
      <c r="N67" s="152"/>
      <c r="O67" s="152"/>
      <c r="P67" s="152"/>
      <c r="Q67" s="152"/>
      <c r="R67" s="152"/>
      <c r="S67" s="152"/>
      <c r="T67" s="152"/>
      <c r="U67" s="152"/>
      <c r="V67" s="152"/>
      <c r="W67" s="152"/>
      <c r="X67" s="152"/>
      <c r="Y67" s="152"/>
      <c r="Z67" s="152"/>
      <c r="AA67" s="152"/>
      <c r="AB67" s="152"/>
      <c r="AC67" s="152"/>
    </row>
    <row r="68" spans="1:29" ht="14.1" customHeight="1" thickTop="1" thickBot="1">
      <c r="A68" s="152"/>
      <c r="B68" s="205" t="s">
        <v>65</v>
      </c>
      <c r="C68" s="206">
        <f>+C66/C62</f>
        <v>0.81531012852207807</v>
      </c>
      <c r="D68" s="152"/>
      <c r="E68" s="152"/>
      <c r="F68" s="152"/>
      <c r="G68" s="152"/>
      <c r="H68" s="186"/>
      <c r="I68" s="187"/>
      <c r="J68" s="187"/>
      <c r="K68" s="187"/>
      <c r="L68" s="187"/>
      <c r="M68" s="187"/>
      <c r="N68" s="152"/>
      <c r="O68" s="152"/>
      <c r="P68" s="152"/>
      <c r="Q68" s="152"/>
      <c r="R68" s="152"/>
      <c r="S68" s="152"/>
      <c r="T68" s="152"/>
      <c r="U68" s="152"/>
      <c r="V68" s="152"/>
      <c r="W68" s="152"/>
      <c r="X68" s="152"/>
      <c r="Y68" s="152"/>
      <c r="Z68" s="152"/>
      <c r="AA68" s="152"/>
      <c r="AB68" s="152"/>
      <c r="AC68" s="152"/>
    </row>
    <row r="69" spans="1:29" ht="15" thickTop="1">
      <c r="A69" s="152"/>
      <c r="B69" s="152"/>
      <c r="C69" s="152"/>
      <c r="D69" s="152"/>
      <c r="E69" s="152"/>
      <c r="F69" s="152"/>
      <c r="G69" s="152"/>
      <c r="H69" s="186"/>
      <c r="I69" s="187"/>
      <c r="J69" s="187"/>
      <c r="K69" s="187"/>
      <c r="L69" s="187"/>
      <c r="M69" s="187"/>
      <c r="N69" s="152"/>
      <c r="O69" s="152"/>
      <c r="P69" s="152"/>
      <c r="Q69" s="152"/>
      <c r="R69" s="152"/>
      <c r="S69" s="152"/>
      <c r="T69" s="152"/>
      <c r="U69" s="152"/>
      <c r="V69" s="152"/>
      <c r="W69" s="152"/>
      <c r="X69" s="152"/>
      <c r="Y69" s="152"/>
      <c r="Z69" s="152"/>
      <c r="AA69" s="152"/>
      <c r="AB69" s="152"/>
      <c r="AC69" s="152"/>
    </row>
    <row r="70" spans="1:29">
      <c r="H70"/>
      <c r="I70" s="191"/>
      <c r="J70" s="191"/>
      <c r="K70" s="191"/>
      <c r="L70" s="191"/>
      <c r="M70" s="191"/>
    </row>
    <row r="71" spans="1:29">
      <c r="H71"/>
      <c r="I71" s="191"/>
      <c r="J71" s="191"/>
      <c r="K71" s="191"/>
      <c r="L71" s="191"/>
      <c r="M71" s="191"/>
    </row>
    <row r="72" spans="1:29">
      <c r="D72" s="844"/>
      <c r="H72" s="190"/>
      <c r="I72" s="190"/>
      <c r="J72" s="190"/>
      <c r="K72" s="190"/>
      <c r="L72" s="190"/>
      <c r="M72" s="190"/>
    </row>
    <row r="73" spans="1:29">
      <c r="D73" s="844"/>
      <c r="H73" s="147"/>
      <c r="I73" s="148"/>
      <c r="J73" s="148"/>
      <c r="K73" s="148"/>
      <c r="L73" s="148"/>
      <c r="M73" s="148"/>
    </row>
    <row r="74" spans="1:29">
      <c r="D74" s="844"/>
    </row>
  </sheetData>
  <pageMargins left="0.7" right="0.7" top="0.75" bottom="0.75" header="0.3" footer="0.3"/>
  <pageSetup paperSize="9" orientation="portrait" r:id="rId1"/>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H24"/>
  <sheetViews>
    <sheetView zoomScale="130" zoomScaleNormal="130" workbookViewId="0">
      <selection activeCell="D16" sqref="D16"/>
    </sheetView>
  </sheetViews>
  <sheetFormatPr defaultRowHeight="12.6"/>
  <cols>
    <col min="1" max="1" width="38.5703125" customWidth="1"/>
    <col min="2" max="2" width="64.7109375" bestFit="1" customWidth="1"/>
    <col min="3" max="3" width="25.28515625" bestFit="1" customWidth="1"/>
    <col min="4" max="4" width="27.5703125" bestFit="1" customWidth="1"/>
    <col min="8" max="8" width="11.42578125" customWidth="1"/>
  </cols>
  <sheetData>
    <row r="1" spans="1:8" ht="14.45">
      <c r="A1" s="5"/>
      <c r="B1" s="846"/>
      <c r="C1" s="4"/>
      <c r="D1" s="4"/>
      <c r="E1" s="4"/>
      <c r="F1" s="4"/>
      <c r="G1" s="4"/>
      <c r="H1" s="4"/>
    </row>
    <row r="2" spans="1:8">
      <c r="A2" s="18" t="s">
        <v>117</v>
      </c>
      <c r="B2" s="49" t="s">
        <v>782</v>
      </c>
      <c r="C2" s="49"/>
      <c r="D2" s="49" t="s">
        <v>783</v>
      </c>
    </row>
    <row r="3" spans="1:8">
      <c r="A3" s="18" t="s">
        <v>121</v>
      </c>
      <c r="B3" s="750">
        <f>'Updated livestock Data- 2022'!B24</f>
        <v>58663441</v>
      </c>
      <c r="C3" s="739"/>
      <c r="D3" s="739">
        <f>B3*0.001</f>
        <v>58663.440999999999</v>
      </c>
    </row>
    <row r="4" spans="1:8">
      <c r="A4" s="18" t="s">
        <v>122</v>
      </c>
      <c r="B4" s="752">
        <f>'Updated livestock Data- 2022'!C24</f>
        <v>50548441</v>
      </c>
      <c r="C4" s="739"/>
      <c r="D4" s="739">
        <f t="shared" ref="D4:D6" si="0">B4*0.001</f>
        <v>50548.440999999999</v>
      </c>
    </row>
    <row r="5" spans="1:8">
      <c r="A5" s="18" t="s">
        <v>123</v>
      </c>
      <c r="B5" s="750"/>
      <c r="C5" s="739"/>
      <c r="D5" s="739">
        <f t="shared" si="0"/>
        <v>0</v>
      </c>
      <c r="H5" s="25"/>
    </row>
    <row r="6" spans="1:8">
      <c r="A6" s="18" t="s">
        <v>124</v>
      </c>
      <c r="B6" s="750">
        <f>'Updated livestock Data- 2022'!E24</f>
        <v>47160499</v>
      </c>
      <c r="C6" s="739"/>
      <c r="D6" s="739">
        <f t="shared" si="0"/>
        <v>47160.499000000003</v>
      </c>
      <c r="H6" s="32"/>
    </row>
    <row r="7" spans="1:8">
      <c r="B7" s="3"/>
      <c r="C7" s="16"/>
      <c r="D7" s="16"/>
    </row>
    <row r="8" spans="1:8">
      <c r="B8" s="3" t="s">
        <v>125</v>
      </c>
    </row>
    <row r="9" spans="1:8">
      <c r="A9" s="27" t="s">
        <v>126</v>
      </c>
      <c r="B9" s="31"/>
      <c r="C9" s="25"/>
    </row>
    <row r="10" spans="1:8">
      <c r="A10" t="s">
        <v>127</v>
      </c>
      <c r="B10" s="31"/>
      <c r="C10" s="32"/>
    </row>
    <row r="11" spans="1:8">
      <c r="A11" t="s">
        <v>128</v>
      </c>
      <c r="B11" s="51"/>
      <c r="C11" s="30"/>
    </row>
    <row r="12" spans="1:8">
      <c r="A12" t="s">
        <v>129</v>
      </c>
      <c r="B12" s="50"/>
    </row>
    <row r="14" spans="1:8">
      <c r="A14" t="s">
        <v>130</v>
      </c>
    </row>
    <row r="15" spans="1:8" ht="24.95">
      <c r="A15" s="17" t="s">
        <v>131</v>
      </c>
      <c r="B15" s="17" t="s">
        <v>132</v>
      </c>
      <c r="C15" s="17" t="s">
        <v>133</v>
      </c>
      <c r="D15" s="17" t="s">
        <v>134</v>
      </c>
      <c r="E15" s="17"/>
      <c r="F15" s="1"/>
      <c r="G15" s="1"/>
      <c r="H15" s="1"/>
    </row>
    <row r="16" spans="1:8">
      <c r="A16" s="18" t="s">
        <v>135</v>
      </c>
      <c r="B16" s="18">
        <f>(10*365)*0.001</f>
        <v>3.65</v>
      </c>
      <c r="C16" s="20">
        <f>(34+90+20.2+25)/4</f>
        <v>42.3</v>
      </c>
      <c r="D16" s="22">
        <f>B16*C16*D3</f>
        <v>9057341.9731949996</v>
      </c>
      <c r="E16" s="21"/>
    </row>
    <row r="17" spans="1:5">
      <c r="A17" s="18" t="s">
        <v>136</v>
      </c>
      <c r="B17" s="18">
        <f>(5*365)*0.001</f>
        <v>1.825</v>
      </c>
      <c r="C17" s="20">
        <v>108</v>
      </c>
      <c r="D17" s="22">
        <f>B17*C17*D4</f>
        <v>9963097.7210999988</v>
      </c>
      <c r="E17" s="21"/>
    </row>
    <row r="18" spans="1:5">
      <c r="A18" s="18" t="s">
        <v>123</v>
      </c>
      <c r="B18" s="18">
        <f>(5*365)*0.001</f>
        <v>1.825</v>
      </c>
      <c r="C18" s="20">
        <f>(20.4+74.3)/2</f>
        <v>47.349999999999994</v>
      </c>
      <c r="D18" s="22">
        <f>C18*B18*D5</f>
        <v>0</v>
      </c>
      <c r="E18" s="19"/>
    </row>
    <row r="19" spans="1:5">
      <c r="A19" s="18" t="s">
        <v>124</v>
      </c>
      <c r="B19" s="18">
        <f>+(0.1*365)*0.001</f>
        <v>3.6499999999999998E-2</v>
      </c>
      <c r="C19" s="20">
        <f>(80+100)/2</f>
        <v>90</v>
      </c>
      <c r="D19" s="22">
        <f>C19*B19*D6</f>
        <v>154922.23921500001</v>
      </c>
      <c r="E19" s="19"/>
    </row>
    <row r="20" spans="1:5">
      <c r="A20" s="18" t="s">
        <v>126</v>
      </c>
      <c r="B20" s="18">
        <f>+(0.1*365)*0.001</f>
        <v>3.6499999999999998E-2</v>
      </c>
      <c r="C20" s="20">
        <f>C19</f>
        <v>90</v>
      </c>
      <c r="D20" s="19">
        <f>C20*B20*B9</f>
        <v>0</v>
      </c>
      <c r="E20" s="19"/>
    </row>
    <row r="21" spans="1:5">
      <c r="A21" s="49" t="s">
        <v>784</v>
      </c>
      <c r="B21" s="24">
        <v>0</v>
      </c>
      <c r="C21" s="20">
        <f>(214.1+168.3)/2</f>
        <v>191.2</v>
      </c>
      <c r="D21" s="19">
        <f>C21*B10</f>
        <v>0</v>
      </c>
      <c r="E21" s="19"/>
    </row>
    <row r="22" spans="1:5">
      <c r="A22" s="18" t="s">
        <v>129</v>
      </c>
      <c r="B22" s="18">
        <f>(0.5*365)*0.001</f>
        <v>0.1825</v>
      </c>
      <c r="C22" s="20">
        <v>64</v>
      </c>
      <c r="D22" s="19"/>
      <c r="E22" s="19"/>
    </row>
    <row r="23" spans="1:5">
      <c r="A23" s="18" t="s">
        <v>138</v>
      </c>
      <c r="B23" s="18"/>
      <c r="C23" s="18"/>
      <c r="D23" s="19">
        <f>SUM(D16:D22)</f>
        <v>19175361.933509998</v>
      </c>
      <c r="E23" s="19"/>
    </row>
    <row r="24" spans="1:5">
      <c r="A24" s="18" t="s">
        <v>139</v>
      </c>
      <c r="B24" s="18"/>
      <c r="C24" s="18"/>
      <c r="D24" s="22">
        <f>D23/(5.2*365)</f>
        <v>10102.930418076921</v>
      </c>
      <c r="E24" s="19"/>
    </row>
  </sheetData>
  <pageMargins left="0.7" right="0.7" top="0.75" bottom="0.75" header="0.3" footer="0.3"/>
  <pageSetup orientation="portrait" r:id="rId1"/>
  <drawing r:id="rId2"/>
  <legacyDrawing r:id="rId3"/>
  <controls>
    <mc:AlternateContent xmlns:mc="http://schemas.openxmlformats.org/markup-compatibility/2006">
      <mc:Choice Requires="x14">
        <control shapeId="12289" r:id="rId8" name="Control 1">
          <controlPr defaultSize="0" r:id="rId9">
            <anchor moveWithCells="1">
              <from>
                <xdr:col>0</xdr:col>
                <xdr:colOff>0</xdr:colOff>
                <xdr:row>7</xdr:row>
                <xdr:rowOff>12700</xdr:rowOff>
              </from>
              <to>
                <xdr:col>3</xdr:col>
                <xdr:colOff>209550</xdr:colOff>
                <xdr:row>8</xdr:row>
                <xdr:rowOff>146050</xdr:rowOff>
              </to>
            </anchor>
          </controlPr>
        </control>
      </mc:Choice>
      <mc:Fallback>
        <control shapeId="12289" r:id="rId8" name="Control 1"/>
      </mc:Fallback>
    </mc:AlternateContent>
    <mc:AlternateContent xmlns:mc="http://schemas.openxmlformats.org/markup-compatibility/2006">
      <mc:Choice Requires="x14">
        <control shapeId="12290" r:id="rId7" name="Control 2">
          <controlPr defaultSize="0" r:id="rId5">
            <anchor moveWithCells="1">
              <from>
                <xdr:col>0</xdr:col>
                <xdr:colOff>0</xdr:colOff>
                <xdr:row>7</xdr:row>
                <xdr:rowOff>12700</xdr:rowOff>
              </from>
              <to>
                <xdr:col>3</xdr:col>
                <xdr:colOff>209550</xdr:colOff>
                <xdr:row>8</xdr:row>
                <xdr:rowOff>146050</xdr:rowOff>
              </to>
            </anchor>
          </controlPr>
        </control>
      </mc:Choice>
      <mc:Fallback>
        <control shapeId="12290" r:id="rId7" name="Control 2"/>
      </mc:Fallback>
    </mc:AlternateContent>
    <mc:AlternateContent xmlns:mc="http://schemas.openxmlformats.org/markup-compatibility/2006">
      <mc:Choice Requires="x14">
        <control shapeId="12291" r:id="rId6" name="Control 3">
          <controlPr defaultSize="0" r:id="rId5">
            <anchor moveWithCells="1">
              <from>
                <xdr:col>0</xdr:col>
                <xdr:colOff>0</xdr:colOff>
                <xdr:row>7</xdr:row>
                <xdr:rowOff>12700</xdr:rowOff>
              </from>
              <to>
                <xdr:col>3</xdr:col>
                <xdr:colOff>209550</xdr:colOff>
                <xdr:row>8</xdr:row>
                <xdr:rowOff>146050</xdr:rowOff>
              </to>
            </anchor>
          </controlPr>
        </control>
      </mc:Choice>
      <mc:Fallback>
        <control shapeId="12291" r:id="rId6" name="Control 3"/>
      </mc:Fallback>
    </mc:AlternateContent>
    <mc:AlternateContent xmlns:mc="http://schemas.openxmlformats.org/markup-compatibility/2006">
      <mc:Choice Requires="x14">
        <control shapeId="12292" r:id="rId4" name="Control 4">
          <controlPr defaultSize="0" r:id="rId5">
            <anchor moveWithCells="1">
              <from>
                <xdr:col>0</xdr:col>
                <xdr:colOff>0</xdr:colOff>
                <xdr:row>7</xdr:row>
                <xdr:rowOff>12700</xdr:rowOff>
              </from>
              <to>
                <xdr:col>3</xdr:col>
                <xdr:colOff>209550</xdr:colOff>
                <xdr:row>8</xdr:row>
                <xdr:rowOff>146050</xdr:rowOff>
              </to>
            </anchor>
          </controlPr>
        </control>
      </mc:Choice>
      <mc:Fallback>
        <control shapeId="12292" r:id="rId4" name="Control 4"/>
      </mc:Fallback>
    </mc:AlternateContent>
  </control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9"/>
  <dimension ref="A1:G24"/>
  <sheetViews>
    <sheetView zoomScale="130" zoomScaleNormal="130" workbookViewId="0">
      <selection activeCell="D5" sqref="D5"/>
    </sheetView>
  </sheetViews>
  <sheetFormatPr defaultRowHeight="12.6"/>
  <cols>
    <col min="1" max="1" width="21.5703125" customWidth="1"/>
    <col min="2" max="2" width="66.42578125" bestFit="1" customWidth="1"/>
    <col min="3" max="3" width="36.5703125" customWidth="1"/>
    <col min="4" max="4" width="28.28515625" bestFit="1" customWidth="1"/>
  </cols>
  <sheetData>
    <row r="1" spans="1:7" ht="14.45">
      <c r="A1" s="5"/>
      <c r="B1" s="846"/>
      <c r="C1" s="4"/>
      <c r="D1" s="4"/>
      <c r="E1" s="4"/>
      <c r="F1" s="4"/>
      <c r="G1" s="4"/>
    </row>
    <row r="2" spans="1:7">
      <c r="A2" t="s">
        <v>117</v>
      </c>
      <c r="B2" s="2" t="s">
        <v>785</v>
      </c>
      <c r="C2" s="2"/>
      <c r="D2" s="2" t="s">
        <v>786</v>
      </c>
    </row>
    <row r="3" spans="1:7">
      <c r="A3" t="s">
        <v>121</v>
      </c>
      <c r="B3" s="3">
        <f>'Updated livestock Data- 2022'!B16</f>
        <v>98537</v>
      </c>
      <c r="C3" s="3"/>
      <c r="D3" s="3">
        <f>B3*0.1</f>
        <v>9853.7000000000007</v>
      </c>
    </row>
    <row r="4" spans="1:7">
      <c r="A4" t="s">
        <v>122</v>
      </c>
      <c r="B4" s="3">
        <f>'Updated livestock Data- 2022'!C16</f>
        <v>705914</v>
      </c>
      <c r="C4" s="3"/>
      <c r="D4" s="3">
        <f t="shared" ref="D4:D6" si="0">B4*0.1</f>
        <v>70591.400000000009</v>
      </c>
    </row>
    <row r="5" spans="1:7">
      <c r="A5" t="s">
        <v>123</v>
      </c>
      <c r="B5" s="3">
        <f>'Updated livestock Data- 2022'!D16</f>
        <v>161554</v>
      </c>
      <c r="C5" s="3"/>
      <c r="D5" s="3">
        <f t="shared" si="0"/>
        <v>16155.400000000001</v>
      </c>
    </row>
    <row r="6" spans="1:7">
      <c r="A6" t="s">
        <v>124</v>
      </c>
      <c r="B6" s="3">
        <f>'Updated livestock Data- 2022'!E16</f>
        <v>3347182</v>
      </c>
      <c r="C6" s="3"/>
      <c r="D6" s="3">
        <f t="shared" si="0"/>
        <v>334718.2</v>
      </c>
    </row>
    <row r="7" spans="1:7">
      <c r="B7" s="3"/>
      <c r="C7" s="16"/>
      <c r="D7" s="16"/>
    </row>
    <row r="8" spans="1:7">
      <c r="B8" s="3" t="s">
        <v>125</v>
      </c>
    </row>
    <row r="9" spans="1:7">
      <c r="A9" t="s">
        <v>126</v>
      </c>
      <c r="B9" s="50"/>
      <c r="C9" s="26"/>
      <c r="D9" s="3"/>
    </row>
    <row r="10" spans="1:7">
      <c r="A10" t="s">
        <v>127</v>
      </c>
      <c r="B10" s="50"/>
      <c r="C10" s="26"/>
    </row>
    <row r="11" spans="1:7">
      <c r="A11" t="s">
        <v>128</v>
      </c>
      <c r="B11" s="51"/>
      <c r="C11" s="29"/>
    </row>
    <row r="12" spans="1:7">
      <c r="A12" t="s">
        <v>129</v>
      </c>
      <c r="B12" s="50"/>
      <c r="C12" s="26"/>
    </row>
    <row r="14" spans="1:7">
      <c r="A14" t="s">
        <v>130</v>
      </c>
    </row>
    <row r="15" spans="1:7">
      <c r="A15" s="17" t="s">
        <v>131</v>
      </c>
      <c r="B15" s="17" t="s">
        <v>132</v>
      </c>
      <c r="C15" s="17" t="s">
        <v>133</v>
      </c>
      <c r="D15" s="17" t="s">
        <v>134</v>
      </c>
      <c r="E15" s="17"/>
      <c r="F15" s="1"/>
      <c r="G15" s="1"/>
    </row>
    <row r="16" spans="1:7">
      <c r="A16" s="18" t="s">
        <v>135</v>
      </c>
      <c r="B16" s="18">
        <f>(10*365)*0.001</f>
        <v>3.65</v>
      </c>
      <c r="C16" s="20">
        <f>(34+90+20.2+25)/4</f>
        <v>42.3</v>
      </c>
      <c r="D16" s="22">
        <f>B16*C16*D3</f>
        <v>1521362.0115</v>
      </c>
      <c r="E16" s="21"/>
    </row>
    <row r="17" spans="1:5">
      <c r="A17" s="18" t="s">
        <v>136</v>
      </c>
      <c r="B17" s="18">
        <f>(5*365)*0.001</f>
        <v>1.825</v>
      </c>
      <c r="C17" s="20">
        <v>108</v>
      </c>
      <c r="D17" s="22">
        <f>B17*C17*D4</f>
        <v>13913564.940000001</v>
      </c>
      <c r="E17" s="21"/>
    </row>
    <row r="18" spans="1:5">
      <c r="A18" s="18" t="s">
        <v>123</v>
      </c>
      <c r="B18" s="18">
        <f>(5*365)*0.001</f>
        <v>1.825</v>
      </c>
      <c r="C18" s="20">
        <f>(20.4+74.3)/2</f>
        <v>47.349999999999994</v>
      </c>
      <c r="D18" s="22">
        <f>C18*B18*D5</f>
        <v>1396048.6967500001</v>
      </c>
      <c r="E18" s="19"/>
    </row>
    <row r="19" spans="1:5">
      <c r="A19" s="18" t="s">
        <v>124</v>
      </c>
      <c r="B19" s="18">
        <f>+(0.1*365)*0.001</f>
        <v>3.6499999999999998E-2</v>
      </c>
      <c r="C19" s="20">
        <f>(80+100)/2</f>
        <v>90</v>
      </c>
      <c r="D19" s="22">
        <f>C19*B19*D6</f>
        <v>1099549.287</v>
      </c>
      <c r="E19" s="19"/>
    </row>
    <row r="20" spans="1:5">
      <c r="A20" s="18" t="s">
        <v>126</v>
      </c>
      <c r="B20" s="18">
        <f>+(0.1*365)*0.001</f>
        <v>3.6499999999999998E-2</v>
      </c>
      <c r="C20" s="20">
        <f>C19</f>
        <v>90</v>
      </c>
      <c r="D20" s="19">
        <f>C20*B20*B9</f>
        <v>0</v>
      </c>
      <c r="E20" s="19"/>
    </row>
    <row r="21" spans="1:5">
      <c r="A21" s="49" t="s">
        <v>787</v>
      </c>
      <c r="B21" s="24">
        <v>0</v>
      </c>
      <c r="C21" s="20">
        <f>(214.1+168.3)/2</f>
        <v>191.2</v>
      </c>
      <c r="D21" s="19">
        <f>C21*B10</f>
        <v>0</v>
      </c>
      <c r="E21" s="19"/>
    </row>
    <row r="22" spans="1:5">
      <c r="A22" s="18" t="s">
        <v>129</v>
      </c>
      <c r="B22" s="18">
        <f>(0.5*365)*0.001</f>
        <v>0.1825</v>
      </c>
      <c r="C22" s="20">
        <v>64</v>
      </c>
      <c r="D22" s="19"/>
      <c r="E22" s="19"/>
    </row>
    <row r="23" spans="1:5">
      <c r="A23" s="18" t="s">
        <v>138</v>
      </c>
      <c r="B23" s="18"/>
      <c r="C23" s="18"/>
      <c r="D23" s="19">
        <f>SUM(D16:D22)</f>
        <v>17930524.935250003</v>
      </c>
      <c r="E23" s="19"/>
    </row>
    <row r="24" spans="1:5">
      <c r="A24" s="18" t="s">
        <v>139</v>
      </c>
      <c r="B24" s="18"/>
      <c r="C24" s="18"/>
      <c r="D24" s="22">
        <f>D23/(5.2*365)</f>
        <v>9447.0626634615401</v>
      </c>
      <c r="E24" s="19"/>
    </row>
  </sheetData>
  <pageMargins left="0.7" right="0.7" top="0.75" bottom="0.75" header="0.3" footer="0.3"/>
  <pageSetup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21"/>
  <dimension ref="A1:G24"/>
  <sheetViews>
    <sheetView zoomScale="130" zoomScaleNormal="130" workbookViewId="0">
      <selection activeCell="A32" sqref="A32"/>
    </sheetView>
  </sheetViews>
  <sheetFormatPr defaultRowHeight="12.6"/>
  <cols>
    <col min="1" max="1" width="26" customWidth="1"/>
    <col min="2" max="2" width="56" bestFit="1" customWidth="1"/>
    <col min="3" max="3" width="25.28515625" bestFit="1" customWidth="1"/>
    <col min="4" max="4" width="29.5703125" bestFit="1" customWidth="1"/>
  </cols>
  <sheetData>
    <row r="1" spans="1:7" ht="14.45">
      <c r="A1" s="5"/>
      <c r="B1" s="846" t="s">
        <v>788</v>
      </c>
      <c r="C1" s="4"/>
      <c r="D1" s="4"/>
      <c r="E1" s="4"/>
      <c r="F1" s="4"/>
      <c r="G1" s="4"/>
    </row>
    <row r="2" spans="1:7">
      <c r="A2" t="s">
        <v>117</v>
      </c>
      <c r="B2" s="49" t="s">
        <v>789</v>
      </c>
      <c r="C2" s="49"/>
      <c r="D2" s="749" t="s">
        <v>790</v>
      </c>
    </row>
    <row r="3" spans="1:7">
      <c r="A3" t="s">
        <v>121</v>
      </c>
      <c r="B3" s="750">
        <f>'Updated livestock Data- 2022'!B3</f>
        <v>668440</v>
      </c>
      <c r="C3" s="19"/>
      <c r="D3" s="751">
        <f>B3*0.025</f>
        <v>16711</v>
      </c>
    </row>
    <row r="4" spans="1:7">
      <c r="A4" t="s">
        <v>122</v>
      </c>
      <c r="B4" s="752">
        <f>'Updated livestock Data- 2022'!C3</f>
        <v>1327800</v>
      </c>
      <c r="C4" s="19"/>
      <c r="D4" s="751">
        <f t="shared" ref="D4:D6" si="0">B4*0.025</f>
        <v>33195</v>
      </c>
    </row>
    <row r="5" spans="1:7">
      <c r="A5" t="s">
        <v>123</v>
      </c>
      <c r="B5" s="750">
        <f>'Updated livestock Data- 2022'!D3</f>
        <v>200370</v>
      </c>
      <c r="C5" s="19"/>
      <c r="D5" s="751">
        <f t="shared" si="0"/>
        <v>5009.25</v>
      </c>
    </row>
    <row r="6" spans="1:7">
      <c r="A6" t="s">
        <v>124</v>
      </c>
      <c r="B6" s="750">
        <f>'Updated livestock Data- 2022'!E3</f>
        <v>4251903</v>
      </c>
      <c r="C6" s="19"/>
      <c r="D6" s="751">
        <f t="shared" si="0"/>
        <v>106297.57500000001</v>
      </c>
    </row>
    <row r="7" spans="1:7">
      <c r="B7" s="3"/>
      <c r="C7" s="16"/>
      <c r="D7" s="16"/>
    </row>
    <row r="8" spans="1:7">
      <c r="B8" s="3" t="s">
        <v>125</v>
      </c>
    </row>
    <row r="9" spans="1:7">
      <c r="A9" t="s">
        <v>126</v>
      </c>
      <c r="B9" s="50"/>
      <c r="C9" s="26"/>
    </row>
    <row r="10" spans="1:7">
      <c r="A10" t="s">
        <v>127</v>
      </c>
      <c r="B10" s="50"/>
      <c r="C10" s="26"/>
    </row>
    <row r="11" spans="1:7">
      <c r="A11" t="s">
        <v>128</v>
      </c>
      <c r="B11" s="51">
        <v>0</v>
      </c>
      <c r="C11" s="29"/>
    </row>
    <row r="12" spans="1:7">
      <c r="A12" t="s">
        <v>129</v>
      </c>
      <c r="B12" s="50"/>
      <c r="C12" s="26"/>
    </row>
    <row r="14" spans="1:7">
      <c r="A14" t="s">
        <v>130</v>
      </c>
    </row>
    <row r="15" spans="1:7">
      <c r="A15" s="17" t="s">
        <v>131</v>
      </c>
      <c r="B15" s="17" t="s">
        <v>132</v>
      </c>
      <c r="C15" s="17" t="s">
        <v>133</v>
      </c>
      <c r="D15" s="17" t="s">
        <v>134</v>
      </c>
      <c r="E15" s="17"/>
      <c r="F15" s="1"/>
      <c r="G15" s="1"/>
    </row>
    <row r="16" spans="1:7">
      <c r="A16" s="18" t="s">
        <v>135</v>
      </c>
      <c r="B16" s="18">
        <f>(10*365)*0.001</f>
        <v>3.65</v>
      </c>
      <c r="C16" s="747">
        <f>(34+90+20.2+25)/4</f>
        <v>42.3</v>
      </c>
      <c r="D16" s="22">
        <f>B16*C16*D3</f>
        <v>2580094.8449999997</v>
      </c>
      <c r="E16" s="21"/>
    </row>
    <row r="17" spans="1:5">
      <c r="A17" s="18" t="s">
        <v>136</v>
      </c>
      <c r="B17" s="18">
        <f>(5*365)*0.001</f>
        <v>1.825</v>
      </c>
      <c r="C17" s="747">
        <v>108</v>
      </c>
      <c r="D17" s="22">
        <f>B17*C17*D4</f>
        <v>6542734.5</v>
      </c>
      <c r="E17" s="21"/>
    </row>
    <row r="18" spans="1:5">
      <c r="A18" s="18" t="s">
        <v>123</v>
      </c>
      <c r="B18" s="18">
        <f>(5*365)*0.001</f>
        <v>1.825</v>
      </c>
      <c r="C18" s="747">
        <f>(20.4+74.3)/2</f>
        <v>47.349999999999994</v>
      </c>
      <c r="D18" s="22">
        <f>C18*B18*D5</f>
        <v>432868.07718749996</v>
      </c>
      <c r="E18" s="19"/>
    </row>
    <row r="19" spans="1:5">
      <c r="A19" s="18" t="s">
        <v>124</v>
      </c>
      <c r="B19" s="18">
        <f>+(0.1*365)*0.001</f>
        <v>3.6499999999999998E-2</v>
      </c>
      <c r="C19" s="747">
        <f>(80+100)/2</f>
        <v>90</v>
      </c>
      <c r="D19" s="22">
        <f>C19*B19*D6</f>
        <v>349187.53387500002</v>
      </c>
      <c r="E19" s="19"/>
    </row>
    <row r="20" spans="1:5">
      <c r="A20" s="18" t="s">
        <v>126</v>
      </c>
      <c r="B20" s="18">
        <f>+(0.1*365)*0.001</f>
        <v>3.6499999999999998E-2</v>
      </c>
      <c r="C20" s="747">
        <f>C19</f>
        <v>90</v>
      </c>
      <c r="D20" s="19">
        <f>C20*B20*B9</f>
        <v>0</v>
      </c>
      <c r="E20" s="19"/>
    </row>
    <row r="21" spans="1:5">
      <c r="A21" s="18" t="s">
        <v>137</v>
      </c>
      <c r="B21" s="24">
        <v>0</v>
      </c>
      <c r="C21" s="747">
        <f>(214.1+168.3)/2</f>
        <v>191.2</v>
      </c>
      <c r="D21" s="19">
        <f>C21*B10</f>
        <v>0</v>
      </c>
      <c r="E21" s="19"/>
    </row>
    <row r="22" spans="1:5">
      <c r="A22" s="18" t="s">
        <v>129</v>
      </c>
      <c r="B22" s="18">
        <f>(0.5*365)*0.001</f>
        <v>0.1825</v>
      </c>
      <c r="C22" s="747">
        <v>64</v>
      </c>
      <c r="D22" s="19"/>
      <c r="E22" s="19"/>
    </row>
    <row r="23" spans="1:5">
      <c r="A23" s="18" t="s">
        <v>138</v>
      </c>
      <c r="B23" s="18"/>
      <c r="C23" s="18"/>
      <c r="D23" s="19">
        <f>SUM(D16:D22)</f>
        <v>9904884.9560624994</v>
      </c>
      <c r="E23" s="19"/>
    </row>
    <row r="24" spans="1:5">
      <c r="A24" s="18" t="s">
        <v>139</v>
      </c>
      <c r="B24" s="18"/>
      <c r="C24" s="18"/>
      <c r="D24" s="746">
        <f>D23/(5.2*365)</f>
        <v>5218.5905985576919</v>
      </c>
      <c r="E24" s="19"/>
    </row>
  </sheetData>
  <pageMargins left="0.7" right="0.7" top="0.75" bottom="0.75" header="0.3" footer="0.3"/>
  <pageSetup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3"/>
  <dimension ref="A1:H27"/>
  <sheetViews>
    <sheetView zoomScale="130" zoomScaleNormal="130" workbookViewId="0">
      <selection activeCell="B3" sqref="B3"/>
    </sheetView>
  </sheetViews>
  <sheetFormatPr defaultRowHeight="12.6"/>
  <cols>
    <col min="1" max="1" width="28.140625" customWidth="1"/>
    <col min="2" max="2" width="66.85546875" bestFit="1" customWidth="1"/>
    <col min="3" max="3" width="15.7109375" customWidth="1"/>
    <col min="4" max="4" width="28.42578125" bestFit="1" customWidth="1"/>
    <col min="8" max="8" width="10.140625" bestFit="1" customWidth="1"/>
  </cols>
  <sheetData>
    <row r="1" spans="1:7" ht="14.45">
      <c r="A1" s="5"/>
      <c r="B1" s="846"/>
      <c r="C1" s="4"/>
      <c r="D1" s="4"/>
      <c r="E1" s="4"/>
      <c r="F1" s="4"/>
      <c r="G1" s="4"/>
    </row>
    <row r="2" spans="1:7" ht="24.95">
      <c r="A2" t="s">
        <v>117</v>
      </c>
      <c r="B2" s="49" t="s">
        <v>791</v>
      </c>
      <c r="C2" s="49"/>
      <c r="D2" s="753" t="s">
        <v>792</v>
      </c>
    </row>
    <row r="3" spans="1:7">
      <c r="A3" t="s">
        <v>121</v>
      </c>
      <c r="B3" s="739">
        <f>'Updated livestock Data- 2022'!B12</f>
        <v>3306000</v>
      </c>
      <c r="C3" s="739"/>
      <c r="D3" s="739">
        <f>B3*0.02</f>
        <v>66120</v>
      </c>
    </row>
    <row r="4" spans="1:7">
      <c r="A4" t="s">
        <v>122</v>
      </c>
      <c r="B4" s="739">
        <f>'Updated livestock Data- 2022'!C12</f>
        <v>2168000</v>
      </c>
      <c r="C4" s="739"/>
      <c r="D4" s="739">
        <f t="shared" ref="D4:D6" si="0">B4*0.02</f>
        <v>43360</v>
      </c>
    </row>
    <row r="5" spans="1:7">
      <c r="A5" t="s">
        <v>123</v>
      </c>
      <c r="B5" s="739">
        <f>'Updated livestock Data- 2022'!D12</f>
        <v>7068</v>
      </c>
      <c r="C5" s="739"/>
      <c r="D5" s="739">
        <f t="shared" si="0"/>
        <v>141.36000000000001</v>
      </c>
    </row>
    <row r="6" spans="1:7">
      <c r="A6" t="s">
        <v>124</v>
      </c>
      <c r="B6" s="739">
        <f>'Updated livestock Data- 2022'!E12</f>
        <v>670098.5</v>
      </c>
      <c r="C6" s="739"/>
      <c r="D6" s="739">
        <f t="shared" si="0"/>
        <v>13401.970000000001</v>
      </c>
    </row>
    <row r="7" spans="1:7">
      <c r="B7" s="3"/>
      <c r="C7" s="16"/>
      <c r="D7" s="16"/>
    </row>
    <row r="8" spans="1:7">
      <c r="B8" s="3" t="s">
        <v>125</v>
      </c>
    </row>
    <row r="9" spans="1:7">
      <c r="A9" t="s">
        <v>126</v>
      </c>
      <c r="B9" s="50"/>
      <c r="C9" s="26"/>
    </row>
    <row r="10" spans="1:7">
      <c r="A10" t="s">
        <v>127</v>
      </c>
      <c r="B10" s="50"/>
      <c r="C10" s="26"/>
    </row>
    <row r="11" spans="1:7">
      <c r="A11" t="s">
        <v>128</v>
      </c>
      <c r="B11" s="51"/>
      <c r="C11" s="28"/>
    </row>
    <row r="12" spans="1:7">
      <c r="A12" t="s">
        <v>129</v>
      </c>
      <c r="B12" s="50"/>
      <c r="C12" s="26"/>
    </row>
    <row r="14" spans="1:7">
      <c r="A14" t="s">
        <v>130</v>
      </c>
    </row>
    <row r="15" spans="1:7" ht="24.95">
      <c r="A15" s="17" t="s">
        <v>131</v>
      </c>
      <c r="B15" s="17" t="s">
        <v>132</v>
      </c>
      <c r="C15" s="17" t="s">
        <v>133</v>
      </c>
      <c r="D15" s="17" t="s">
        <v>134</v>
      </c>
      <c r="E15" s="17"/>
      <c r="F15" s="1"/>
      <c r="G15" s="1"/>
    </row>
    <row r="16" spans="1:7">
      <c r="A16" s="18" t="s">
        <v>135</v>
      </c>
      <c r="B16" s="18">
        <f>(10*365)*0.001</f>
        <v>3.65</v>
      </c>
      <c r="C16" s="20">
        <f>(34+90+20.2+25)/4</f>
        <v>42.3</v>
      </c>
      <c r="D16" s="22">
        <f>B16*C16*D3</f>
        <v>10208597.399999999</v>
      </c>
      <c r="E16" s="21"/>
    </row>
    <row r="17" spans="1:8">
      <c r="A17" s="18" t="s">
        <v>136</v>
      </c>
      <c r="B17" s="18">
        <f>(5*365)*0.001</f>
        <v>1.825</v>
      </c>
      <c r="C17" s="20">
        <v>108</v>
      </c>
      <c r="D17" s="22">
        <f>B17*C17*D4</f>
        <v>8546256</v>
      </c>
      <c r="E17" s="21"/>
    </row>
    <row r="18" spans="1:8">
      <c r="A18" s="18" t="s">
        <v>123</v>
      </c>
      <c r="B18" s="18">
        <f>(5*365)*0.001</f>
        <v>1.825</v>
      </c>
      <c r="C18" s="20">
        <f>(20.4+74.3)/2</f>
        <v>47.349999999999994</v>
      </c>
      <c r="D18" s="22">
        <f>C18*B18*D5</f>
        <v>12215.447700000001</v>
      </c>
      <c r="E18" s="19"/>
    </row>
    <row r="19" spans="1:8">
      <c r="A19" s="18" t="s">
        <v>124</v>
      </c>
      <c r="B19" s="18">
        <f>+(0.1*365)*0.001</f>
        <v>3.6499999999999998E-2</v>
      </c>
      <c r="C19" s="20">
        <f>(80+100)/2</f>
        <v>90</v>
      </c>
      <c r="D19" s="22">
        <f>C19*B19*D6</f>
        <v>44025.471449999997</v>
      </c>
      <c r="E19" s="19"/>
    </row>
    <row r="20" spans="1:8">
      <c r="A20" s="18" t="s">
        <v>126</v>
      </c>
      <c r="B20" s="18">
        <f>+(0.1*365)*0.001</f>
        <v>3.6499999999999998E-2</v>
      </c>
      <c r="C20" s="20">
        <f>C19</f>
        <v>90</v>
      </c>
      <c r="D20" s="19"/>
      <c r="E20" s="19"/>
    </row>
    <row r="21" spans="1:8">
      <c r="A21" s="18" t="s">
        <v>137</v>
      </c>
      <c r="B21" s="24">
        <v>0</v>
      </c>
      <c r="C21" s="20">
        <f>(214.1+168.3)/2</f>
        <v>191.2</v>
      </c>
      <c r="D21" s="19"/>
      <c r="E21" s="19"/>
    </row>
    <row r="22" spans="1:8">
      <c r="A22" s="18" t="s">
        <v>129</v>
      </c>
      <c r="B22" s="18">
        <f>(0.5*365)*0.001</f>
        <v>0.1825</v>
      </c>
      <c r="C22" s="20">
        <v>64</v>
      </c>
      <c r="D22" s="19"/>
      <c r="E22" s="19"/>
    </row>
    <row r="23" spans="1:8">
      <c r="A23" s="18" t="s">
        <v>138</v>
      </c>
      <c r="B23" s="18"/>
      <c r="C23" s="18"/>
      <c r="D23" s="19">
        <f>SUM(D16:D22)</f>
        <v>18811094.319150001</v>
      </c>
      <c r="E23" s="19"/>
    </row>
    <row r="24" spans="1:8">
      <c r="A24" s="18" t="s">
        <v>139</v>
      </c>
      <c r="B24" s="18"/>
      <c r="C24" s="18"/>
      <c r="D24" s="22">
        <f>D23/(5.2*365)</f>
        <v>9911.0085980769236</v>
      </c>
      <c r="E24" s="19"/>
    </row>
    <row r="27" spans="1:8">
      <c r="H27" s="47"/>
    </row>
  </sheetData>
  <pageMargins left="0.7" right="0.7" top="0.75" bottom="0.75" header="0.3" footer="0.3"/>
  <pageSetup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88B6FA-9C9C-42C2-B9AD-3C716B1834E4}">
  <sheetPr codeName="Sheet25"/>
  <dimension ref="A1:M39"/>
  <sheetViews>
    <sheetView workbookViewId="0">
      <selection activeCell="B9" sqref="B9"/>
    </sheetView>
  </sheetViews>
  <sheetFormatPr defaultColWidth="8.7109375" defaultRowHeight="14.45"/>
  <cols>
    <col min="1" max="1" width="15.42578125" style="471" bestFit="1" customWidth="1"/>
    <col min="2" max="2" width="8.7109375" style="471"/>
    <col min="3" max="3" width="34.5703125" style="471" bestFit="1" customWidth="1"/>
    <col min="4" max="4" width="15.42578125" style="471" bestFit="1" customWidth="1"/>
    <col min="5" max="6" width="8.7109375" style="471"/>
    <col min="7" max="7" width="20.85546875" style="471" customWidth="1"/>
    <col min="8" max="9" width="18.85546875" style="471" customWidth="1"/>
    <col min="10" max="12" width="8.7109375" style="471"/>
    <col min="13" max="13" width="14.85546875" style="471" bestFit="1" customWidth="1"/>
    <col min="14" max="16384" width="8.7109375" style="471"/>
  </cols>
  <sheetData>
    <row r="1" spans="1:13">
      <c r="A1" s="471" t="s">
        <v>793</v>
      </c>
      <c r="B1" s="471" t="s">
        <v>643</v>
      </c>
      <c r="C1" s="471" t="s">
        <v>646</v>
      </c>
      <c r="D1" s="471" t="s">
        <v>644</v>
      </c>
      <c r="E1" s="471" t="s">
        <v>67</v>
      </c>
      <c r="F1" s="471" t="s">
        <v>364</v>
      </c>
      <c r="G1" s="471" t="s">
        <v>794</v>
      </c>
      <c r="H1" s="471" t="s">
        <v>795</v>
      </c>
      <c r="I1" s="471" t="s">
        <v>796</v>
      </c>
      <c r="J1" s="471" t="s">
        <v>797</v>
      </c>
    </row>
    <row r="2" spans="1:13" hidden="1">
      <c r="A2" s="471" t="s">
        <v>798</v>
      </c>
      <c r="B2" s="471" t="s">
        <v>511</v>
      </c>
      <c r="C2" s="471" t="s">
        <v>799</v>
      </c>
      <c r="D2" s="471" t="s">
        <v>800</v>
      </c>
      <c r="E2" s="471">
        <v>2017</v>
      </c>
      <c r="F2" s="471" t="s">
        <v>613</v>
      </c>
      <c r="G2" s="472">
        <v>716677500</v>
      </c>
      <c r="H2" s="472">
        <v>716677.5</v>
      </c>
      <c r="I2" s="472">
        <v>501674.25</v>
      </c>
      <c r="J2" s="471" t="s">
        <v>801</v>
      </c>
    </row>
    <row r="3" spans="1:13" hidden="1">
      <c r="A3" s="471" t="s">
        <v>798</v>
      </c>
      <c r="B3" s="471" t="s">
        <v>511</v>
      </c>
      <c r="C3" s="471" t="s">
        <v>799</v>
      </c>
      <c r="D3" s="471" t="s">
        <v>802</v>
      </c>
      <c r="E3" s="471">
        <v>2017</v>
      </c>
      <c r="F3" s="471" t="s">
        <v>613</v>
      </c>
      <c r="G3" s="472">
        <v>1950356785.47</v>
      </c>
      <c r="H3" s="472">
        <v>1950356.79</v>
      </c>
      <c r="I3" s="472">
        <v>1365249.75</v>
      </c>
      <c r="J3" s="471" t="s">
        <v>801</v>
      </c>
      <c r="M3" s="472">
        <f>G2+G3</f>
        <v>2667034285.4700003</v>
      </c>
    </row>
    <row r="4" spans="1:13" hidden="1">
      <c r="A4" s="471" t="s">
        <v>798</v>
      </c>
      <c r="B4" s="471" t="s">
        <v>511</v>
      </c>
      <c r="C4" s="471" t="s">
        <v>799</v>
      </c>
      <c r="D4" s="471" t="s">
        <v>803</v>
      </c>
      <c r="E4" s="471">
        <v>2017</v>
      </c>
      <c r="F4" s="471" t="s">
        <v>613</v>
      </c>
      <c r="G4" s="472">
        <v>17521596.27</v>
      </c>
      <c r="H4" s="472">
        <v>17521.599999999999</v>
      </c>
      <c r="I4" s="472">
        <v>12265.12</v>
      </c>
      <c r="J4" s="471" t="s">
        <v>801</v>
      </c>
      <c r="M4" s="472"/>
    </row>
    <row r="5" spans="1:13" hidden="1">
      <c r="A5" s="471" t="s">
        <v>798</v>
      </c>
      <c r="B5" s="471" t="s">
        <v>511</v>
      </c>
      <c r="C5" s="471" t="s">
        <v>799</v>
      </c>
      <c r="D5" s="471" t="s">
        <v>804</v>
      </c>
      <c r="E5" s="471">
        <v>2017</v>
      </c>
      <c r="F5" s="471" t="s">
        <v>613</v>
      </c>
      <c r="G5" s="472">
        <v>5926140</v>
      </c>
      <c r="H5" s="472">
        <v>5926.14</v>
      </c>
      <c r="I5" s="472">
        <v>4148.3</v>
      </c>
      <c r="J5" s="471" t="s">
        <v>801</v>
      </c>
      <c r="M5" s="472"/>
    </row>
    <row r="6" spans="1:13" hidden="1">
      <c r="A6" s="471" t="s">
        <v>798</v>
      </c>
      <c r="B6" s="471" t="s">
        <v>511</v>
      </c>
      <c r="C6" s="471" t="s">
        <v>799</v>
      </c>
      <c r="D6" s="471" t="s">
        <v>805</v>
      </c>
      <c r="E6" s="471">
        <v>2017</v>
      </c>
      <c r="F6" s="471" t="s">
        <v>613</v>
      </c>
      <c r="G6" s="472">
        <v>460836809.06999999</v>
      </c>
      <c r="H6" s="472">
        <v>460836.81</v>
      </c>
      <c r="I6" s="472">
        <v>322585.77</v>
      </c>
      <c r="J6" s="471" t="s">
        <v>801</v>
      </c>
    </row>
    <row r="7" spans="1:13" hidden="1">
      <c r="A7" s="471" t="s">
        <v>798</v>
      </c>
      <c r="B7" s="471" t="s">
        <v>511</v>
      </c>
      <c r="C7" s="471" t="s">
        <v>799</v>
      </c>
      <c r="D7" s="471" t="s">
        <v>806</v>
      </c>
      <c r="E7" s="471">
        <v>2017</v>
      </c>
      <c r="F7" s="471" t="s">
        <v>613</v>
      </c>
      <c r="G7" s="472">
        <v>380684168.54000002</v>
      </c>
      <c r="H7" s="472">
        <v>380684.17</v>
      </c>
      <c r="I7" s="472">
        <v>266478.92</v>
      </c>
      <c r="J7" s="471" t="s">
        <v>801</v>
      </c>
    </row>
    <row r="8" spans="1:13" hidden="1">
      <c r="A8" s="471" t="s">
        <v>798</v>
      </c>
      <c r="B8" s="471" t="s">
        <v>511</v>
      </c>
      <c r="C8" s="471" t="s">
        <v>799</v>
      </c>
      <c r="D8" s="471" t="s">
        <v>807</v>
      </c>
      <c r="E8" s="471">
        <v>2017</v>
      </c>
      <c r="F8" s="471" t="s">
        <v>613</v>
      </c>
      <c r="G8" s="472">
        <v>19887.099999999999</v>
      </c>
      <c r="H8" s="471">
        <v>19.89</v>
      </c>
      <c r="I8" s="471">
        <v>13.92</v>
      </c>
      <c r="J8" s="471" t="s">
        <v>801</v>
      </c>
    </row>
    <row r="9" spans="1:13" hidden="1">
      <c r="A9" s="471" t="s">
        <v>798</v>
      </c>
      <c r="B9" s="471" t="s">
        <v>511</v>
      </c>
      <c r="C9" s="471" t="s">
        <v>799</v>
      </c>
      <c r="D9" s="471" t="s">
        <v>808</v>
      </c>
      <c r="E9" s="471">
        <v>2017</v>
      </c>
      <c r="F9" s="471" t="s">
        <v>613</v>
      </c>
      <c r="G9" s="472">
        <v>510901.58</v>
      </c>
      <c r="H9" s="471">
        <v>510.9</v>
      </c>
      <c r="I9" s="471">
        <v>357.63</v>
      </c>
      <c r="J9" s="471" t="s">
        <v>801</v>
      </c>
    </row>
    <row r="12" spans="1:13">
      <c r="A12" s="471" t="s">
        <v>798</v>
      </c>
      <c r="B12" s="471" t="s">
        <v>10</v>
      </c>
      <c r="C12" s="471" t="s">
        <v>799</v>
      </c>
      <c r="D12" s="471" t="s">
        <v>800</v>
      </c>
      <c r="E12" s="471">
        <v>2017</v>
      </c>
      <c r="F12" s="471" t="s">
        <v>613</v>
      </c>
      <c r="G12" s="472">
        <v>43362000</v>
      </c>
      <c r="H12" s="472">
        <v>43362</v>
      </c>
      <c r="I12" s="472">
        <v>6504.3</v>
      </c>
      <c r="J12" s="471" t="s">
        <v>801</v>
      </c>
    </row>
    <row r="13" spans="1:13">
      <c r="A13" s="471" t="s">
        <v>798</v>
      </c>
      <c r="B13" s="471" t="s">
        <v>10</v>
      </c>
      <c r="C13" s="471" t="s">
        <v>799</v>
      </c>
      <c r="D13" s="471" t="s">
        <v>802</v>
      </c>
      <c r="E13" s="471">
        <v>2017</v>
      </c>
      <c r="F13" s="471" t="s">
        <v>613</v>
      </c>
      <c r="G13" s="472">
        <v>254136312.08000001</v>
      </c>
      <c r="H13" s="472">
        <v>254136.31</v>
      </c>
      <c r="I13" s="472">
        <v>38120.449999999997</v>
      </c>
      <c r="J13" s="471" t="s">
        <v>801</v>
      </c>
    </row>
    <row r="14" spans="1:13">
      <c r="A14" s="471" t="s">
        <v>798</v>
      </c>
      <c r="B14" s="471" t="s">
        <v>10</v>
      </c>
      <c r="C14" s="471" t="s">
        <v>799</v>
      </c>
      <c r="D14" s="471" t="s">
        <v>803</v>
      </c>
      <c r="E14" s="471">
        <v>2017</v>
      </c>
      <c r="F14" s="471" t="s">
        <v>613</v>
      </c>
      <c r="G14" s="472">
        <v>8889701.0700000003</v>
      </c>
      <c r="H14" s="472">
        <v>8889.7000000000007</v>
      </c>
      <c r="I14" s="472">
        <v>1333.46</v>
      </c>
      <c r="J14" s="471" t="s">
        <v>801</v>
      </c>
    </row>
    <row r="15" spans="1:13">
      <c r="A15" s="471" t="s">
        <v>798</v>
      </c>
      <c r="B15" s="471" t="s">
        <v>10</v>
      </c>
      <c r="C15" s="471" t="s">
        <v>799</v>
      </c>
      <c r="D15" s="471" t="s">
        <v>804</v>
      </c>
      <c r="E15" s="471">
        <v>2017</v>
      </c>
      <c r="F15" s="471" t="s">
        <v>613</v>
      </c>
      <c r="G15" s="472">
        <v>3738855.6</v>
      </c>
      <c r="H15" s="472">
        <v>3738.86</v>
      </c>
      <c r="I15" s="471">
        <v>560.83000000000004</v>
      </c>
      <c r="J15" s="471" t="s">
        <v>801</v>
      </c>
    </row>
    <row r="16" spans="1:13">
      <c r="A16" s="471" t="s">
        <v>798</v>
      </c>
      <c r="B16" s="471" t="s">
        <v>10</v>
      </c>
      <c r="C16" s="471" t="s">
        <v>799</v>
      </c>
      <c r="D16" s="471" t="s">
        <v>805</v>
      </c>
      <c r="E16" s="471">
        <v>2017</v>
      </c>
      <c r="F16" s="471" t="s">
        <v>613</v>
      </c>
      <c r="G16" s="472">
        <v>43804380</v>
      </c>
      <c r="H16" s="472">
        <v>43804.38</v>
      </c>
      <c r="I16" s="472">
        <v>6570.66</v>
      </c>
      <c r="J16" s="471" t="s">
        <v>801</v>
      </c>
    </row>
    <row r="17" spans="1:13">
      <c r="A17" s="471" t="s">
        <v>798</v>
      </c>
      <c r="B17" s="471" t="s">
        <v>10</v>
      </c>
      <c r="C17" s="471" t="s">
        <v>799</v>
      </c>
      <c r="D17" s="471" t="s">
        <v>806</v>
      </c>
      <c r="E17" s="471">
        <v>2017</v>
      </c>
      <c r="F17" s="471" t="s">
        <v>613</v>
      </c>
      <c r="G17" s="472">
        <v>30156789.989999998</v>
      </c>
      <c r="H17" s="472">
        <v>30156.79</v>
      </c>
      <c r="I17" s="472">
        <v>4523.5200000000004</v>
      </c>
      <c r="J17" s="471" t="s">
        <v>801</v>
      </c>
    </row>
    <row r="18" spans="1:13">
      <c r="A18" s="471" t="s">
        <v>798</v>
      </c>
      <c r="B18" s="471" t="s">
        <v>10</v>
      </c>
      <c r="C18" s="471" t="s">
        <v>799</v>
      </c>
      <c r="D18" s="471" t="s">
        <v>807</v>
      </c>
      <c r="E18" s="471">
        <v>2017</v>
      </c>
      <c r="F18" s="471" t="s">
        <v>613</v>
      </c>
      <c r="G18" s="472">
        <v>74776.160000000003</v>
      </c>
      <c r="H18" s="471">
        <v>74.78</v>
      </c>
      <c r="I18" s="471">
        <v>11.22</v>
      </c>
      <c r="J18" s="471" t="s">
        <v>801</v>
      </c>
    </row>
    <row r="19" spans="1:13">
      <c r="A19" s="471" t="s">
        <v>798</v>
      </c>
      <c r="B19" s="471" t="s">
        <v>10</v>
      </c>
      <c r="C19" s="471" t="s">
        <v>799</v>
      </c>
      <c r="D19" s="471" t="s">
        <v>808</v>
      </c>
      <c r="E19" s="471">
        <v>2017</v>
      </c>
      <c r="F19" s="471" t="s">
        <v>613</v>
      </c>
      <c r="G19" s="472">
        <v>1921083.65</v>
      </c>
      <c r="H19" s="472">
        <v>1921.08</v>
      </c>
      <c r="I19" s="471">
        <v>288.16000000000003</v>
      </c>
      <c r="J19" s="471" t="s">
        <v>801</v>
      </c>
    </row>
    <row r="22" spans="1:13">
      <c r="A22" s="471" t="s">
        <v>798</v>
      </c>
      <c r="B22" s="471" t="s">
        <v>8</v>
      </c>
      <c r="C22" s="471" t="s">
        <v>799</v>
      </c>
      <c r="D22" s="471" t="s">
        <v>800</v>
      </c>
      <c r="E22" s="471">
        <v>2017</v>
      </c>
      <c r="F22" s="471" t="s">
        <v>613</v>
      </c>
      <c r="G22" s="472">
        <v>38972259.979999997</v>
      </c>
      <c r="H22" s="472">
        <v>38972.26</v>
      </c>
      <c r="J22" s="471" t="s">
        <v>801</v>
      </c>
      <c r="M22" s="472">
        <f>H22+H23</f>
        <v>155405.79</v>
      </c>
    </row>
    <row r="23" spans="1:13">
      <c r="A23" s="471" t="s">
        <v>798</v>
      </c>
      <c r="B23" s="471" t="s">
        <v>8</v>
      </c>
      <c r="C23" s="471" t="s">
        <v>799</v>
      </c>
      <c r="D23" s="471" t="s">
        <v>802</v>
      </c>
      <c r="E23" s="471">
        <v>2017</v>
      </c>
      <c r="F23" s="471" t="s">
        <v>613</v>
      </c>
      <c r="G23" s="472">
        <v>116433527.09</v>
      </c>
      <c r="H23" s="472">
        <v>116433.53</v>
      </c>
      <c r="J23" s="471" t="s">
        <v>801</v>
      </c>
    </row>
    <row r="24" spans="1:13">
      <c r="A24" s="471" t="s">
        <v>798</v>
      </c>
      <c r="B24" s="471" t="s">
        <v>8</v>
      </c>
      <c r="C24" s="471" t="s">
        <v>799</v>
      </c>
      <c r="D24" s="471" t="s">
        <v>803</v>
      </c>
      <c r="E24" s="471">
        <v>2017</v>
      </c>
      <c r="F24" s="471" t="s">
        <v>613</v>
      </c>
      <c r="G24" s="472">
        <v>18772412.550000001</v>
      </c>
      <c r="H24" s="472">
        <v>18772.41</v>
      </c>
      <c r="J24" s="471" t="s">
        <v>801</v>
      </c>
    </row>
    <row r="25" spans="1:13">
      <c r="A25" s="471" t="s">
        <v>798</v>
      </c>
      <c r="B25" s="471" t="s">
        <v>8</v>
      </c>
      <c r="C25" s="471" t="s">
        <v>799</v>
      </c>
      <c r="D25" s="471" t="s">
        <v>804</v>
      </c>
      <c r="E25" s="471">
        <v>2017</v>
      </c>
      <c r="F25" s="471" t="s">
        <v>613</v>
      </c>
      <c r="G25" s="472">
        <v>4309920</v>
      </c>
      <c r="H25" s="472">
        <v>4309.92</v>
      </c>
      <c r="J25" s="471" t="s">
        <v>801</v>
      </c>
    </row>
    <row r="26" spans="1:13">
      <c r="A26" s="471" t="s">
        <v>798</v>
      </c>
      <c r="B26" s="471" t="s">
        <v>8</v>
      </c>
      <c r="C26" s="471" t="s">
        <v>799</v>
      </c>
      <c r="D26" s="471" t="s">
        <v>805</v>
      </c>
      <c r="E26" s="471">
        <v>2017</v>
      </c>
      <c r="F26" s="471" t="s">
        <v>613</v>
      </c>
      <c r="G26" s="472">
        <v>85854289.569999993</v>
      </c>
      <c r="H26" s="472">
        <v>85854.29</v>
      </c>
      <c r="J26" s="471" t="s">
        <v>801</v>
      </c>
    </row>
    <row r="27" spans="1:13">
      <c r="A27" s="471" t="s">
        <v>798</v>
      </c>
      <c r="B27" s="471" t="s">
        <v>8</v>
      </c>
      <c r="C27" s="471" t="s">
        <v>799</v>
      </c>
      <c r="D27" s="471" t="s">
        <v>806</v>
      </c>
      <c r="E27" s="471">
        <v>2017</v>
      </c>
      <c r="F27" s="471" t="s">
        <v>613</v>
      </c>
      <c r="G27" s="472">
        <v>72177795.959999993</v>
      </c>
      <c r="H27" s="472">
        <v>72177.8</v>
      </c>
      <c r="J27" s="471" t="s">
        <v>801</v>
      </c>
    </row>
    <row r="28" spans="1:13">
      <c r="A28" s="471" t="s">
        <v>798</v>
      </c>
      <c r="B28" s="471" t="s">
        <v>8</v>
      </c>
      <c r="C28" s="471" t="s">
        <v>799</v>
      </c>
      <c r="D28" s="471" t="s">
        <v>807</v>
      </c>
      <c r="E28" s="471">
        <v>2017</v>
      </c>
      <c r="F28" s="471" t="s">
        <v>613</v>
      </c>
      <c r="G28" s="472">
        <v>234255.18</v>
      </c>
      <c r="H28" s="471">
        <v>234.26</v>
      </c>
      <c r="J28" s="471" t="s">
        <v>801</v>
      </c>
    </row>
    <row r="29" spans="1:13">
      <c r="A29" s="471" t="s">
        <v>798</v>
      </c>
      <c r="B29" s="471" t="s">
        <v>8</v>
      </c>
      <c r="C29" s="471" t="s">
        <v>799</v>
      </c>
      <c r="D29" s="471" t="s">
        <v>808</v>
      </c>
      <c r="E29" s="471">
        <v>2017</v>
      </c>
      <c r="F29" s="471" t="s">
        <v>613</v>
      </c>
      <c r="G29" s="472">
        <v>6018244.4500000002</v>
      </c>
      <c r="H29" s="472">
        <v>6018.24</v>
      </c>
      <c r="J29" s="471" t="s">
        <v>801</v>
      </c>
    </row>
    <row r="32" spans="1:13">
      <c r="A32" s="471" t="s">
        <v>798</v>
      </c>
      <c r="B32" s="471" t="s">
        <v>6</v>
      </c>
      <c r="C32" s="471" t="s">
        <v>799</v>
      </c>
      <c r="D32" s="471" t="s">
        <v>800</v>
      </c>
      <c r="E32" s="471">
        <v>2017</v>
      </c>
      <c r="F32" s="471" t="s">
        <v>613</v>
      </c>
      <c r="G32" s="472">
        <v>3988641.53</v>
      </c>
      <c r="H32" s="472">
        <v>3988.64</v>
      </c>
      <c r="I32" s="472">
        <v>2991.48</v>
      </c>
      <c r="J32" s="471" t="s">
        <v>801</v>
      </c>
    </row>
    <row r="33" spans="1:10">
      <c r="A33" s="471" t="s">
        <v>798</v>
      </c>
      <c r="B33" s="471" t="s">
        <v>6</v>
      </c>
      <c r="C33" s="471" t="s">
        <v>799</v>
      </c>
      <c r="D33" s="471" t="s">
        <v>802</v>
      </c>
      <c r="E33" s="471">
        <v>2017</v>
      </c>
      <c r="F33" s="471" t="s">
        <v>613</v>
      </c>
      <c r="G33" s="472">
        <v>14957389.789999999</v>
      </c>
      <c r="H33" s="472">
        <v>14957.39</v>
      </c>
      <c r="I33" s="472">
        <v>11218.04</v>
      </c>
      <c r="J33" s="471" t="s">
        <v>801</v>
      </c>
    </row>
    <row r="34" spans="1:10">
      <c r="A34" s="471" t="s">
        <v>798</v>
      </c>
      <c r="B34" s="471" t="s">
        <v>6</v>
      </c>
      <c r="C34" s="471" t="s">
        <v>799</v>
      </c>
      <c r="D34" s="471" t="s">
        <v>803</v>
      </c>
      <c r="E34" s="471">
        <v>2017</v>
      </c>
      <c r="F34" s="471" t="s">
        <v>613</v>
      </c>
      <c r="G34" s="472">
        <v>10047234.49</v>
      </c>
      <c r="H34" s="472">
        <v>10047.23</v>
      </c>
      <c r="I34" s="472">
        <v>7535.43</v>
      </c>
      <c r="J34" s="471" t="s">
        <v>801</v>
      </c>
    </row>
    <row r="35" spans="1:10">
      <c r="A35" s="471" t="s">
        <v>798</v>
      </c>
      <c r="B35" s="471" t="s">
        <v>6</v>
      </c>
      <c r="C35" s="471" t="s">
        <v>799</v>
      </c>
      <c r="D35" s="471" t="s">
        <v>804</v>
      </c>
      <c r="E35" s="471">
        <v>2017</v>
      </c>
      <c r="F35" s="471" t="s">
        <v>613</v>
      </c>
      <c r="G35" s="472">
        <v>1346850</v>
      </c>
      <c r="H35" s="472">
        <v>1346.85</v>
      </c>
      <c r="I35" s="472">
        <v>1010.14</v>
      </c>
      <c r="J35" s="471" t="s">
        <v>801</v>
      </c>
    </row>
    <row r="36" spans="1:10">
      <c r="A36" s="471" t="s">
        <v>798</v>
      </c>
      <c r="B36" s="471" t="s">
        <v>6</v>
      </c>
      <c r="C36" s="471" t="s">
        <v>799</v>
      </c>
      <c r="D36" s="471" t="s">
        <v>805</v>
      </c>
      <c r="E36" s="471">
        <v>2017</v>
      </c>
      <c r="F36" s="471" t="s">
        <v>613</v>
      </c>
      <c r="G36" s="472">
        <v>42675487.119999997</v>
      </c>
      <c r="H36" s="472">
        <v>42675.49</v>
      </c>
      <c r="I36" s="472">
        <v>32006.62</v>
      </c>
      <c r="J36" s="471" t="s">
        <v>801</v>
      </c>
    </row>
    <row r="37" spans="1:10">
      <c r="A37" s="471" t="s">
        <v>798</v>
      </c>
      <c r="B37" s="471" t="s">
        <v>6</v>
      </c>
      <c r="C37" s="471" t="s">
        <v>799</v>
      </c>
      <c r="D37" s="471" t="s">
        <v>806</v>
      </c>
      <c r="E37" s="471">
        <v>2017</v>
      </c>
      <c r="F37" s="471" t="s">
        <v>613</v>
      </c>
      <c r="G37" s="472">
        <v>27910556.530000001</v>
      </c>
      <c r="H37" s="472">
        <v>27910.560000000001</v>
      </c>
      <c r="I37" s="472">
        <v>20932.919999999998</v>
      </c>
      <c r="J37" s="471" t="s">
        <v>801</v>
      </c>
    </row>
    <row r="38" spans="1:10">
      <c r="A38" s="471" t="s">
        <v>798</v>
      </c>
      <c r="B38" s="471" t="s">
        <v>6</v>
      </c>
      <c r="C38" s="471" t="s">
        <v>799</v>
      </c>
      <c r="D38" s="471" t="s">
        <v>807</v>
      </c>
      <c r="E38" s="471">
        <v>2017</v>
      </c>
      <c r="F38" s="471" t="s">
        <v>613</v>
      </c>
      <c r="G38" s="472">
        <v>275496.45</v>
      </c>
      <c r="H38" s="471">
        <v>275.5</v>
      </c>
      <c r="I38" s="471">
        <v>206.62</v>
      </c>
      <c r="J38" s="471" t="s">
        <v>801</v>
      </c>
    </row>
    <row r="39" spans="1:10">
      <c r="A39" s="471" t="s">
        <v>798</v>
      </c>
      <c r="B39" s="471" t="s">
        <v>6</v>
      </c>
      <c r="C39" s="471" t="s">
        <v>799</v>
      </c>
      <c r="D39" s="471" t="s">
        <v>808</v>
      </c>
      <c r="E39" s="471">
        <v>2017</v>
      </c>
      <c r="F39" s="471" t="s">
        <v>613</v>
      </c>
      <c r="G39" s="472">
        <v>7077770.3499999996</v>
      </c>
      <c r="H39" s="472">
        <v>7077.77</v>
      </c>
      <c r="I39" s="472">
        <v>5308.33</v>
      </c>
      <c r="J39" s="471" t="s">
        <v>801</v>
      </c>
    </row>
  </sheetData>
  <pageMargins left="0.7" right="0.7" top="0.75" bottom="0.75" header="0.3" footer="0.3"/>
  <pageSetup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7B4F00-301F-4853-8228-78DF2C245CD5}">
  <dimension ref="A2:P29"/>
  <sheetViews>
    <sheetView workbookViewId="0">
      <selection activeCell="I20" sqref="I20"/>
    </sheetView>
  </sheetViews>
  <sheetFormatPr defaultRowHeight="12.6"/>
  <cols>
    <col min="1" max="1" width="23.85546875" customWidth="1"/>
    <col min="2" max="2" width="13.85546875" bestFit="1" customWidth="1"/>
    <col min="3" max="3" width="17" customWidth="1"/>
    <col min="4" max="4" width="17.28515625" customWidth="1"/>
    <col min="5" max="5" width="15.28515625" bestFit="1" customWidth="1"/>
    <col min="6" max="6" width="16.140625" bestFit="1" customWidth="1"/>
    <col min="7" max="7" width="11.140625" customWidth="1"/>
    <col min="8" max="8" width="14.7109375" customWidth="1"/>
    <col min="9" max="9" width="48.42578125" bestFit="1" customWidth="1"/>
    <col min="13" max="13" width="12.28515625" bestFit="1" customWidth="1"/>
    <col min="16" max="16" width="11.140625" bestFit="1" customWidth="1"/>
  </cols>
  <sheetData>
    <row r="2" spans="1:16" ht="12.95">
      <c r="A2" s="738" t="s">
        <v>809</v>
      </c>
      <c r="B2" s="738" t="s">
        <v>121</v>
      </c>
      <c r="C2" s="738" t="s">
        <v>810</v>
      </c>
      <c r="D2" s="738" t="s">
        <v>811</v>
      </c>
      <c r="E2" s="738" t="s">
        <v>812</v>
      </c>
      <c r="F2" s="738" t="s">
        <v>813</v>
      </c>
      <c r="G2" s="738" t="s">
        <v>814</v>
      </c>
      <c r="H2" s="738" t="s">
        <v>815</v>
      </c>
      <c r="I2" s="738" t="s">
        <v>816</v>
      </c>
    </row>
    <row r="3" spans="1:16" ht="50.1">
      <c r="A3" s="48" t="s">
        <v>817</v>
      </c>
      <c r="B3" s="19">
        <v>668440</v>
      </c>
      <c r="C3" s="19">
        <v>1327800</v>
      </c>
      <c r="D3" s="19">
        <v>200370</v>
      </c>
      <c r="E3" s="19">
        <v>4251903</v>
      </c>
      <c r="F3" s="19">
        <f>69372+3655+866</f>
        <v>73893</v>
      </c>
      <c r="G3" s="19"/>
      <c r="H3" s="19"/>
      <c r="I3" s="741" t="s">
        <v>818</v>
      </c>
    </row>
    <row r="4" spans="1:16">
      <c r="I4" s="15" t="s">
        <v>819</v>
      </c>
    </row>
    <row r="5" spans="1:16">
      <c r="B5" s="114">
        <f>B3*10*365</f>
        <v>2439806000</v>
      </c>
      <c r="I5" s="15" t="s">
        <v>820</v>
      </c>
    </row>
    <row r="7" spans="1:16">
      <c r="J7" s="901" t="s">
        <v>821</v>
      </c>
      <c r="K7" s="901"/>
      <c r="L7" s="742"/>
    </row>
    <row r="8" spans="1:16">
      <c r="J8" s="2" t="s">
        <v>822</v>
      </c>
      <c r="K8">
        <v>112114</v>
      </c>
    </row>
    <row r="9" spans="1:16" ht="26.1">
      <c r="A9" s="748" t="s">
        <v>823</v>
      </c>
      <c r="B9" s="738" t="s">
        <v>121</v>
      </c>
      <c r="C9" s="738" t="s">
        <v>810</v>
      </c>
      <c r="D9" s="738" t="s">
        <v>811</v>
      </c>
      <c r="E9" s="740" t="s">
        <v>824</v>
      </c>
      <c r="F9" s="738" t="s">
        <v>825</v>
      </c>
      <c r="G9" s="738" t="s">
        <v>814</v>
      </c>
      <c r="H9" s="738" t="s">
        <v>815</v>
      </c>
      <c r="I9" s="738" t="s">
        <v>816</v>
      </c>
      <c r="J9" s="744" t="s">
        <v>826</v>
      </c>
      <c r="K9">
        <v>151106</v>
      </c>
      <c r="L9" s="902" t="s">
        <v>822</v>
      </c>
      <c r="M9" s="738" t="s">
        <v>827</v>
      </c>
      <c r="N9" s="743" t="s">
        <v>828</v>
      </c>
      <c r="O9" s="738" t="s">
        <v>829</v>
      </c>
      <c r="P9" s="49" t="s">
        <v>12</v>
      </c>
    </row>
    <row r="10" spans="1:16" ht="50.1">
      <c r="A10" s="49" t="s">
        <v>822</v>
      </c>
      <c r="B10" s="19">
        <v>1549000</v>
      </c>
      <c r="C10" s="19">
        <f>498000+716000</f>
        <v>1214000</v>
      </c>
      <c r="D10" s="19">
        <v>3410</v>
      </c>
      <c r="E10" s="19">
        <f>P10</f>
        <v>400246.98</v>
      </c>
      <c r="F10" s="19">
        <f>51699</f>
        <v>51699</v>
      </c>
      <c r="G10" s="19"/>
      <c r="H10" s="19"/>
      <c r="I10" s="741" t="s">
        <v>830</v>
      </c>
      <c r="L10" s="903"/>
      <c r="M10" s="18">
        <v>4</v>
      </c>
      <c r="N10" s="18">
        <v>13</v>
      </c>
      <c r="O10" s="20">
        <f>(N10/100)*$K$8</f>
        <v>14574.82</v>
      </c>
      <c r="P10" s="907">
        <f>(O10*M10)+(O11*M11)+(O12*M12)</f>
        <v>400246.98</v>
      </c>
    </row>
    <row r="11" spans="1:16">
      <c r="A11" s="49" t="s">
        <v>826</v>
      </c>
      <c r="B11" s="19">
        <v>1757000</v>
      </c>
      <c r="C11" s="19">
        <f>515000+439000</f>
        <v>954000</v>
      </c>
      <c r="D11" s="19">
        <v>3658</v>
      </c>
      <c r="E11" s="19">
        <f>P16</f>
        <v>269851.52000000002</v>
      </c>
      <c r="F11" s="19">
        <f>90515/5</f>
        <v>18103</v>
      </c>
      <c r="G11" s="19"/>
      <c r="H11" s="19"/>
      <c r="I11" s="18"/>
      <c r="L11" s="903"/>
      <c r="M11" s="18">
        <v>7</v>
      </c>
      <c r="N11" s="18">
        <v>11</v>
      </c>
      <c r="O11" s="20">
        <f t="shared" ref="O11:O12" si="0">(N11/100)*$K$8</f>
        <v>12332.54</v>
      </c>
      <c r="P11" s="908"/>
    </row>
    <row r="12" spans="1:16">
      <c r="B12" s="16">
        <f>B10+B11</f>
        <v>3306000</v>
      </c>
      <c r="C12" s="16">
        <f t="shared" ref="C12:F12" si="1">C10+C11</f>
        <v>2168000</v>
      </c>
      <c r="D12" s="16">
        <f t="shared" si="1"/>
        <v>7068</v>
      </c>
      <c r="E12" s="16">
        <f t="shared" si="1"/>
        <v>670098.5</v>
      </c>
      <c r="F12" s="16">
        <f t="shared" si="1"/>
        <v>69802</v>
      </c>
      <c r="G12" s="16"/>
      <c r="H12" s="16"/>
      <c r="L12" s="904"/>
      <c r="M12" s="18">
        <v>12</v>
      </c>
      <c r="N12" s="18">
        <v>19</v>
      </c>
      <c r="O12" s="20">
        <f t="shared" si="0"/>
        <v>21301.66</v>
      </c>
      <c r="P12" s="909"/>
    </row>
    <row r="13" spans="1:16">
      <c r="B13" s="16"/>
      <c r="C13" s="16"/>
      <c r="D13" s="16"/>
      <c r="E13" s="16"/>
      <c r="F13" s="16"/>
      <c r="G13" s="16"/>
      <c r="H13" s="16"/>
    </row>
    <row r="14" spans="1:16">
      <c r="B14" s="16"/>
      <c r="C14" s="16"/>
      <c r="D14" s="16"/>
      <c r="E14" s="16"/>
      <c r="F14" s="16"/>
      <c r="G14" s="16"/>
      <c r="H14" s="16"/>
    </row>
    <row r="15" spans="1:16" ht="26.1">
      <c r="A15" s="748" t="s">
        <v>831</v>
      </c>
      <c r="B15" s="738" t="s">
        <v>121</v>
      </c>
      <c r="C15" s="738" t="s">
        <v>810</v>
      </c>
      <c r="D15" s="738" t="s">
        <v>811</v>
      </c>
      <c r="E15" s="740" t="s">
        <v>824</v>
      </c>
      <c r="F15" s="738" t="s">
        <v>825</v>
      </c>
      <c r="G15" s="738" t="s">
        <v>814</v>
      </c>
      <c r="H15" s="738" t="s">
        <v>815</v>
      </c>
      <c r="I15" s="738" t="s">
        <v>816</v>
      </c>
      <c r="L15" s="905" t="s">
        <v>826</v>
      </c>
      <c r="M15" s="738" t="s">
        <v>827</v>
      </c>
      <c r="N15" s="743" t="s">
        <v>828</v>
      </c>
      <c r="O15" s="738" t="s">
        <v>829</v>
      </c>
      <c r="P15" s="49" t="s">
        <v>12</v>
      </c>
    </row>
    <row r="16" spans="1:16" ht="24.95">
      <c r="A16" s="49" t="s">
        <v>832</v>
      </c>
      <c r="B16" s="19">
        <v>98537</v>
      </c>
      <c r="C16" s="19">
        <f>470256+235658</f>
        <v>705914</v>
      </c>
      <c r="D16" s="19">
        <f>161554</f>
        <v>161554</v>
      </c>
      <c r="E16" s="19">
        <v>3347182</v>
      </c>
      <c r="F16" s="19">
        <f>6417/3</f>
        <v>2139</v>
      </c>
      <c r="G16" s="19"/>
      <c r="H16" s="19"/>
      <c r="I16" s="48" t="s">
        <v>833</v>
      </c>
      <c r="L16" s="906"/>
      <c r="M16" s="18">
        <v>4</v>
      </c>
      <c r="N16" s="18">
        <v>12</v>
      </c>
      <c r="O16" s="20">
        <f>(N16/100)*$K$9</f>
        <v>18132.719999999998</v>
      </c>
      <c r="P16" s="907">
        <f>(O16*M16)+(O17*M17)+(O18*M18)</f>
        <v>269851.52000000002</v>
      </c>
    </row>
    <row r="17" spans="1:16">
      <c r="B17" s="16"/>
      <c r="C17" s="16"/>
      <c r="D17" s="16"/>
      <c r="E17" s="16"/>
      <c r="F17" s="16"/>
      <c r="G17" s="16"/>
      <c r="H17" s="16"/>
      <c r="L17" s="906"/>
      <c r="M17" s="18">
        <v>7</v>
      </c>
      <c r="N17" s="18">
        <v>8</v>
      </c>
      <c r="O17" s="20">
        <f t="shared" ref="O17:O18" si="2">(N17/100)*$K$8</f>
        <v>8969.1200000000008</v>
      </c>
      <c r="P17" s="908"/>
    </row>
    <row r="18" spans="1:16">
      <c r="B18" s="16"/>
      <c r="C18" s="16"/>
      <c r="D18" s="16"/>
      <c r="E18" s="16"/>
      <c r="F18" s="16"/>
      <c r="G18" s="16"/>
      <c r="H18" s="16"/>
      <c r="L18" s="906"/>
      <c r="M18" s="18">
        <v>12</v>
      </c>
      <c r="N18" s="18">
        <v>10</v>
      </c>
      <c r="O18" s="20">
        <f t="shared" si="2"/>
        <v>11211.400000000001</v>
      </c>
      <c r="P18" s="909"/>
    </row>
    <row r="19" spans="1:16" ht="26.1" hidden="1">
      <c r="A19" s="748" t="s">
        <v>834</v>
      </c>
      <c r="B19" s="738" t="s">
        <v>121</v>
      </c>
      <c r="C19" s="738" t="s">
        <v>810</v>
      </c>
      <c r="D19" s="738" t="s">
        <v>811</v>
      </c>
      <c r="E19" s="740" t="s">
        <v>824</v>
      </c>
      <c r="F19" s="738" t="s">
        <v>825</v>
      </c>
      <c r="G19" s="738" t="s">
        <v>814</v>
      </c>
      <c r="H19" s="738" t="s">
        <v>815</v>
      </c>
      <c r="I19" s="738" t="s">
        <v>816</v>
      </c>
    </row>
    <row r="20" spans="1:16" ht="50.1" hidden="1">
      <c r="A20" s="49" t="s">
        <v>835</v>
      </c>
      <c r="B20" s="19">
        <v>25031068</v>
      </c>
      <c r="C20" s="19">
        <f>9260493+7526644</f>
        <v>16787137</v>
      </c>
      <c r="D20" s="898" t="s">
        <v>836</v>
      </c>
      <c r="E20" s="19">
        <v>16668657</v>
      </c>
      <c r="F20" s="19"/>
      <c r="G20" s="19"/>
      <c r="H20" s="19"/>
      <c r="I20" s="741" t="s">
        <v>837</v>
      </c>
    </row>
    <row r="21" spans="1:16" hidden="1">
      <c r="A21" s="49" t="s">
        <v>838</v>
      </c>
      <c r="B21" s="19">
        <v>12404963</v>
      </c>
      <c r="C21" s="19">
        <f>4735604+4819573</f>
        <v>9555177</v>
      </c>
      <c r="D21" s="899"/>
      <c r="E21" s="19">
        <v>7347205</v>
      </c>
      <c r="F21" s="19"/>
      <c r="G21" s="19"/>
      <c r="H21" s="19"/>
      <c r="I21" s="18"/>
    </row>
    <row r="22" spans="1:16" hidden="1">
      <c r="A22" s="49" t="s">
        <v>839</v>
      </c>
      <c r="B22" s="19">
        <v>16318446</v>
      </c>
      <c r="C22" s="745">
        <f>10386223+6883316</f>
        <v>17269539</v>
      </c>
      <c r="D22" s="899"/>
      <c r="E22" s="19">
        <v>16827119</v>
      </c>
      <c r="F22" s="19"/>
      <c r="G22" s="19"/>
      <c r="H22" s="19"/>
      <c r="I22" s="18"/>
    </row>
    <row r="23" spans="1:16" hidden="1">
      <c r="A23" s="49" t="s">
        <v>840</v>
      </c>
      <c r="B23" s="19">
        <v>4908964</v>
      </c>
      <c r="C23" s="19">
        <f>2097619+4838969</f>
        <v>6936588</v>
      </c>
      <c r="D23" s="900"/>
      <c r="E23" s="19">
        <v>6317518</v>
      </c>
      <c r="F23" s="19"/>
      <c r="G23" s="19"/>
      <c r="H23" s="19"/>
      <c r="I23" s="18"/>
    </row>
    <row r="24" spans="1:16" hidden="1">
      <c r="B24" s="16">
        <f>SUM(B20:B23)</f>
        <v>58663441</v>
      </c>
      <c r="C24" s="16">
        <f>SUM(C20:C23)</f>
        <v>50548441</v>
      </c>
      <c r="D24" s="16">
        <f>SUM(D20:D23)</f>
        <v>0</v>
      </c>
      <c r="E24" s="16">
        <f>SUM(E20:E23)</f>
        <v>47160499</v>
      </c>
      <c r="F24" s="16"/>
      <c r="G24" s="16"/>
      <c r="H24" s="16"/>
    </row>
    <row r="25" spans="1:16">
      <c r="B25" s="16"/>
      <c r="C25" s="16"/>
      <c r="D25" s="16"/>
      <c r="E25" s="16"/>
      <c r="F25" s="16"/>
      <c r="G25" s="16"/>
      <c r="H25" s="16"/>
    </row>
    <row r="26" spans="1:16">
      <c r="A26">
        <v>1</v>
      </c>
      <c r="B26" s="16"/>
      <c r="C26" s="16"/>
      <c r="D26" s="16"/>
      <c r="E26" s="16"/>
      <c r="F26" s="16"/>
      <c r="G26" s="16"/>
      <c r="H26" s="16"/>
    </row>
    <row r="27" spans="1:16">
      <c r="B27" s="16"/>
      <c r="C27" s="16"/>
      <c r="D27" s="16"/>
      <c r="E27" s="16"/>
      <c r="F27" s="16"/>
      <c r="G27" s="16"/>
      <c r="H27" s="16"/>
    </row>
    <row r="29" spans="1:16">
      <c r="C29" s="114"/>
    </row>
  </sheetData>
  <mergeCells count="6">
    <mergeCell ref="D20:D23"/>
    <mergeCell ref="J7:K7"/>
    <mergeCell ref="L9:L12"/>
    <mergeCell ref="L15:L18"/>
    <mergeCell ref="P10:P12"/>
    <mergeCell ref="P16:P18"/>
  </mergeCells>
  <hyperlinks>
    <hyperlink ref="I20" r:id="rId1" xr:uid="{661F84D3-39F1-41EA-85E8-90F65F8CCA7F}"/>
    <hyperlink ref="I3" r:id="rId2" display="http://www.ansd.sn/ressources/publications/12-SES-2017-2018_Peche-aquaculture.pdf" xr:uid="{66994596-A5D7-43E3-9975-7C679ED38552}"/>
    <hyperlink ref="I4" r:id="rId3" xr:uid="{5B8938D2-B264-4ADB-9853-1B2936DF1FC7}"/>
    <hyperlink ref="I5" r:id="rId4" xr:uid="{77CE2337-D6BF-44EA-937A-36062078E9D0}"/>
    <hyperlink ref="I10" r:id="rId5" xr:uid="{27CA8737-3A17-49BE-B514-AAA666A3ED8F}"/>
  </hyperlinks>
  <pageMargins left="0.7" right="0.7" top="0.75" bottom="0.75" header="0.3" footer="0.3"/>
  <pageSetup paperSize="9" orientation="portrait" r:id="rId6"/>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43FBDD-1256-46B0-BEDC-803FD7ED67C2}">
  <dimension ref="A1:J44"/>
  <sheetViews>
    <sheetView workbookViewId="0">
      <selection activeCell="C6" sqref="C6"/>
    </sheetView>
  </sheetViews>
  <sheetFormatPr defaultColWidth="8.7109375" defaultRowHeight="14.45"/>
  <cols>
    <col min="1" max="1" width="13.140625" style="768" customWidth="1"/>
    <col min="2" max="2" width="16.5703125" style="768" customWidth="1"/>
    <col min="3" max="3" width="15.42578125" style="768" bestFit="1" customWidth="1"/>
    <col min="4" max="4" width="12.85546875" style="768" bestFit="1" customWidth="1"/>
    <col min="5" max="5" width="12.5703125" style="768" bestFit="1" customWidth="1"/>
    <col min="6" max="6" width="11.5703125" style="768" customWidth="1"/>
    <col min="7" max="7" width="12.5703125" style="768" bestFit="1" customWidth="1"/>
    <col min="8" max="16384" width="8.7109375" style="768"/>
  </cols>
  <sheetData>
    <row r="1" spans="1:10" ht="35.450000000000003" customHeight="1"/>
    <row r="2" spans="1:10" ht="58.5" hidden="1" thickBot="1">
      <c r="A2" s="910" t="s">
        <v>511</v>
      </c>
      <c r="B2" s="763"/>
      <c r="C2" s="764" t="s">
        <v>841</v>
      </c>
      <c r="D2" s="764" t="s">
        <v>842</v>
      </c>
      <c r="E2" s="764" t="s">
        <v>843</v>
      </c>
      <c r="F2" s="765" t="s">
        <v>844</v>
      </c>
      <c r="G2" s="766"/>
      <c r="H2" s="767" t="s">
        <v>845</v>
      </c>
      <c r="I2" s="767" t="s">
        <v>846</v>
      </c>
    </row>
    <row r="3" spans="1:10" hidden="1">
      <c r="A3" s="911"/>
      <c r="B3" s="769" t="s">
        <v>847</v>
      </c>
      <c r="C3" s="770">
        <v>5929</v>
      </c>
      <c r="D3" s="771">
        <v>4574556.63</v>
      </c>
      <c r="E3" s="771">
        <f>1354443.64</f>
        <v>1354443.64</v>
      </c>
      <c r="F3" s="772">
        <f>E3+D3</f>
        <v>5929000.2699999996</v>
      </c>
      <c r="G3" s="773" t="s">
        <v>848</v>
      </c>
      <c r="H3" s="766">
        <f>D3/F3</f>
        <v>0.77155615140493161</v>
      </c>
      <c r="I3" s="766">
        <f>E3/F3</f>
        <v>0.22844384859506844</v>
      </c>
      <c r="J3" s="768">
        <f>H3+I3</f>
        <v>1</v>
      </c>
    </row>
    <row r="4" spans="1:10" ht="29.1" hidden="1">
      <c r="A4" s="911"/>
      <c r="B4" s="774" t="s">
        <v>849</v>
      </c>
      <c r="C4" s="775">
        <v>59896.1</v>
      </c>
      <c r="D4" s="776">
        <f>13795162.75</f>
        <v>13795162.75</v>
      </c>
      <c r="E4" s="776">
        <f>4173656.64</f>
        <v>4173656.64</v>
      </c>
      <c r="F4" s="777">
        <f>E4+D4</f>
        <v>17968819.390000001</v>
      </c>
      <c r="G4" s="773" t="s">
        <v>850</v>
      </c>
      <c r="H4" s="766">
        <f>D4/F4</f>
        <v>0.76772783178383319</v>
      </c>
      <c r="I4" s="766">
        <f>E4/F4</f>
        <v>0.23227216821616681</v>
      </c>
    </row>
    <row r="5" spans="1:10" ht="15" hidden="1" thickBot="1">
      <c r="A5" s="911"/>
      <c r="B5" s="913" t="s">
        <v>851</v>
      </c>
      <c r="C5" s="914"/>
      <c r="D5" s="914"/>
      <c r="E5" s="914"/>
      <c r="F5" s="778">
        <f>F3+F4</f>
        <v>23897819.66</v>
      </c>
    </row>
    <row r="6" spans="1:10" ht="29.1" hidden="1">
      <c r="A6" s="911"/>
      <c r="B6" s="779" t="s">
        <v>852</v>
      </c>
      <c r="C6" s="792">
        <f>'Assump&amp;Est_Ethiopia'!D24</f>
        <v>10102.930418076921</v>
      </c>
      <c r="D6" s="771">
        <f>H4*F6</f>
        <v>2326890.259359939</v>
      </c>
      <c r="E6" s="771">
        <f>I4*F6</f>
        <v>703988.86606313742</v>
      </c>
      <c r="F6" s="780">
        <f>C6*300</f>
        <v>3030879.1254230766</v>
      </c>
    </row>
    <row r="7" spans="1:10" ht="29.1" hidden="1" customHeight="1">
      <c r="A7" s="911"/>
      <c r="B7" s="915" t="s">
        <v>853</v>
      </c>
      <c r="C7" s="916"/>
      <c r="D7" s="916"/>
      <c r="E7" s="916"/>
      <c r="F7" s="781">
        <f>F5-F6</f>
        <v>20866940.534576923</v>
      </c>
    </row>
    <row r="8" spans="1:10" hidden="1">
      <c r="A8" s="911"/>
      <c r="B8" s="917" t="s">
        <v>854</v>
      </c>
      <c r="C8" s="918"/>
      <c r="D8" s="918"/>
      <c r="E8" s="918"/>
      <c r="F8" s="782">
        <v>1000</v>
      </c>
    </row>
    <row r="9" spans="1:10" hidden="1">
      <c r="A9" s="911"/>
      <c r="B9" s="917" t="s">
        <v>855</v>
      </c>
      <c r="C9" s="918"/>
      <c r="D9" s="918"/>
      <c r="E9" s="918"/>
      <c r="F9" s="782">
        <f>F7</f>
        <v>20866940.534576923</v>
      </c>
    </row>
    <row r="10" spans="1:10" hidden="1">
      <c r="A10" s="911"/>
      <c r="B10" s="783" t="s">
        <v>856</v>
      </c>
      <c r="C10" s="784">
        <f>F9/1000</f>
        <v>20866.940534576923</v>
      </c>
      <c r="D10" s="776">
        <f>H3*F9</f>
        <v>16100016.330453737</v>
      </c>
      <c r="E10" s="776">
        <f>I3*F9</f>
        <v>4766924.2041231869</v>
      </c>
      <c r="F10" s="782">
        <f>D10+E10</f>
        <v>20866940.534576923</v>
      </c>
    </row>
    <row r="11" spans="1:10" ht="15" hidden="1" thickBot="1">
      <c r="A11" s="912"/>
      <c r="B11" s="913" t="s">
        <v>857</v>
      </c>
      <c r="C11" s="914"/>
      <c r="D11" s="914"/>
      <c r="E11" s="914"/>
      <c r="F11" s="778">
        <f>F10+F6</f>
        <v>23897819.66</v>
      </c>
    </row>
    <row r="12" spans="1:10">
      <c r="C12" s="785"/>
      <c r="D12" s="785"/>
      <c r="E12" s="785"/>
      <c r="F12" s="785"/>
    </row>
    <row r="13" spans="1:10" ht="15" thickBot="1">
      <c r="C13" s="785"/>
      <c r="D13" s="785"/>
      <c r="E13" s="785"/>
      <c r="F13" s="785"/>
    </row>
    <row r="14" spans="1:10" ht="58.5" thickBot="1">
      <c r="A14" s="919" t="s">
        <v>10</v>
      </c>
      <c r="B14" s="786"/>
      <c r="C14" s="764" t="s">
        <v>841</v>
      </c>
      <c r="D14" s="764" t="s">
        <v>842</v>
      </c>
      <c r="E14" s="764" t="s">
        <v>843</v>
      </c>
      <c r="F14" s="764" t="s">
        <v>844</v>
      </c>
      <c r="H14" s="766"/>
      <c r="I14" s="767" t="s">
        <v>858</v>
      </c>
      <c r="J14" s="767" t="s">
        <v>859</v>
      </c>
    </row>
    <row r="15" spans="1:10">
      <c r="A15" s="920"/>
      <c r="B15" s="787" t="s">
        <v>847</v>
      </c>
      <c r="C15" s="770">
        <v>2901</v>
      </c>
      <c r="D15" s="771">
        <v>2300430.85</v>
      </c>
      <c r="E15" s="771">
        <f>600569.15</f>
        <v>600569.15</v>
      </c>
      <c r="F15" s="780">
        <f>D15+E15</f>
        <v>2901000</v>
      </c>
      <c r="H15" s="766" t="s">
        <v>848</v>
      </c>
      <c r="I15" s="766">
        <f>D15/F15</f>
        <v>0.79297857635298175</v>
      </c>
      <c r="J15" s="766">
        <f>E15/F15</f>
        <v>0.20702142364701828</v>
      </c>
    </row>
    <row r="16" spans="1:10" ht="29.1">
      <c r="A16" s="920"/>
      <c r="B16" s="788" t="s">
        <v>849</v>
      </c>
      <c r="C16" s="793">
        <f>'Assump&amp;Est_Guinea'!D24</f>
        <v>9911.0085980769236</v>
      </c>
      <c r="D16" s="776">
        <f>3437922.1</f>
        <v>3437922.1</v>
      </c>
      <c r="E16" s="776">
        <f>885035.94</f>
        <v>885035.94</v>
      </c>
      <c r="F16" s="781">
        <f>E16+D16</f>
        <v>4322958.04</v>
      </c>
      <c r="G16" s="789">
        <f>C16*300</f>
        <v>2973302.5794230769</v>
      </c>
      <c r="H16" s="766" t="s">
        <v>850</v>
      </c>
      <c r="I16" s="766">
        <f>D16/F16</f>
        <v>0.79527075400435765</v>
      </c>
      <c r="J16" s="766">
        <f>E16/F16</f>
        <v>0.20472924599564235</v>
      </c>
    </row>
    <row r="17" spans="1:10" ht="15" thickBot="1">
      <c r="A17" s="920"/>
      <c r="B17" s="922" t="s">
        <v>851</v>
      </c>
      <c r="C17" s="914"/>
      <c r="D17" s="914"/>
      <c r="E17" s="914"/>
      <c r="F17" s="778">
        <f>F15+F16</f>
        <v>7223958.04</v>
      </c>
    </row>
    <row r="18" spans="1:10" ht="29.1">
      <c r="A18" s="920"/>
      <c r="B18" s="790" t="s">
        <v>852</v>
      </c>
      <c r="C18" s="771">
        <v>9911.01</v>
      </c>
      <c r="D18" s="771">
        <f>I16*F18</f>
        <v>2364580.9186934186</v>
      </c>
      <c r="E18" s="771">
        <f>J16*F18</f>
        <v>608722.08130658139</v>
      </c>
      <c r="F18" s="780">
        <f>C18*300</f>
        <v>2973303</v>
      </c>
    </row>
    <row r="19" spans="1:10">
      <c r="A19" s="920"/>
      <c r="B19" s="923" t="s">
        <v>853</v>
      </c>
      <c r="C19" s="916"/>
      <c r="D19" s="916"/>
      <c r="E19" s="916"/>
      <c r="F19" s="781">
        <f>F17-F18</f>
        <v>4250655.04</v>
      </c>
    </row>
    <row r="20" spans="1:10">
      <c r="A20" s="920"/>
      <c r="B20" s="924" t="s">
        <v>854</v>
      </c>
      <c r="C20" s="925"/>
      <c r="D20" s="925"/>
      <c r="E20" s="926"/>
      <c r="F20" s="782">
        <v>1000</v>
      </c>
    </row>
    <row r="21" spans="1:10">
      <c r="A21" s="920"/>
      <c r="B21" s="791" t="s">
        <v>856</v>
      </c>
      <c r="C21" s="784">
        <f>F19/F20</f>
        <v>4250.6550399999996</v>
      </c>
      <c r="D21" s="776">
        <f>I15*F21</f>
        <v>3370678.3821868268</v>
      </c>
      <c r="E21" s="776">
        <f>J16*F21</f>
        <v>870233.40132677695</v>
      </c>
      <c r="F21" s="782">
        <f>C21*F20</f>
        <v>4250655.04</v>
      </c>
    </row>
    <row r="22" spans="1:10" ht="15" thickBot="1">
      <c r="A22" s="921"/>
      <c r="B22" s="922" t="s">
        <v>857</v>
      </c>
      <c r="C22" s="914"/>
      <c r="D22" s="914"/>
      <c r="E22" s="914"/>
      <c r="F22" s="778">
        <f>F21+F18</f>
        <v>7223958.04</v>
      </c>
    </row>
    <row r="24" spans="1:10" ht="15" thickBot="1"/>
    <row r="25" spans="1:10" ht="58.5" thickBot="1">
      <c r="A25" s="919" t="s">
        <v>8</v>
      </c>
      <c r="B25" s="786"/>
      <c r="C25" s="764" t="s">
        <v>841</v>
      </c>
      <c r="D25" s="764" t="s">
        <v>842</v>
      </c>
      <c r="E25" s="764" t="s">
        <v>843</v>
      </c>
      <c r="F25" s="764" t="s">
        <v>844</v>
      </c>
      <c r="H25" s="766"/>
      <c r="I25" s="767" t="s">
        <v>858</v>
      </c>
      <c r="J25" s="767" t="s">
        <v>859</v>
      </c>
    </row>
    <row r="26" spans="1:10">
      <c r="A26" s="920"/>
      <c r="B26" s="787" t="s">
        <v>847</v>
      </c>
      <c r="C26" s="770">
        <v>2834</v>
      </c>
      <c r="D26" s="771">
        <f>1842959.46</f>
        <v>1842959.46</v>
      </c>
      <c r="E26" s="771">
        <v>991040.54</v>
      </c>
      <c r="F26" s="780">
        <f>D26+E26</f>
        <v>2834000</v>
      </c>
      <c r="H26" s="766" t="s">
        <v>848</v>
      </c>
      <c r="I26" s="766">
        <f>D26/F26</f>
        <v>0.65030326746647849</v>
      </c>
      <c r="J26" s="766">
        <f>E26/F26</f>
        <v>0.34969673253352151</v>
      </c>
    </row>
    <row r="27" spans="1:10" ht="29.1">
      <c r="A27" s="920"/>
      <c r="B27" s="788" t="s">
        <v>849</v>
      </c>
      <c r="C27" s="775">
        <f>'Assump&amp;Est_Senegal'!D24</f>
        <v>5218.5905985576919</v>
      </c>
      <c r="D27" s="776">
        <f>1295161.44</f>
        <v>1295161.44</v>
      </c>
      <c r="E27" s="776">
        <v>709500.79</v>
      </c>
      <c r="F27" s="781">
        <f>E27+D27</f>
        <v>2004662.23</v>
      </c>
      <c r="G27" s="789">
        <f>C27*300</f>
        <v>1565577.1795673075</v>
      </c>
      <c r="H27" s="766" t="s">
        <v>850</v>
      </c>
      <c r="I27" s="766">
        <f>D27/F27</f>
        <v>0.64607464570228368</v>
      </c>
      <c r="J27" s="766">
        <f>E27/F27</f>
        <v>0.35392535429771632</v>
      </c>
    </row>
    <row r="28" spans="1:10" ht="15" thickBot="1">
      <c r="A28" s="920"/>
      <c r="B28" s="922" t="s">
        <v>851</v>
      </c>
      <c r="C28" s="914"/>
      <c r="D28" s="914"/>
      <c r="E28" s="914"/>
      <c r="F28" s="778">
        <f>F26+F27</f>
        <v>4838662.2300000004</v>
      </c>
    </row>
    <row r="29" spans="1:10" ht="29.1">
      <c r="A29" s="920"/>
      <c r="B29" s="790" t="s">
        <v>852</v>
      </c>
      <c r="C29" s="771">
        <v>5218.59</v>
      </c>
      <c r="D29" s="771">
        <f>I27*F29</f>
        <v>1011479.6055946442</v>
      </c>
      <c r="E29" s="771">
        <f>J27*F29</f>
        <v>554097.39440535579</v>
      </c>
      <c r="F29" s="780">
        <f>C29*300</f>
        <v>1565577</v>
      </c>
    </row>
    <row r="30" spans="1:10">
      <c r="A30" s="920"/>
      <c r="B30" s="923" t="s">
        <v>853</v>
      </c>
      <c r="C30" s="916"/>
      <c r="D30" s="916"/>
      <c r="E30" s="916"/>
      <c r="F30" s="781">
        <f>F28-F29</f>
        <v>3273085.2300000004</v>
      </c>
    </row>
    <row r="31" spans="1:10">
      <c r="A31" s="920"/>
      <c r="B31" s="924" t="s">
        <v>854</v>
      </c>
      <c r="C31" s="925"/>
      <c r="D31" s="925"/>
      <c r="E31" s="926"/>
      <c r="F31" s="782">
        <v>1000</v>
      </c>
    </row>
    <row r="32" spans="1:10">
      <c r="A32" s="920"/>
      <c r="B32" s="791" t="s">
        <v>856</v>
      </c>
      <c r="C32" s="784">
        <f>F30/F31</f>
        <v>3273.0852300000006</v>
      </c>
      <c r="D32" s="776">
        <f>I26*F32</f>
        <v>2128498.0197652704</v>
      </c>
      <c r="E32" s="776">
        <f>J27*F32</f>
        <v>1158427.8496743725</v>
      </c>
      <c r="F32" s="782">
        <f>C32*F31</f>
        <v>3273085.2300000004</v>
      </c>
    </row>
    <row r="33" spans="1:10" ht="15" thickBot="1">
      <c r="A33" s="921"/>
      <c r="B33" s="922" t="s">
        <v>857</v>
      </c>
      <c r="C33" s="914"/>
      <c r="D33" s="914"/>
      <c r="E33" s="914"/>
      <c r="F33" s="778">
        <f>F32+F29</f>
        <v>4838662.2300000004</v>
      </c>
    </row>
    <row r="35" spans="1:10" ht="15" thickBot="1"/>
    <row r="36" spans="1:10" ht="58.5" thickBot="1">
      <c r="A36" s="919" t="s">
        <v>6</v>
      </c>
      <c r="B36" s="786"/>
      <c r="C36" s="764" t="s">
        <v>841</v>
      </c>
      <c r="D36" s="764" t="s">
        <v>842</v>
      </c>
      <c r="E36" s="764" t="s">
        <v>843</v>
      </c>
      <c r="F36" s="764" t="s">
        <v>844</v>
      </c>
      <c r="H36" s="766"/>
      <c r="I36" s="767" t="s">
        <v>858</v>
      </c>
      <c r="J36" s="767" t="s">
        <v>859</v>
      </c>
    </row>
    <row r="37" spans="1:10">
      <c r="A37" s="920"/>
      <c r="B37" s="787" t="s">
        <v>847</v>
      </c>
      <c r="C37" s="770">
        <v>4302</v>
      </c>
      <c r="D37" s="771">
        <f>3220173.77</f>
        <v>3220173.77</v>
      </c>
      <c r="E37" s="771">
        <v>1081826.23</v>
      </c>
      <c r="F37" s="780">
        <f>D37+E37</f>
        <v>4302000</v>
      </c>
      <c r="H37" s="766" t="s">
        <v>848</v>
      </c>
      <c r="I37" s="766">
        <f>D37/F37</f>
        <v>0.74852946768944673</v>
      </c>
      <c r="J37" s="766">
        <f>E37/F37</f>
        <v>0.25147053231055322</v>
      </c>
    </row>
    <row r="38" spans="1:10" ht="29.1">
      <c r="A38" s="920"/>
      <c r="B38" s="788" t="s">
        <v>849</v>
      </c>
      <c r="C38" s="775">
        <v>18995.48</v>
      </c>
      <c r="D38" s="776">
        <f>4297591.78</f>
        <v>4297591.78</v>
      </c>
      <c r="E38" s="776">
        <v>1401053.59</v>
      </c>
      <c r="F38" s="781">
        <f>E38+D38</f>
        <v>5698645.3700000001</v>
      </c>
      <c r="G38" s="789">
        <f>C38*300</f>
        <v>5698644</v>
      </c>
      <c r="H38" s="766" t="s">
        <v>850</v>
      </c>
      <c r="I38" s="766">
        <f>D38/F38</f>
        <v>0.75414269549466628</v>
      </c>
      <c r="J38" s="766">
        <f>E38/F38</f>
        <v>0.24585730450533372</v>
      </c>
    </row>
    <row r="39" spans="1:10" ht="15" thickBot="1">
      <c r="A39" s="920"/>
      <c r="B39" s="922" t="s">
        <v>851</v>
      </c>
      <c r="C39" s="914"/>
      <c r="D39" s="914"/>
      <c r="E39" s="914"/>
      <c r="F39" s="778">
        <f>F37+F38</f>
        <v>10000645.370000001</v>
      </c>
    </row>
    <row r="40" spans="1:10" ht="29.1">
      <c r="A40" s="920"/>
      <c r="B40" s="790" t="s">
        <v>852</v>
      </c>
      <c r="C40" s="771">
        <f>'Assump&amp;Est_Togo'!D24</f>
        <v>9447.0626634615401</v>
      </c>
      <c r="D40" s="771">
        <f>I38*F40</f>
        <v>2137329.9904589723</v>
      </c>
      <c r="E40" s="771">
        <f>J38*F40</f>
        <v>696788.80857948982</v>
      </c>
      <c r="F40" s="780">
        <f>C40*300</f>
        <v>2834118.7990384619</v>
      </c>
    </row>
    <row r="41" spans="1:10">
      <c r="A41" s="920"/>
      <c r="B41" s="923" t="s">
        <v>853</v>
      </c>
      <c r="C41" s="916"/>
      <c r="D41" s="916"/>
      <c r="E41" s="916"/>
      <c r="F41" s="781">
        <f>F39-F40</f>
        <v>7166526.5709615387</v>
      </c>
    </row>
    <row r="42" spans="1:10">
      <c r="A42" s="920"/>
      <c r="B42" s="924" t="s">
        <v>854</v>
      </c>
      <c r="C42" s="925"/>
      <c r="D42" s="925"/>
      <c r="E42" s="926"/>
      <c r="F42" s="782">
        <v>1000</v>
      </c>
    </row>
    <row r="43" spans="1:10">
      <c r="A43" s="920"/>
      <c r="B43" s="791" t="s">
        <v>856</v>
      </c>
      <c r="C43" s="784">
        <f>F41/F42</f>
        <v>7166.5265709615387</v>
      </c>
      <c r="D43" s="776">
        <f>I37*F43</f>
        <v>5364356.3193441164</v>
      </c>
      <c r="E43" s="776">
        <f>J38*F43</f>
        <v>1761942.9054024562</v>
      </c>
      <c r="F43" s="782">
        <f>C43*F42</f>
        <v>7166526.5709615387</v>
      </c>
    </row>
    <row r="44" spans="1:10" ht="15" thickBot="1">
      <c r="A44" s="921"/>
      <c r="B44" s="922" t="s">
        <v>857</v>
      </c>
      <c r="C44" s="914"/>
      <c r="D44" s="914"/>
      <c r="E44" s="914"/>
      <c r="F44" s="778">
        <f>F43+F40</f>
        <v>10000645.370000001</v>
      </c>
    </row>
  </sheetData>
  <mergeCells count="21">
    <mergeCell ref="A36:A44"/>
    <mergeCell ref="B39:E39"/>
    <mergeCell ref="B41:E41"/>
    <mergeCell ref="B42:E42"/>
    <mergeCell ref="B44:E44"/>
    <mergeCell ref="A14:A22"/>
    <mergeCell ref="B17:E17"/>
    <mergeCell ref="B19:E19"/>
    <mergeCell ref="B20:E20"/>
    <mergeCell ref="B22:E22"/>
    <mergeCell ref="A25:A33"/>
    <mergeCell ref="B28:E28"/>
    <mergeCell ref="B30:E30"/>
    <mergeCell ref="B31:E31"/>
    <mergeCell ref="B33:E33"/>
    <mergeCell ref="A2:A11"/>
    <mergeCell ref="B5:E5"/>
    <mergeCell ref="B7:E7"/>
    <mergeCell ref="B8:E8"/>
    <mergeCell ref="B9:E9"/>
    <mergeCell ref="B11:E11"/>
  </mergeCells>
  <pageMargins left="0.7" right="0.7" top="0.75" bottom="0.75" header="0.3" footer="0.3"/>
  <pageSetup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99D609-2A85-41C9-8F32-FF2DE1D98E61}">
  <dimension ref="A1"/>
  <sheetViews>
    <sheetView workbookViewId="0"/>
  </sheetViews>
  <sheetFormatPr defaultRowHeight="12.6"/>
  <sheetData/>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9C196F-8150-4126-A7FB-8C18EF4D8087}">
  <dimension ref="A1:AD45"/>
  <sheetViews>
    <sheetView workbookViewId="0">
      <selection sqref="A1:I1"/>
    </sheetView>
  </sheetViews>
  <sheetFormatPr defaultColWidth="8.7109375" defaultRowHeight="14.45"/>
  <cols>
    <col min="1" max="2" width="10.28515625" style="834" customWidth="1"/>
    <col min="3" max="3" width="17.42578125" style="834" customWidth="1"/>
    <col min="4" max="9" width="10.28515625" style="834" customWidth="1"/>
    <col min="10" max="30" width="11.28515625" style="834" customWidth="1"/>
    <col min="31" max="16384" width="8.7109375" style="834"/>
  </cols>
  <sheetData>
    <row r="1" spans="1:30">
      <c r="A1" s="834" t="s">
        <v>643</v>
      </c>
      <c r="B1" s="834" t="s">
        <v>644</v>
      </c>
      <c r="C1" s="834" t="s">
        <v>860</v>
      </c>
      <c r="D1" s="834" t="s">
        <v>646</v>
      </c>
      <c r="E1" s="834" t="s">
        <v>364</v>
      </c>
      <c r="F1" s="834" t="s">
        <v>647</v>
      </c>
      <c r="G1" s="834" t="s">
        <v>648</v>
      </c>
      <c r="H1" s="834" t="s">
        <v>649</v>
      </c>
      <c r="I1" s="834" t="s">
        <v>650</v>
      </c>
      <c r="J1" s="834" t="s">
        <v>651</v>
      </c>
      <c r="K1" s="834" t="s">
        <v>652</v>
      </c>
      <c r="L1" s="834" t="s">
        <v>653</v>
      </c>
      <c r="M1" s="834" t="s">
        <v>654</v>
      </c>
      <c r="N1" s="834" t="s">
        <v>655</v>
      </c>
      <c r="O1" s="834" t="s">
        <v>656</v>
      </c>
      <c r="P1" s="834" t="s">
        <v>657</v>
      </c>
      <c r="Q1" s="834" t="s">
        <v>658</v>
      </c>
      <c r="R1" s="834" t="s">
        <v>659</v>
      </c>
      <c r="S1" s="834" t="s">
        <v>660</v>
      </c>
      <c r="T1" s="834" t="s">
        <v>661</v>
      </c>
      <c r="U1" s="834" t="s">
        <v>662</v>
      </c>
      <c r="V1" s="834" t="s">
        <v>663</v>
      </c>
      <c r="W1" s="834" t="s">
        <v>664</v>
      </c>
      <c r="X1" s="834" t="s">
        <v>665</v>
      </c>
      <c r="Y1" s="834" t="s">
        <v>666</v>
      </c>
      <c r="Z1" s="834" t="s">
        <v>667</v>
      </c>
      <c r="AA1" s="834" t="s">
        <v>668</v>
      </c>
      <c r="AB1" s="834" t="s">
        <v>669</v>
      </c>
      <c r="AC1" s="834" t="s">
        <v>670</v>
      </c>
    </row>
    <row r="2" spans="1:30">
      <c r="A2" s="834" t="s">
        <v>10</v>
      </c>
      <c r="B2" s="834" t="s">
        <v>756</v>
      </c>
      <c r="C2" s="834" t="s">
        <v>673</v>
      </c>
      <c r="D2" s="834" t="s">
        <v>674</v>
      </c>
      <c r="E2" s="834" t="s">
        <v>675</v>
      </c>
      <c r="F2" s="834">
        <v>40909</v>
      </c>
      <c r="G2" s="834">
        <v>37500</v>
      </c>
      <c r="H2" s="834">
        <v>37758</v>
      </c>
      <c r="I2" s="834">
        <v>37564</v>
      </c>
      <c r="J2" s="834">
        <v>37493</v>
      </c>
      <c r="K2" s="834">
        <v>37502</v>
      </c>
      <c r="L2" s="834">
        <v>37583</v>
      </c>
      <c r="M2" s="834">
        <v>37728</v>
      </c>
      <c r="N2" s="834">
        <v>37500</v>
      </c>
      <c r="O2" s="834">
        <v>37849</v>
      </c>
      <c r="P2" s="834">
        <v>37807</v>
      </c>
      <c r="Q2" s="834">
        <v>36929</v>
      </c>
      <c r="R2" s="834">
        <v>35625</v>
      </c>
      <c r="S2" s="834">
        <v>37238</v>
      </c>
      <c r="T2" s="834">
        <v>37312</v>
      </c>
      <c r="U2" s="834">
        <v>37890</v>
      </c>
      <c r="V2" s="834">
        <v>39538</v>
      </c>
      <c r="W2" s="834">
        <v>39192</v>
      </c>
      <c r="X2" s="834">
        <v>38427</v>
      </c>
      <c r="Y2" s="834">
        <v>38165</v>
      </c>
      <c r="Z2" s="834">
        <v>38602</v>
      </c>
      <c r="AA2" s="834">
        <v>38868</v>
      </c>
      <c r="AB2" s="834">
        <v>38968</v>
      </c>
      <c r="AC2" s="834">
        <v>39068</v>
      </c>
    </row>
    <row r="3" spans="1:30">
      <c r="A3" s="834" t="s">
        <v>10</v>
      </c>
      <c r="B3" s="834" t="s">
        <v>672</v>
      </c>
      <c r="C3" s="834" t="s">
        <v>673</v>
      </c>
      <c r="D3" s="834" t="s">
        <v>674</v>
      </c>
      <c r="E3" s="834" t="s">
        <v>675</v>
      </c>
      <c r="F3" s="834">
        <v>5091</v>
      </c>
      <c r="G3" s="834">
        <v>4100</v>
      </c>
      <c r="H3" s="834">
        <v>4000</v>
      </c>
      <c r="I3" s="834">
        <v>4301</v>
      </c>
      <c r="J3" s="834">
        <v>4225</v>
      </c>
      <c r="K3" s="834">
        <v>4161</v>
      </c>
      <c r="L3" s="834">
        <v>3540</v>
      </c>
      <c r="M3" s="834">
        <v>3936</v>
      </c>
      <c r="N3" s="834">
        <v>4148</v>
      </c>
      <c r="O3" s="834">
        <v>4143</v>
      </c>
      <c r="P3" s="834">
        <v>3994</v>
      </c>
      <c r="Q3" s="834">
        <v>4645</v>
      </c>
      <c r="R3" s="834">
        <v>5011</v>
      </c>
      <c r="S3" s="834">
        <v>4208</v>
      </c>
      <c r="T3" s="834">
        <v>4472</v>
      </c>
      <c r="U3" s="834">
        <v>4417</v>
      </c>
      <c r="V3" s="834">
        <v>4418</v>
      </c>
      <c r="W3" s="834">
        <v>4488</v>
      </c>
      <c r="X3" s="834">
        <v>4502</v>
      </c>
      <c r="Y3" s="834">
        <v>4370</v>
      </c>
      <c r="Z3" s="834">
        <v>4218</v>
      </c>
      <c r="AA3" s="834">
        <v>4165</v>
      </c>
      <c r="AB3" s="834">
        <v>4121</v>
      </c>
      <c r="AC3" s="834">
        <v>4097</v>
      </c>
    </row>
    <row r="4" spans="1:30">
      <c r="A4" s="834" t="s">
        <v>10</v>
      </c>
      <c r="B4" s="834" t="s">
        <v>757</v>
      </c>
      <c r="C4" s="834" t="s">
        <v>673</v>
      </c>
      <c r="D4" s="834" t="s">
        <v>674</v>
      </c>
      <c r="E4" s="834" t="s">
        <v>675</v>
      </c>
      <c r="F4" s="834">
        <v>26667</v>
      </c>
      <c r="G4" s="834">
        <v>26774</v>
      </c>
      <c r="H4" s="834">
        <v>26774</v>
      </c>
      <c r="I4" s="834">
        <v>26774</v>
      </c>
      <c r="J4" s="834">
        <v>26774</v>
      </c>
      <c r="K4" s="834">
        <v>26774</v>
      </c>
      <c r="L4" s="834">
        <v>26774</v>
      </c>
      <c r="M4" s="834">
        <v>26774</v>
      </c>
      <c r="N4" s="834">
        <v>26774</v>
      </c>
      <c r="O4" s="834">
        <v>26774</v>
      </c>
      <c r="P4" s="834">
        <v>26774</v>
      </c>
      <c r="Q4" s="834">
        <v>26774</v>
      </c>
      <c r="R4" s="834">
        <v>26774</v>
      </c>
      <c r="S4" s="834">
        <v>26774</v>
      </c>
      <c r="T4" s="834">
        <v>26774</v>
      </c>
      <c r="U4" s="834">
        <v>26774</v>
      </c>
      <c r="V4" s="834">
        <v>26774</v>
      </c>
      <c r="W4" s="834">
        <v>26774</v>
      </c>
      <c r="X4" s="834">
        <v>26774</v>
      </c>
      <c r="Y4" s="834">
        <v>26787</v>
      </c>
      <c r="Z4" s="834">
        <v>26797</v>
      </c>
      <c r="AA4" s="834">
        <v>26711</v>
      </c>
      <c r="AB4" s="834">
        <v>26706</v>
      </c>
      <c r="AC4" s="834">
        <v>26701</v>
      </c>
    </row>
    <row r="5" spans="1:30">
      <c r="A5" s="834" t="s">
        <v>10</v>
      </c>
      <c r="B5" s="834" t="s">
        <v>861</v>
      </c>
      <c r="C5" s="834" t="s">
        <v>673</v>
      </c>
      <c r="D5" s="834" t="s">
        <v>674</v>
      </c>
      <c r="E5" s="834" t="s">
        <v>675</v>
      </c>
      <c r="F5" s="834">
        <v>51829</v>
      </c>
      <c r="G5" s="834">
        <v>52410</v>
      </c>
      <c r="H5" s="834">
        <v>52202</v>
      </c>
      <c r="I5" s="834">
        <v>52252</v>
      </c>
      <c r="J5" s="834">
        <v>52287</v>
      </c>
      <c r="K5" s="834">
        <v>52532</v>
      </c>
      <c r="L5" s="834">
        <v>52256</v>
      </c>
      <c r="M5" s="834">
        <v>52237</v>
      </c>
      <c r="N5" s="834">
        <v>52213</v>
      </c>
      <c r="O5" s="834">
        <v>52170</v>
      </c>
      <c r="P5" s="834">
        <v>52145</v>
      </c>
      <c r="Q5" s="834">
        <v>52096</v>
      </c>
      <c r="R5" s="834">
        <v>51905</v>
      </c>
      <c r="S5" s="834">
        <v>52144</v>
      </c>
      <c r="T5" s="834">
        <v>52206</v>
      </c>
      <c r="U5" s="834">
        <v>52260</v>
      </c>
      <c r="V5" s="834">
        <v>52614</v>
      </c>
      <c r="W5" s="834">
        <v>52222</v>
      </c>
      <c r="X5" s="834">
        <v>52204</v>
      </c>
      <c r="Y5" s="834">
        <v>52277</v>
      </c>
      <c r="Z5" s="834">
        <v>52337</v>
      </c>
      <c r="AA5" s="834">
        <v>52341</v>
      </c>
      <c r="AB5" s="834">
        <v>52353</v>
      </c>
      <c r="AC5" s="834">
        <v>52365</v>
      </c>
    </row>
    <row r="6" spans="1:30">
      <c r="A6" s="834" t="s">
        <v>10</v>
      </c>
      <c r="B6" s="834" t="s">
        <v>862</v>
      </c>
      <c r="C6" s="834" t="s">
        <v>673</v>
      </c>
      <c r="D6" s="834" t="s">
        <v>674</v>
      </c>
      <c r="E6" s="834" t="s">
        <v>675</v>
      </c>
      <c r="F6" s="834">
        <v>6710</v>
      </c>
      <c r="G6" s="834">
        <v>7594</v>
      </c>
      <c r="H6" s="834">
        <v>8470</v>
      </c>
      <c r="I6" s="834">
        <v>9359</v>
      </c>
      <c r="J6" s="834">
        <v>10000</v>
      </c>
      <c r="K6" s="834">
        <v>11133</v>
      </c>
      <c r="L6" s="834">
        <v>11953</v>
      </c>
      <c r="M6" s="834">
        <v>12676</v>
      </c>
      <c r="N6" s="834">
        <v>14286</v>
      </c>
      <c r="O6" s="834">
        <v>13358</v>
      </c>
      <c r="P6" s="834">
        <v>13333</v>
      </c>
      <c r="Q6" s="834">
        <v>13125</v>
      </c>
      <c r="R6" s="834">
        <v>13500</v>
      </c>
      <c r="S6" s="834">
        <v>13238</v>
      </c>
      <c r="T6" s="834">
        <v>13430</v>
      </c>
      <c r="U6" s="834">
        <v>13333</v>
      </c>
      <c r="V6" s="834">
        <v>13567</v>
      </c>
      <c r="W6" s="834">
        <v>13508</v>
      </c>
      <c r="X6" s="834">
        <v>13087</v>
      </c>
      <c r="Y6" s="834">
        <v>13061</v>
      </c>
      <c r="Z6" s="834">
        <v>13223</v>
      </c>
      <c r="AA6" s="834">
        <v>13161</v>
      </c>
      <c r="AB6" s="834">
        <v>13119</v>
      </c>
      <c r="AC6" s="834">
        <v>13078</v>
      </c>
    </row>
    <row r="7" spans="1:30">
      <c r="A7" s="834" t="s">
        <v>10</v>
      </c>
      <c r="B7" s="834" t="s">
        <v>758</v>
      </c>
      <c r="C7" s="834" t="s">
        <v>673</v>
      </c>
      <c r="D7" s="834" t="s">
        <v>674</v>
      </c>
      <c r="E7" s="834" t="s">
        <v>675</v>
      </c>
      <c r="F7" s="834">
        <v>511628</v>
      </c>
      <c r="G7" s="834">
        <v>511111</v>
      </c>
      <c r="H7" s="834">
        <v>510638</v>
      </c>
      <c r="I7" s="834">
        <v>510638</v>
      </c>
      <c r="J7" s="834">
        <v>519231</v>
      </c>
      <c r="K7" s="834">
        <v>519231</v>
      </c>
      <c r="L7" s="834">
        <v>519231</v>
      </c>
      <c r="M7" s="834">
        <v>519231</v>
      </c>
      <c r="N7" s="834">
        <v>538462</v>
      </c>
      <c r="O7" s="834">
        <v>538462</v>
      </c>
      <c r="P7" s="834">
        <v>538462</v>
      </c>
      <c r="Q7" s="834">
        <v>535238</v>
      </c>
      <c r="R7" s="834">
        <v>533962</v>
      </c>
      <c r="S7" s="834">
        <v>533962</v>
      </c>
      <c r="T7" s="834">
        <v>533962</v>
      </c>
      <c r="U7" s="834">
        <v>533962</v>
      </c>
      <c r="V7" s="834">
        <v>533962</v>
      </c>
      <c r="W7" s="834">
        <v>536364</v>
      </c>
      <c r="X7" s="834">
        <v>535714</v>
      </c>
      <c r="Y7" s="834">
        <v>536321</v>
      </c>
      <c r="Z7" s="834">
        <v>536953</v>
      </c>
      <c r="AA7" s="834">
        <v>536514</v>
      </c>
      <c r="AB7" s="834">
        <v>536794</v>
      </c>
      <c r="AC7" s="834">
        <v>537074</v>
      </c>
    </row>
    <row r="8" spans="1:30">
      <c r="A8" s="834" t="s">
        <v>10</v>
      </c>
      <c r="B8" s="834" t="s">
        <v>759</v>
      </c>
      <c r="C8" s="834" t="s">
        <v>673</v>
      </c>
      <c r="D8" s="834" t="s">
        <v>674</v>
      </c>
      <c r="E8" s="834" t="s">
        <v>675</v>
      </c>
      <c r="F8" s="834">
        <v>6975</v>
      </c>
      <c r="G8" s="834">
        <v>7181</v>
      </c>
      <c r="H8" s="834">
        <v>7387</v>
      </c>
      <c r="I8" s="834">
        <v>7593</v>
      </c>
      <c r="J8" s="834">
        <v>7799</v>
      </c>
      <c r="K8" s="834">
        <v>8005</v>
      </c>
      <c r="L8" s="834">
        <v>8211</v>
      </c>
      <c r="M8" s="834">
        <v>8417</v>
      </c>
      <c r="N8" s="834">
        <v>8623</v>
      </c>
      <c r="O8" s="834">
        <v>8857</v>
      </c>
      <c r="P8" s="834">
        <v>8891</v>
      </c>
      <c r="Q8" s="834">
        <v>7794</v>
      </c>
      <c r="R8" s="834">
        <v>9048</v>
      </c>
      <c r="S8" s="834">
        <v>10009</v>
      </c>
      <c r="T8" s="834">
        <v>10350</v>
      </c>
      <c r="U8" s="834">
        <v>10686</v>
      </c>
      <c r="V8" s="834">
        <v>11024</v>
      </c>
      <c r="W8" s="834">
        <v>11750</v>
      </c>
      <c r="X8" s="834">
        <v>11619</v>
      </c>
      <c r="Y8" s="834">
        <v>11654</v>
      </c>
      <c r="Z8" s="834">
        <v>12081</v>
      </c>
      <c r="AA8" s="834">
        <v>12468</v>
      </c>
      <c r="AB8" s="834">
        <v>12770</v>
      </c>
      <c r="AC8" s="834">
        <v>13072</v>
      </c>
    </row>
    <row r="9" spans="1:30">
      <c r="A9" s="834" t="s">
        <v>10</v>
      </c>
      <c r="B9" s="834" t="s">
        <v>676</v>
      </c>
      <c r="C9" s="834" t="s">
        <v>673</v>
      </c>
      <c r="D9" s="834" t="s">
        <v>674</v>
      </c>
      <c r="E9" s="834" t="s">
        <v>675</v>
      </c>
      <c r="F9" s="834">
        <v>17533</v>
      </c>
      <c r="G9" s="834">
        <v>17342</v>
      </c>
      <c r="H9" s="834">
        <v>17567</v>
      </c>
      <c r="I9" s="834">
        <v>17607</v>
      </c>
      <c r="J9" s="834">
        <v>18006</v>
      </c>
      <c r="K9" s="834">
        <v>21647</v>
      </c>
      <c r="L9" s="834">
        <v>21674</v>
      </c>
      <c r="M9" s="834">
        <v>21016</v>
      </c>
      <c r="N9" s="834">
        <v>21074</v>
      </c>
      <c r="O9" s="834">
        <v>21027</v>
      </c>
      <c r="P9" s="834">
        <v>20953</v>
      </c>
      <c r="Q9" s="834">
        <v>20935</v>
      </c>
      <c r="R9" s="834">
        <v>20340</v>
      </c>
      <c r="S9" s="834">
        <v>22295</v>
      </c>
      <c r="T9" s="834">
        <v>20228</v>
      </c>
      <c r="U9" s="834">
        <v>20638</v>
      </c>
      <c r="V9" s="834">
        <v>20615</v>
      </c>
      <c r="W9" s="834">
        <v>17161</v>
      </c>
      <c r="X9" s="834">
        <v>17195</v>
      </c>
      <c r="Y9" s="834">
        <v>10597</v>
      </c>
      <c r="Z9" s="834">
        <v>10619</v>
      </c>
      <c r="AA9" s="834">
        <v>10376</v>
      </c>
      <c r="AB9" s="834">
        <v>11628</v>
      </c>
      <c r="AC9" s="834">
        <v>11815</v>
      </c>
    </row>
    <row r="10" spans="1:30">
      <c r="A10" s="834" t="s">
        <v>10</v>
      </c>
      <c r="B10" s="834" t="s">
        <v>677</v>
      </c>
      <c r="C10" s="834" t="s">
        <v>673</v>
      </c>
      <c r="D10" s="834" t="s">
        <v>674</v>
      </c>
      <c r="E10" s="834" t="s">
        <v>675</v>
      </c>
      <c r="F10" s="834">
        <v>1820</v>
      </c>
      <c r="G10" s="834">
        <v>1793</v>
      </c>
      <c r="H10" s="834">
        <v>1882</v>
      </c>
      <c r="I10" s="834">
        <v>1979</v>
      </c>
      <c r="J10" s="834">
        <v>2085</v>
      </c>
      <c r="K10" s="834">
        <v>2255</v>
      </c>
      <c r="L10" s="834">
        <v>2362</v>
      </c>
      <c r="M10" s="834">
        <v>2402</v>
      </c>
      <c r="N10" s="834">
        <v>2490</v>
      </c>
      <c r="O10" s="834">
        <v>2580</v>
      </c>
      <c r="P10" s="834">
        <v>2667</v>
      </c>
      <c r="Q10" s="834">
        <v>2714</v>
      </c>
      <c r="R10" s="834">
        <v>2728</v>
      </c>
      <c r="S10" s="834">
        <v>2871</v>
      </c>
      <c r="T10" s="834">
        <v>2712</v>
      </c>
      <c r="U10" s="834">
        <v>2844</v>
      </c>
      <c r="V10" s="834">
        <v>2907</v>
      </c>
      <c r="W10" s="834">
        <v>2696</v>
      </c>
      <c r="X10" s="834">
        <v>2717</v>
      </c>
      <c r="Y10" s="834">
        <v>2227</v>
      </c>
    </row>
    <row r="11" spans="1:30">
      <c r="A11" s="834" t="s">
        <v>10</v>
      </c>
      <c r="B11" s="834" t="s">
        <v>678</v>
      </c>
      <c r="C11" s="834" t="s">
        <v>673</v>
      </c>
      <c r="D11" s="834" t="s">
        <v>674</v>
      </c>
      <c r="E11" s="834" t="s">
        <v>675</v>
      </c>
      <c r="F11" s="834">
        <v>2563</v>
      </c>
      <c r="G11" s="834">
        <v>2611</v>
      </c>
      <c r="H11" s="834">
        <v>2628</v>
      </c>
      <c r="I11" s="834">
        <v>2544</v>
      </c>
      <c r="J11" s="834">
        <v>2563</v>
      </c>
      <c r="K11" s="834">
        <v>2697</v>
      </c>
      <c r="L11" s="834">
        <v>2773</v>
      </c>
      <c r="M11" s="834">
        <v>2842</v>
      </c>
      <c r="N11" s="834">
        <v>2893</v>
      </c>
      <c r="O11" s="834">
        <v>2942</v>
      </c>
      <c r="P11" s="834">
        <v>2990</v>
      </c>
      <c r="Q11" s="834">
        <v>3036</v>
      </c>
      <c r="R11" s="834">
        <v>3026</v>
      </c>
      <c r="S11" s="834">
        <v>3163</v>
      </c>
      <c r="T11" s="834">
        <v>3023</v>
      </c>
      <c r="U11" s="834">
        <v>3105</v>
      </c>
      <c r="V11" s="834">
        <v>3133</v>
      </c>
      <c r="W11" s="834">
        <v>2891</v>
      </c>
      <c r="X11" s="834">
        <v>2905</v>
      </c>
      <c r="Y11" s="834">
        <v>2309</v>
      </c>
    </row>
    <row r="14" spans="1:30">
      <c r="A14" s="834" t="s">
        <v>559</v>
      </c>
      <c r="B14" s="834" t="s">
        <v>560</v>
      </c>
      <c r="C14" s="834" t="s">
        <v>561</v>
      </c>
      <c r="D14" s="834" t="s">
        <v>562</v>
      </c>
      <c r="E14" s="834" t="s">
        <v>563</v>
      </c>
      <c r="F14" s="834" t="s">
        <v>679</v>
      </c>
      <c r="G14" s="834" t="s">
        <v>680</v>
      </c>
      <c r="H14" s="834" t="s">
        <v>681</v>
      </c>
      <c r="I14" s="834" t="s">
        <v>682</v>
      </c>
      <c r="J14" s="834" t="s">
        <v>683</v>
      </c>
      <c r="K14" s="834" t="s">
        <v>684</v>
      </c>
      <c r="L14" s="834" t="s">
        <v>685</v>
      </c>
      <c r="M14" s="834" t="s">
        <v>686</v>
      </c>
      <c r="N14" s="834" t="s">
        <v>687</v>
      </c>
      <c r="O14" s="834" t="s">
        <v>688</v>
      </c>
      <c r="P14" s="834" t="s">
        <v>689</v>
      </c>
      <c r="Q14" s="834" t="s">
        <v>690</v>
      </c>
      <c r="R14" s="834" t="s">
        <v>691</v>
      </c>
      <c r="S14" s="834" t="s">
        <v>692</v>
      </c>
      <c r="T14" s="834" t="s">
        <v>693</v>
      </c>
      <c r="U14" s="834" t="s">
        <v>694</v>
      </c>
      <c r="V14" s="834" t="s">
        <v>695</v>
      </c>
      <c r="W14" s="834" t="s">
        <v>696</v>
      </c>
      <c r="X14" s="834" t="s">
        <v>697</v>
      </c>
      <c r="Y14" s="834" t="s">
        <v>698</v>
      </c>
      <c r="Z14" s="834" t="s">
        <v>699</v>
      </c>
      <c r="AA14" s="834" t="s">
        <v>700</v>
      </c>
      <c r="AB14" s="834" t="s">
        <v>701</v>
      </c>
      <c r="AC14" s="834" t="s">
        <v>702</v>
      </c>
      <c r="AD14" s="834" t="s">
        <v>703</v>
      </c>
    </row>
    <row r="15" spans="1:30">
      <c r="A15" s="834" t="s">
        <v>10</v>
      </c>
      <c r="B15" s="834" t="s">
        <v>760</v>
      </c>
      <c r="C15" s="834" t="s">
        <v>523</v>
      </c>
      <c r="D15" s="834" t="s">
        <v>674</v>
      </c>
      <c r="E15" s="834" t="s">
        <v>675</v>
      </c>
      <c r="F15" s="834">
        <v>8032</v>
      </c>
      <c r="G15" s="834">
        <v>8252</v>
      </c>
      <c r="H15" s="834">
        <v>8468</v>
      </c>
      <c r="I15" s="834">
        <v>8700</v>
      </c>
      <c r="J15" s="834">
        <v>8938</v>
      </c>
      <c r="K15" s="834">
        <v>11042</v>
      </c>
      <c r="L15" s="834">
        <v>11097</v>
      </c>
      <c r="M15" s="834">
        <v>11195</v>
      </c>
      <c r="N15" s="834">
        <v>11293</v>
      </c>
      <c r="O15" s="834">
        <v>11392</v>
      </c>
      <c r="P15" s="834">
        <v>11493</v>
      </c>
      <c r="Q15" s="834">
        <v>11594</v>
      </c>
      <c r="R15" s="834">
        <v>11696</v>
      </c>
      <c r="S15" s="834">
        <v>13630</v>
      </c>
      <c r="T15" s="834">
        <v>11897</v>
      </c>
      <c r="U15" s="834">
        <v>12280</v>
      </c>
      <c r="V15" s="834">
        <v>11900</v>
      </c>
      <c r="W15" s="834">
        <v>9700</v>
      </c>
      <c r="X15" s="834">
        <v>9900</v>
      </c>
      <c r="Y15" s="834">
        <v>8973</v>
      </c>
      <c r="Z15" s="834">
        <v>7900</v>
      </c>
      <c r="AA15" s="834">
        <v>7820</v>
      </c>
      <c r="AB15" s="834">
        <v>8000</v>
      </c>
      <c r="AC15" s="834">
        <v>7769</v>
      </c>
      <c r="AD15" s="834">
        <f t="shared" ref="AD15:AD20" si="0">AVERAGE(F15:AC15)</f>
        <v>10123.375</v>
      </c>
    </row>
    <row r="16" spans="1:30">
      <c r="A16" s="834" t="s">
        <v>10</v>
      </c>
      <c r="B16" s="834" t="s">
        <v>705</v>
      </c>
      <c r="C16" s="834" t="s">
        <v>523</v>
      </c>
      <c r="D16" s="834" t="s">
        <v>674</v>
      </c>
      <c r="E16" s="834" t="s">
        <v>675</v>
      </c>
      <c r="F16" s="834">
        <v>12036</v>
      </c>
      <c r="G16" s="834">
        <v>12446</v>
      </c>
      <c r="H16" s="834">
        <v>12870</v>
      </c>
      <c r="I16" s="834">
        <v>13308</v>
      </c>
      <c r="J16" s="834">
        <v>13761</v>
      </c>
      <c r="K16" s="834">
        <v>14230</v>
      </c>
      <c r="L16" s="834">
        <v>14430</v>
      </c>
      <c r="M16" s="834">
        <v>14664</v>
      </c>
      <c r="N16" s="834">
        <v>14901</v>
      </c>
      <c r="O16" s="834">
        <v>15143</v>
      </c>
      <c r="P16" s="834">
        <v>15388</v>
      </c>
      <c r="Q16" s="834">
        <v>15637</v>
      </c>
      <c r="R16" s="834">
        <v>15891</v>
      </c>
      <c r="S16" s="834">
        <v>10793</v>
      </c>
      <c r="T16" s="834">
        <v>16318</v>
      </c>
      <c r="U16" s="834">
        <v>16313</v>
      </c>
      <c r="V16" s="834">
        <v>16584</v>
      </c>
      <c r="W16" s="834">
        <v>12200</v>
      </c>
      <c r="X16" s="834">
        <v>12500</v>
      </c>
      <c r="Y16" s="834">
        <v>12323</v>
      </c>
      <c r="Z16" s="834">
        <v>12503</v>
      </c>
      <c r="AA16" s="834">
        <v>12265</v>
      </c>
      <c r="AB16" s="834">
        <v>13500</v>
      </c>
      <c r="AC16" s="834">
        <v>13386</v>
      </c>
      <c r="AD16" s="834">
        <f t="shared" si="0"/>
        <v>13891.25</v>
      </c>
    </row>
    <row r="17" spans="1:30">
      <c r="A17" s="834" t="s">
        <v>10</v>
      </c>
      <c r="B17" s="834" t="s">
        <v>863</v>
      </c>
      <c r="C17" s="834" t="s">
        <v>523</v>
      </c>
      <c r="D17" s="834" t="s">
        <v>674</v>
      </c>
      <c r="E17" s="834" t="s">
        <v>675</v>
      </c>
      <c r="F17" s="834">
        <v>24019</v>
      </c>
      <c r="G17" s="834">
        <v>24250</v>
      </c>
      <c r="H17" s="834">
        <v>24483</v>
      </c>
      <c r="I17" s="834">
        <v>24762</v>
      </c>
      <c r="J17" s="834">
        <v>24606</v>
      </c>
      <c r="K17" s="834">
        <v>24605</v>
      </c>
      <c r="L17" s="834">
        <v>24603</v>
      </c>
      <c r="M17" s="834">
        <v>24596</v>
      </c>
      <c r="N17" s="834">
        <v>24662</v>
      </c>
      <c r="O17" s="834">
        <v>24563</v>
      </c>
      <c r="P17" s="834">
        <v>24496</v>
      </c>
      <c r="Q17" s="834">
        <v>24545</v>
      </c>
      <c r="R17" s="834">
        <v>24348</v>
      </c>
      <c r="S17" s="834">
        <v>24569</v>
      </c>
      <c r="T17" s="834">
        <v>24167</v>
      </c>
      <c r="U17" s="834">
        <v>23961</v>
      </c>
      <c r="V17" s="834">
        <v>23846</v>
      </c>
      <c r="W17" s="834">
        <v>21591</v>
      </c>
      <c r="X17" s="834">
        <v>21986</v>
      </c>
      <c r="Y17" s="834">
        <v>22064</v>
      </c>
      <c r="Z17" s="834">
        <v>22314</v>
      </c>
      <c r="AA17" s="834">
        <v>21970</v>
      </c>
      <c r="AB17" s="834">
        <v>21736</v>
      </c>
      <c r="AC17" s="834">
        <v>21505</v>
      </c>
      <c r="AD17" s="834">
        <f t="shared" si="0"/>
        <v>23676.958333333332</v>
      </c>
    </row>
    <row r="18" spans="1:30">
      <c r="A18" s="834" t="s">
        <v>10</v>
      </c>
      <c r="B18" s="834" t="s">
        <v>706</v>
      </c>
      <c r="C18" s="834" t="s">
        <v>523</v>
      </c>
      <c r="D18" s="834" t="s">
        <v>674</v>
      </c>
      <c r="E18" s="834" t="s">
        <v>675</v>
      </c>
      <c r="F18" s="834">
        <v>13141</v>
      </c>
      <c r="G18" s="834">
        <v>12490</v>
      </c>
      <c r="H18" s="834">
        <v>11871</v>
      </c>
      <c r="I18" s="834">
        <v>11283</v>
      </c>
      <c r="J18" s="834">
        <v>10725</v>
      </c>
      <c r="K18" s="834">
        <v>10193</v>
      </c>
      <c r="L18" s="834">
        <v>10046</v>
      </c>
      <c r="M18" s="834">
        <v>10103</v>
      </c>
      <c r="N18" s="834">
        <v>10058</v>
      </c>
      <c r="O18" s="834">
        <v>10170</v>
      </c>
      <c r="P18" s="834">
        <v>10196</v>
      </c>
      <c r="Q18" s="834">
        <v>10175</v>
      </c>
      <c r="R18" s="834">
        <v>10419</v>
      </c>
      <c r="S18" s="834">
        <v>10159</v>
      </c>
      <c r="T18" s="834">
        <v>10071</v>
      </c>
      <c r="U18" s="834">
        <v>10041</v>
      </c>
      <c r="V18" s="834">
        <v>10193</v>
      </c>
      <c r="W18" s="834">
        <v>10305</v>
      </c>
      <c r="X18" s="834">
        <v>10333</v>
      </c>
      <c r="Y18" s="834">
        <v>10611</v>
      </c>
      <c r="Z18" s="834">
        <v>10665</v>
      </c>
      <c r="AA18" s="834">
        <v>11028</v>
      </c>
      <c r="AB18" s="834">
        <v>11332</v>
      </c>
      <c r="AC18" s="834">
        <v>12828</v>
      </c>
      <c r="AD18" s="834">
        <f t="shared" si="0"/>
        <v>10768.166666666666</v>
      </c>
    </row>
    <row r="19" spans="1:30">
      <c r="A19" s="834" t="s">
        <v>10</v>
      </c>
      <c r="B19" s="834" t="s">
        <v>761</v>
      </c>
      <c r="C19" s="834" t="s">
        <v>523</v>
      </c>
      <c r="D19" s="834" t="s">
        <v>674</v>
      </c>
      <c r="E19" s="834" t="s">
        <v>675</v>
      </c>
      <c r="F19" s="834">
        <v>17122</v>
      </c>
      <c r="G19" s="834">
        <v>17126</v>
      </c>
      <c r="H19" s="834">
        <v>17129</v>
      </c>
      <c r="I19" s="834">
        <v>17132</v>
      </c>
      <c r="J19" s="834">
        <v>17135</v>
      </c>
      <c r="K19" s="834">
        <v>17139</v>
      </c>
      <c r="L19" s="834">
        <v>17194</v>
      </c>
      <c r="M19" s="834">
        <v>17289</v>
      </c>
      <c r="N19" s="834">
        <v>17384</v>
      </c>
      <c r="O19" s="834">
        <v>17479</v>
      </c>
      <c r="P19" s="834">
        <v>17575</v>
      </c>
      <c r="Q19" s="834">
        <v>17672</v>
      </c>
      <c r="R19" s="834">
        <v>17769</v>
      </c>
      <c r="S19" s="834">
        <v>19308</v>
      </c>
      <c r="T19" s="834">
        <v>16705</v>
      </c>
      <c r="U19" s="834">
        <v>11008</v>
      </c>
      <c r="V19" s="834">
        <v>11567</v>
      </c>
      <c r="W19" s="834">
        <v>12000</v>
      </c>
      <c r="X19" s="834">
        <v>12500</v>
      </c>
      <c r="Y19" s="834">
        <v>11654</v>
      </c>
      <c r="Z19" s="834">
        <v>12000</v>
      </c>
      <c r="AA19" s="834">
        <v>12658</v>
      </c>
      <c r="AB19" s="834">
        <v>12171</v>
      </c>
      <c r="AC19" s="834">
        <v>12581</v>
      </c>
      <c r="AD19" s="834">
        <f t="shared" si="0"/>
        <v>15387.375</v>
      </c>
    </row>
    <row r="20" spans="1:30">
      <c r="A20" s="834" t="s">
        <v>10</v>
      </c>
      <c r="B20" s="834" t="s">
        <v>707</v>
      </c>
      <c r="C20" s="834" t="s">
        <v>523</v>
      </c>
      <c r="D20" s="834" t="s">
        <v>674</v>
      </c>
      <c r="E20" s="834" t="s">
        <v>675</v>
      </c>
      <c r="F20" s="834">
        <v>13174</v>
      </c>
      <c r="G20" s="834">
        <v>12605</v>
      </c>
      <c r="H20" s="834">
        <v>12060</v>
      </c>
      <c r="I20" s="834">
        <v>11541</v>
      </c>
      <c r="J20" s="834">
        <v>11042</v>
      </c>
      <c r="K20" s="834">
        <v>10565</v>
      </c>
      <c r="L20" s="834">
        <v>10111</v>
      </c>
      <c r="M20" s="834">
        <v>10174</v>
      </c>
      <c r="N20" s="834">
        <v>9353</v>
      </c>
      <c r="O20" s="834">
        <v>10334</v>
      </c>
      <c r="P20" s="834">
        <v>10323</v>
      </c>
      <c r="Q20" s="834">
        <v>10417</v>
      </c>
      <c r="R20" s="834">
        <v>10356</v>
      </c>
      <c r="S20" s="834">
        <v>10043</v>
      </c>
      <c r="T20" s="834">
        <v>9710</v>
      </c>
      <c r="U20" s="834">
        <v>9986</v>
      </c>
      <c r="V20" s="834">
        <v>9951</v>
      </c>
      <c r="W20" s="834">
        <v>9917</v>
      </c>
      <c r="X20" s="834">
        <v>9882</v>
      </c>
      <c r="Y20" s="834">
        <v>10400</v>
      </c>
      <c r="Z20" s="834">
        <v>11237</v>
      </c>
      <c r="AA20" s="834">
        <v>11885</v>
      </c>
      <c r="AB20" s="834">
        <v>12569</v>
      </c>
      <c r="AC20" s="834">
        <v>14230</v>
      </c>
      <c r="AD20" s="834">
        <f t="shared" si="0"/>
        <v>10911.041666666666</v>
      </c>
    </row>
    <row r="21" spans="1:30">
      <c r="AD21" s="834">
        <f>AVERAGE(AD15:AD20)</f>
        <v>14126.361111111111</v>
      </c>
    </row>
    <row r="23" spans="1:30">
      <c r="A23" s="834" t="s">
        <v>559</v>
      </c>
      <c r="B23" s="834" t="s">
        <v>560</v>
      </c>
      <c r="C23" s="834" t="s">
        <v>561</v>
      </c>
      <c r="D23" s="834" t="s">
        <v>562</v>
      </c>
      <c r="E23" s="834" t="s">
        <v>563</v>
      </c>
      <c r="F23" s="834" t="s">
        <v>679</v>
      </c>
      <c r="G23" s="834" t="s">
        <v>680</v>
      </c>
      <c r="H23" s="834" t="s">
        <v>681</v>
      </c>
      <c r="I23" s="834" t="s">
        <v>682</v>
      </c>
      <c r="J23" s="834" t="s">
        <v>683</v>
      </c>
      <c r="K23" s="834" t="s">
        <v>684</v>
      </c>
      <c r="L23" s="834" t="s">
        <v>685</v>
      </c>
      <c r="M23" s="834" t="s">
        <v>686</v>
      </c>
      <c r="N23" s="834" t="s">
        <v>687</v>
      </c>
      <c r="O23" s="834" t="s">
        <v>688</v>
      </c>
      <c r="P23" s="834" t="s">
        <v>689</v>
      </c>
      <c r="Q23" s="834" t="s">
        <v>690</v>
      </c>
      <c r="R23" s="834" t="s">
        <v>691</v>
      </c>
      <c r="S23" s="834" t="s">
        <v>692</v>
      </c>
      <c r="T23" s="834" t="s">
        <v>693</v>
      </c>
      <c r="U23" s="834" t="s">
        <v>694</v>
      </c>
      <c r="V23" s="834" t="s">
        <v>695</v>
      </c>
      <c r="W23" s="834" t="s">
        <v>696</v>
      </c>
      <c r="X23" s="834" t="s">
        <v>697</v>
      </c>
      <c r="Y23" s="834" t="s">
        <v>698</v>
      </c>
      <c r="Z23" s="834" t="s">
        <v>699</v>
      </c>
      <c r="AA23" s="834" t="s">
        <v>700</v>
      </c>
      <c r="AB23" s="834" t="s">
        <v>701</v>
      </c>
      <c r="AC23" s="834" t="s">
        <v>702</v>
      </c>
      <c r="AD23" s="834" t="s">
        <v>703</v>
      </c>
    </row>
    <row r="24" spans="1:30">
      <c r="A24" s="834" t="s">
        <v>10</v>
      </c>
      <c r="B24" s="834" t="s">
        <v>712</v>
      </c>
      <c r="C24" s="834" t="s">
        <v>710</v>
      </c>
      <c r="D24" s="834" t="s">
        <v>674</v>
      </c>
      <c r="E24" s="834" t="s">
        <v>675</v>
      </c>
      <c r="F24" s="834">
        <v>37500</v>
      </c>
      <c r="G24" s="834">
        <v>37830</v>
      </c>
      <c r="H24" s="834">
        <v>37864</v>
      </c>
      <c r="I24" s="834">
        <v>37889</v>
      </c>
      <c r="J24" s="834">
        <v>37913</v>
      </c>
      <c r="K24" s="834">
        <v>37991</v>
      </c>
      <c r="L24" s="834">
        <v>38048</v>
      </c>
      <c r="M24" s="834">
        <v>37750</v>
      </c>
      <c r="N24" s="834">
        <v>38018</v>
      </c>
      <c r="O24" s="834">
        <v>38294</v>
      </c>
      <c r="P24" s="834">
        <v>38687</v>
      </c>
      <c r="Q24" s="834">
        <v>38272</v>
      </c>
      <c r="R24" s="834">
        <v>39024</v>
      </c>
      <c r="S24" s="834">
        <v>39036</v>
      </c>
      <c r="T24" s="834">
        <v>43523</v>
      </c>
      <c r="U24" s="834">
        <v>46916</v>
      </c>
      <c r="V24" s="834">
        <v>52500</v>
      </c>
      <c r="W24" s="834">
        <v>51190</v>
      </c>
      <c r="X24" s="834">
        <v>49897</v>
      </c>
      <c r="Y24" s="834">
        <v>50154</v>
      </c>
      <c r="Z24" s="834">
        <v>53299</v>
      </c>
      <c r="AA24" s="834">
        <v>54991</v>
      </c>
      <c r="AB24" s="834">
        <v>56357</v>
      </c>
      <c r="AC24" s="834">
        <v>57723</v>
      </c>
      <c r="AD24" s="834">
        <f t="shared" ref="AD24:AD29" si="1">AVERAGE(F24:AC24)</f>
        <v>43777.75</v>
      </c>
    </row>
    <row r="25" spans="1:30">
      <c r="A25" s="834" t="s">
        <v>10</v>
      </c>
      <c r="B25" s="834" t="s">
        <v>726</v>
      </c>
      <c r="C25" s="834" t="s">
        <v>710</v>
      </c>
      <c r="D25" s="834" t="s">
        <v>674</v>
      </c>
      <c r="E25" s="834" t="s">
        <v>675</v>
      </c>
      <c r="F25" s="834">
        <v>20000</v>
      </c>
      <c r="G25" s="834">
        <v>19000</v>
      </c>
      <c r="H25" s="834">
        <v>18750</v>
      </c>
      <c r="I25" s="834">
        <v>18827</v>
      </c>
      <c r="J25" s="834">
        <v>19511</v>
      </c>
      <c r="K25" s="834">
        <v>19635</v>
      </c>
      <c r="L25" s="834">
        <v>20000</v>
      </c>
      <c r="M25" s="834">
        <v>19976</v>
      </c>
      <c r="N25" s="834">
        <v>20000</v>
      </c>
      <c r="O25" s="834">
        <v>20000</v>
      </c>
      <c r="P25" s="834">
        <v>20250</v>
      </c>
      <c r="Q25" s="834">
        <v>20000</v>
      </c>
      <c r="R25" s="834">
        <v>19955</v>
      </c>
      <c r="S25" s="834">
        <v>20121</v>
      </c>
      <c r="T25" s="834">
        <v>20014</v>
      </c>
      <c r="U25" s="834">
        <v>19987</v>
      </c>
      <c r="V25" s="834">
        <v>20023</v>
      </c>
      <c r="W25" s="834">
        <v>20050</v>
      </c>
      <c r="X25" s="834">
        <v>20077</v>
      </c>
      <c r="Y25" s="834">
        <v>20051</v>
      </c>
      <c r="Z25" s="834">
        <v>20048</v>
      </c>
      <c r="AA25" s="834">
        <v>20061</v>
      </c>
      <c r="AB25" s="834">
        <v>20074</v>
      </c>
      <c r="AC25" s="834">
        <v>20087</v>
      </c>
      <c r="AD25" s="834">
        <f t="shared" si="1"/>
        <v>19854.041666666668</v>
      </c>
    </row>
    <row r="26" spans="1:30">
      <c r="A26" s="834" t="s">
        <v>10</v>
      </c>
      <c r="B26" s="834" t="s">
        <v>864</v>
      </c>
      <c r="C26" s="834" t="s">
        <v>710</v>
      </c>
      <c r="D26" s="834" t="s">
        <v>674</v>
      </c>
      <c r="E26" s="834" t="s">
        <v>675</v>
      </c>
      <c r="F26" s="834">
        <v>100000</v>
      </c>
      <c r="G26" s="834">
        <v>114286</v>
      </c>
      <c r="H26" s="834">
        <v>100000</v>
      </c>
      <c r="I26" s="834">
        <v>100000</v>
      </c>
      <c r="J26" s="834">
        <v>100000</v>
      </c>
      <c r="K26" s="834">
        <v>100000</v>
      </c>
      <c r="L26" s="834">
        <v>100000</v>
      </c>
      <c r="M26" s="834">
        <v>101061</v>
      </c>
      <c r="N26" s="834">
        <v>101066</v>
      </c>
      <c r="O26" s="834">
        <v>101050</v>
      </c>
      <c r="P26" s="834">
        <v>101012</v>
      </c>
      <c r="Q26" s="834">
        <v>100000</v>
      </c>
      <c r="R26" s="834">
        <v>100000</v>
      </c>
      <c r="S26" s="834">
        <v>100000</v>
      </c>
      <c r="T26" s="834">
        <v>100000</v>
      </c>
      <c r="U26" s="834">
        <v>100969</v>
      </c>
      <c r="V26" s="834">
        <v>101073</v>
      </c>
      <c r="W26" s="834">
        <v>103571</v>
      </c>
      <c r="X26" s="834">
        <v>101064</v>
      </c>
      <c r="Y26" s="834">
        <v>100896</v>
      </c>
      <c r="Z26" s="834">
        <v>101049</v>
      </c>
      <c r="AA26" s="834">
        <v>101085</v>
      </c>
      <c r="AB26" s="834">
        <v>101072</v>
      </c>
      <c r="AC26" s="834">
        <v>101059</v>
      </c>
      <c r="AD26" s="834">
        <f t="shared" si="1"/>
        <v>101263.04166666667</v>
      </c>
    </row>
    <row r="27" spans="1:30">
      <c r="A27" s="834" t="s">
        <v>10</v>
      </c>
      <c r="B27" s="834" t="s">
        <v>735</v>
      </c>
      <c r="C27" s="834" t="s">
        <v>710</v>
      </c>
      <c r="D27" s="834" t="s">
        <v>674</v>
      </c>
      <c r="E27" s="834" t="s">
        <v>675</v>
      </c>
      <c r="F27" s="834">
        <v>40168</v>
      </c>
      <c r="G27" s="834">
        <v>39394</v>
      </c>
      <c r="H27" s="834">
        <v>39345</v>
      </c>
      <c r="I27" s="834">
        <v>39921</v>
      </c>
      <c r="J27" s="834">
        <v>40053</v>
      </c>
      <c r="K27" s="834">
        <v>40269</v>
      </c>
      <c r="L27" s="834">
        <v>40476</v>
      </c>
      <c r="M27" s="834">
        <v>39985</v>
      </c>
      <c r="N27" s="834">
        <v>40733</v>
      </c>
      <c r="O27" s="834">
        <v>41154</v>
      </c>
      <c r="P27" s="834">
        <v>41569</v>
      </c>
      <c r="Q27" s="834">
        <v>41154</v>
      </c>
      <c r="R27" s="834">
        <v>41538</v>
      </c>
      <c r="S27" s="834">
        <v>41132</v>
      </c>
      <c r="T27" s="834">
        <v>41538</v>
      </c>
      <c r="U27" s="834">
        <v>41757</v>
      </c>
      <c r="V27" s="834">
        <v>42053</v>
      </c>
      <c r="W27" s="834">
        <v>41859</v>
      </c>
      <c r="X27" s="834">
        <v>41933</v>
      </c>
      <c r="Y27" s="834">
        <v>41985</v>
      </c>
      <c r="Z27" s="834">
        <v>42110</v>
      </c>
      <c r="AA27" s="834">
        <v>41891</v>
      </c>
      <c r="AB27" s="834">
        <v>41932</v>
      </c>
      <c r="AC27" s="834">
        <v>41972</v>
      </c>
      <c r="AD27" s="834">
        <f t="shared" si="1"/>
        <v>41080.041666666664</v>
      </c>
    </row>
    <row r="28" spans="1:30">
      <c r="A28" s="834" t="s">
        <v>10</v>
      </c>
      <c r="B28" s="834" t="s">
        <v>763</v>
      </c>
      <c r="C28" s="834" t="s">
        <v>710</v>
      </c>
      <c r="D28" s="834" t="s">
        <v>674</v>
      </c>
      <c r="E28" s="834" t="s">
        <v>675</v>
      </c>
      <c r="F28" s="834">
        <v>11800</v>
      </c>
      <c r="G28" s="834">
        <v>11548</v>
      </c>
      <c r="H28" s="834">
        <v>12876</v>
      </c>
      <c r="I28" s="834">
        <v>12876</v>
      </c>
      <c r="J28" s="834">
        <v>12500</v>
      </c>
      <c r="K28" s="834">
        <v>12514</v>
      </c>
      <c r="L28" s="834">
        <v>12222</v>
      </c>
      <c r="M28" s="834">
        <v>11429</v>
      </c>
      <c r="N28" s="834">
        <v>11443</v>
      </c>
      <c r="O28" s="834">
        <v>11531</v>
      </c>
      <c r="P28" s="834">
        <v>11474</v>
      </c>
      <c r="Q28" s="834">
        <v>11549</v>
      </c>
      <c r="R28" s="834">
        <v>11667</v>
      </c>
      <c r="S28" s="834">
        <v>11616</v>
      </c>
      <c r="T28" s="834">
        <v>11493</v>
      </c>
      <c r="U28" s="834">
        <v>9737</v>
      </c>
      <c r="V28" s="834">
        <v>9524</v>
      </c>
      <c r="W28" s="834">
        <v>9767</v>
      </c>
      <c r="X28" s="834">
        <v>9767</v>
      </c>
      <c r="Y28" s="834">
        <v>9767</v>
      </c>
      <c r="Z28" s="834">
        <v>9635</v>
      </c>
      <c r="AA28" s="834">
        <v>9626</v>
      </c>
      <c r="AB28" s="834">
        <v>9452</v>
      </c>
      <c r="AC28" s="834">
        <v>9328</v>
      </c>
      <c r="AD28" s="834">
        <f t="shared" si="1"/>
        <v>11047.541666666666</v>
      </c>
    </row>
    <row r="29" spans="1:30">
      <c r="A29" s="834" t="s">
        <v>10</v>
      </c>
      <c r="B29" s="834" t="s">
        <v>764</v>
      </c>
      <c r="C29" s="834" t="s">
        <v>710</v>
      </c>
      <c r="D29" s="834" t="s">
        <v>674</v>
      </c>
      <c r="E29" s="834" t="s">
        <v>675</v>
      </c>
      <c r="F29" s="834">
        <v>2359</v>
      </c>
      <c r="G29" s="834">
        <v>2351</v>
      </c>
      <c r="H29" s="834">
        <v>2342</v>
      </c>
      <c r="I29" s="834">
        <v>2334</v>
      </c>
      <c r="J29" s="834">
        <v>2326</v>
      </c>
      <c r="K29" s="834">
        <v>2317</v>
      </c>
      <c r="L29" s="834">
        <v>2309</v>
      </c>
      <c r="M29" s="834">
        <v>2301</v>
      </c>
      <c r="N29" s="834">
        <v>2292</v>
      </c>
      <c r="O29" s="834">
        <v>2347</v>
      </c>
      <c r="P29" s="834">
        <v>2324</v>
      </c>
      <c r="Q29" s="834">
        <v>2364</v>
      </c>
      <c r="R29" s="834">
        <v>2318</v>
      </c>
      <c r="S29" s="834">
        <v>2444</v>
      </c>
      <c r="T29" s="834">
        <v>2245</v>
      </c>
      <c r="U29" s="834">
        <v>2179</v>
      </c>
      <c r="V29" s="834">
        <v>2110</v>
      </c>
      <c r="W29" s="834">
        <v>1923</v>
      </c>
      <c r="X29" s="834">
        <v>1923</v>
      </c>
      <c r="Y29" s="834">
        <v>2139</v>
      </c>
      <c r="Z29" s="834">
        <v>2198</v>
      </c>
      <c r="AA29" s="834">
        <v>2500</v>
      </c>
      <c r="AB29" s="834">
        <v>2299</v>
      </c>
      <c r="AC29" s="834">
        <v>2181</v>
      </c>
      <c r="AD29" s="834">
        <f t="shared" si="1"/>
        <v>2267.7083333333335</v>
      </c>
    </row>
    <row r="30" spans="1:30">
      <c r="AD30" s="834">
        <f>AVERAGE(AD24:AD29)</f>
        <v>36548.354166666664</v>
      </c>
    </row>
    <row r="32" spans="1:30">
      <c r="A32" s="834" t="s">
        <v>559</v>
      </c>
      <c r="B32" s="834" t="s">
        <v>560</v>
      </c>
      <c r="C32" s="834" t="s">
        <v>561</v>
      </c>
      <c r="D32" s="834" t="s">
        <v>562</v>
      </c>
      <c r="E32" s="834" t="s">
        <v>563</v>
      </c>
      <c r="F32" s="834" t="s">
        <v>679</v>
      </c>
      <c r="G32" s="834" t="s">
        <v>680</v>
      </c>
      <c r="H32" s="834" t="s">
        <v>681</v>
      </c>
      <c r="I32" s="834" t="s">
        <v>682</v>
      </c>
      <c r="J32" s="834" t="s">
        <v>683</v>
      </c>
      <c r="K32" s="834" t="s">
        <v>684</v>
      </c>
      <c r="L32" s="834" t="s">
        <v>685</v>
      </c>
      <c r="M32" s="834" t="s">
        <v>686</v>
      </c>
      <c r="N32" s="834" t="s">
        <v>687</v>
      </c>
      <c r="O32" s="834" t="s">
        <v>688</v>
      </c>
      <c r="P32" s="834" t="s">
        <v>689</v>
      </c>
      <c r="Q32" s="834" t="s">
        <v>690</v>
      </c>
      <c r="R32" s="834" t="s">
        <v>691</v>
      </c>
      <c r="S32" s="834" t="s">
        <v>692</v>
      </c>
      <c r="T32" s="834" t="s">
        <v>693</v>
      </c>
      <c r="U32" s="834" t="s">
        <v>694</v>
      </c>
      <c r="V32" s="834" t="s">
        <v>695</v>
      </c>
      <c r="W32" s="834" t="s">
        <v>696</v>
      </c>
      <c r="X32" s="834" t="s">
        <v>697</v>
      </c>
      <c r="Y32" s="834" t="s">
        <v>698</v>
      </c>
      <c r="Z32" s="834" t="s">
        <v>699</v>
      </c>
      <c r="AA32" s="834" t="s">
        <v>700</v>
      </c>
      <c r="AB32" s="834" t="s">
        <v>701</v>
      </c>
      <c r="AC32" s="834" t="s">
        <v>702</v>
      </c>
      <c r="AD32" s="834" t="s">
        <v>703</v>
      </c>
    </row>
    <row r="33" spans="1:30">
      <c r="A33" s="834" t="s">
        <v>10</v>
      </c>
      <c r="B33" s="834" t="s">
        <v>765</v>
      </c>
      <c r="C33" s="834" t="s">
        <v>525</v>
      </c>
      <c r="D33" s="834" t="s">
        <v>674</v>
      </c>
      <c r="E33" s="834" t="s">
        <v>675</v>
      </c>
      <c r="F33" s="834">
        <v>8566</v>
      </c>
      <c r="G33" s="834">
        <v>8722</v>
      </c>
      <c r="H33" s="834">
        <v>8877</v>
      </c>
      <c r="I33" s="834">
        <v>8994</v>
      </c>
      <c r="J33" s="834">
        <v>9173</v>
      </c>
      <c r="K33" s="834">
        <v>9000</v>
      </c>
      <c r="L33" s="834">
        <v>10000</v>
      </c>
      <c r="M33" s="834">
        <v>10000</v>
      </c>
      <c r="N33" s="834">
        <v>10000</v>
      </c>
      <c r="O33" s="834">
        <v>10000</v>
      </c>
      <c r="P33" s="834">
        <v>11273</v>
      </c>
      <c r="Q33" s="834">
        <v>10833</v>
      </c>
      <c r="R33" s="834">
        <v>10484</v>
      </c>
      <c r="S33" s="834">
        <v>10000</v>
      </c>
      <c r="T33" s="834">
        <v>10481</v>
      </c>
      <c r="U33" s="834">
        <v>9861</v>
      </c>
      <c r="V33" s="834">
        <v>10718</v>
      </c>
      <c r="W33" s="834">
        <v>11486</v>
      </c>
      <c r="X33" s="834">
        <v>11544</v>
      </c>
      <c r="Y33" s="834">
        <v>11304</v>
      </c>
      <c r="Z33" s="834">
        <v>11250</v>
      </c>
      <c r="AA33" s="834">
        <v>11472</v>
      </c>
      <c r="AB33" s="834">
        <v>11667</v>
      </c>
      <c r="AC33" s="834">
        <v>11718</v>
      </c>
      <c r="AD33" s="834">
        <f>AVERAGE(F33:AC33)</f>
        <v>10309.291666666666</v>
      </c>
    </row>
    <row r="34" spans="1:30">
      <c r="A34" s="834" t="s">
        <v>10</v>
      </c>
      <c r="B34" s="834" t="s">
        <v>745</v>
      </c>
      <c r="C34" s="834" t="s">
        <v>525</v>
      </c>
      <c r="D34" s="834" t="s">
        <v>674</v>
      </c>
      <c r="E34" s="834" t="s">
        <v>675</v>
      </c>
      <c r="F34" s="834">
        <v>9086</v>
      </c>
      <c r="G34" s="834">
        <v>9483</v>
      </c>
      <c r="H34" s="834">
        <v>9841</v>
      </c>
      <c r="I34" s="834">
        <v>10273</v>
      </c>
      <c r="J34" s="834">
        <v>10722</v>
      </c>
      <c r="K34" s="834">
        <v>13013</v>
      </c>
      <c r="L34" s="834">
        <v>13199</v>
      </c>
      <c r="M34" s="834">
        <v>13401</v>
      </c>
      <c r="N34" s="834">
        <v>13606</v>
      </c>
      <c r="O34" s="834">
        <v>13814</v>
      </c>
      <c r="P34" s="834">
        <v>14025</v>
      </c>
      <c r="Q34" s="834">
        <v>14240</v>
      </c>
      <c r="R34" s="834">
        <v>13985</v>
      </c>
      <c r="S34" s="834">
        <v>15455</v>
      </c>
      <c r="T34" s="834">
        <v>14000</v>
      </c>
      <c r="U34" s="834">
        <v>14600</v>
      </c>
      <c r="V34" s="834">
        <v>14757</v>
      </c>
      <c r="W34" s="834">
        <v>12100</v>
      </c>
      <c r="X34" s="834">
        <v>12200</v>
      </c>
      <c r="Y34" s="834">
        <v>7877</v>
      </c>
      <c r="Z34" s="834">
        <v>8000</v>
      </c>
      <c r="AA34" s="834">
        <v>7988</v>
      </c>
      <c r="AB34" s="834">
        <v>9500</v>
      </c>
      <c r="AC34" s="834">
        <v>9801</v>
      </c>
      <c r="AD34" s="834">
        <f>AVERAGE(F34:AC34)</f>
        <v>11873.583333333334</v>
      </c>
    </row>
    <row r="35" spans="1:30">
      <c r="A35" s="834" t="s">
        <v>10</v>
      </c>
      <c r="B35" s="834" t="s">
        <v>865</v>
      </c>
      <c r="C35" s="834" t="s">
        <v>525</v>
      </c>
      <c r="D35" s="834" t="s">
        <v>674</v>
      </c>
      <c r="E35" s="834" t="s">
        <v>675</v>
      </c>
      <c r="S35" s="834">
        <v>27083</v>
      </c>
      <c r="T35" s="834">
        <v>27778</v>
      </c>
      <c r="U35" s="834">
        <v>27600</v>
      </c>
      <c r="V35" s="834">
        <v>27692</v>
      </c>
      <c r="W35" s="834">
        <v>27886</v>
      </c>
      <c r="X35" s="834">
        <v>28064</v>
      </c>
      <c r="Y35" s="834">
        <v>28093</v>
      </c>
      <c r="Z35" s="834">
        <v>28185</v>
      </c>
      <c r="AA35" s="834">
        <v>28234</v>
      </c>
      <c r="AB35" s="834">
        <v>28332</v>
      </c>
      <c r="AC35" s="834">
        <v>28430</v>
      </c>
      <c r="AD35" s="834">
        <f>AVERAGE(F35:AC35)</f>
        <v>27943.363636363636</v>
      </c>
    </row>
    <row r="36" spans="1:30">
      <c r="A36" s="834" t="s">
        <v>10</v>
      </c>
      <c r="B36" s="834" t="s">
        <v>751</v>
      </c>
      <c r="C36" s="834" t="s">
        <v>525</v>
      </c>
      <c r="D36" s="834" t="s">
        <v>674</v>
      </c>
      <c r="E36" s="834" t="s">
        <v>675</v>
      </c>
      <c r="F36" s="834">
        <v>8566</v>
      </c>
      <c r="G36" s="834">
        <v>8722</v>
      </c>
      <c r="H36" s="834">
        <v>8877</v>
      </c>
      <c r="I36" s="834">
        <v>8994</v>
      </c>
      <c r="J36" s="834">
        <v>9173</v>
      </c>
      <c r="K36" s="834">
        <v>9000</v>
      </c>
      <c r="L36" s="834">
        <v>10000</v>
      </c>
      <c r="M36" s="834">
        <v>10000</v>
      </c>
      <c r="N36" s="834">
        <v>10000</v>
      </c>
      <c r="O36" s="834">
        <v>10000</v>
      </c>
      <c r="P36" s="834">
        <v>11273</v>
      </c>
      <c r="Q36" s="834">
        <v>10833</v>
      </c>
      <c r="R36" s="834">
        <v>10484</v>
      </c>
      <c r="S36" s="834">
        <v>10566</v>
      </c>
      <c r="T36" s="834">
        <v>10930</v>
      </c>
      <c r="U36" s="834">
        <v>10164</v>
      </c>
      <c r="V36" s="834">
        <v>11012</v>
      </c>
      <c r="W36" s="834">
        <v>11728</v>
      </c>
      <c r="X36" s="834">
        <v>11714</v>
      </c>
      <c r="Y36" s="834">
        <v>11456</v>
      </c>
      <c r="Z36" s="834">
        <v>11453</v>
      </c>
      <c r="AA36" s="834">
        <v>11649</v>
      </c>
      <c r="AB36" s="834">
        <v>11846</v>
      </c>
      <c r="AC36" s="834">
        <v>11886</v>
      </c>
      <c r="AD36" s="834">
        <f>AVERAGE(F36:AC36)</f>
        <v>10430.25</v>
      </c>
    </row>
    <row r="37" spans="1:30">
      <c r="AD37" s="834">
        <f>AVERAGE(AD33:AD36)</f>
        <v>15139.122159090908</v>
      </c>
    </row>
    <row r="39" spans="1:30">
      <c r="A39" s="834" t="s">
        <v>559</v>
      </c>
      <c r="B39" s="834" t="s">
        <v>560</v>
      </c>
      <c r="C39" s="834" t="s">
        <v>561</v>
      </c>
      <c r="D39" s="834" t="s">
        <v>562</v>
      </c>
      <c r="E39" s="834" t="s">
        <v>563</v>
      </c>
      <c r="F39" s="834" t="s">
        <v>679</v>
      </c>
      <c r="G39" s="834" t="s">
        <v>680</v>
      </c>
      <c r="H39" s="834" t="s">
        <v>681</v>
      </c>
      <c r="I39" s="834" t="s">
        <v>682</v>
      </c>
      <c r="J39" s="834" t="s">
        <v>683</v>
      </c>
      <c r="K39" s="834" t="s">
        <v>684</v>
      </c>
      <c r="L39" s="834" t="s">
        <v>685</v>
      </c>
      <c r="M39" s="834" t="s">
        <v>686</v>
      </c>
      <c r="N39" s="834" t="s">
        <v>687</v>
      </c>
      <c r="O39" s="834" t="s">
        <v>688</v>
      </c>
      <c r="P39" s="834" t="s">
        <v>689</v>
      </c>
      <c r="Q39" s="834" t="s">
        <v>690</v>
      </c>
      <c r="R39" s="834" t="s">
        <v>691</v>
      </c>
      <c r="S39" s="834" t="s">
        <v>692</v>
      </c>
      <c r="T39" s="834" t="s">
        <v>693</v>
      </c>
      <c r="U39" s="834" t="s">
        <v>694</v>
      </c>
      <c r="V39" s="834" t="s">
        <v>695</v>
      </c>
      <c r="W39" s="834" t="s">
        <v>696</v>
      </c>
      <c r="X39" s="834" t="s">
        <v>697</v>
      </c>
      <c r="Y39" s="834" t="s">
        <v>698</v>
      </c>
      <c r="Z39" s="834" t="s">
        <v>699</v>
      </c>
      <c r="AA39" s="834" t="s">
        <v>700</v>
      </c>
      <c r="AB39" s="834" t="s">
        <v>701</v>
      </c>
      <c r="AC39" s="834" t="s">
        <v>702</v>
      </c>
      <c r="AD39" s="834" t="s">
        <v>703</v>
      </c>
    </row>
    <row r="40" spans="1:30">
      <c r="A40" s="834" t="s">
        <v>10</v>
      </c>
      <c r="B40" s="834" t="s">
        <v>767</v>
      </c>
      <c r="C40" s="834" t="s">
        <v>524</v>
      </c>
      <c r="D40" s="834" t="s">
        <v>674</v>
      </c>
      <c r="E40" s="834" t="s">
        <v>675</v>
      </c>
      <c r="F40" s="834">
        <v>70131</v>
      </c>
      <c r="G40" s="834">
        <v>69762</v>
      </c>
      <c r="H40" s="834">
        <v>69393</v>
      </c>
      <c r="I40" s="834">
        <v>69024</v>
      </c>
      <c r="J40" s="834">
        <v>68660</v>
      </c>
      <c r="K40" s="834">
        <v>68299</v>
      </c>
      <c r="L40" s="834">
        <v>69892</v>
      </c>
      <c r="M40" s="834">
        <v>71520</v>
      </c>
      <c r="N40" s="834">
        <v>73187</v>
      </c>
      <c r="O40" s="834">
        <v>74892</v>
      </c>
      <c r="P40" s="834">
        <v>76636</v>
      </c>
      <c r="Q40" s="834">
        <v>78422</v>
      </c>
      <c r="R40" s="834">
        <v>80249</v>
      </c>
      <c r="S40" s="834">
        <v>75231</v>
      </c>
      <c r="T40" s="834">
        <v>84899</v>
      </c>
      <c r="U40" s="834">
        <v>84900</v>
      </c>
      <c r="V40" s="834">
        <v>84900</v>
      </c>
      <c r="W40" s="834">
        <v>69200</v>
      </c>
      <c r="X40" s="834">
        <v>69000</v>
      </c>
      <c r="Y40" s="834">
        <v>75618</v>
      </c>
      <c r="Z40" s="834">
        <v>79097</v>
      </c>
      <c r="AA40" s="834">
        <v>78917</v>
      </c>
      <c r="AB40" s="834">
        <v>76939</v>
      </c>
      <c r="AC40" s="834">
        <v>76490</v>
      </c>
      <c r="AD40" s="834">
        <f>AVERAGE(F40:AC40)</f>
        <v>74802.416666666672</v>
      </c>
    </row>
    <row r="41" spans="1:30">
      <c r="A41" s="834" t="s">
        <v>10</v>
      </c>
      <c r="B41" s="834" t="s">
        <v>752</v>
      </c>
      <c r="C41" s="834" t="s">
        <v>524</v>
      </c>
      <c r="D41" s="834" t="s">
        <v>674</v>
      </c>
      <c r="E41" s="834" t="s">
        <v>675</v>
      </c>
      <c r="N41" s="834">
        <v>63371</v>
      </c>
      <c r="O41" s="834">
        <v>61356</v>
      </c>
      <c r="P41" s="834">
        <v>63193</v>
      </c>
      <c r="Q41" s="834">
        <v>61011</v>
      </c>
      <c r="R41" s="834">
        <v>59380</v>
      </c>
      <c r="S41" s="834">
        <v>70071</v>
      </c>
      <c r="T41" s="834">
        <v>89880</v>
      </c>
      <c r="U41" s="834">
        <v>59840</v>
      </c>
      <c r="V41" s="834">
        <v>56960</v>
      </c>
      <c r="W41" s="834">
        <v>68229</v>
      </c>
      <c r="X41" s="834">
        <v>75236</v>
      </c>
      <c r="Y41" s="834">
        <v>53730</v>
      </c>
      <c r="Z41" s="834">
        <v>61348</v>
      </c>
      <c r="AA41" s="834">
        <v>120496</v>
      </c>
      <c r="AB41" s="834">
        <v>59505</v>
      </c>
      <c r="AC41" s="834">
        <v>128755</v>
      </c>
      <c r="AD41" s="834">
        <f>AVERAGE(F41:AC41)</f>
        <v>72022.5625</v>
      </c>
    </row>
    <row r="42" spans="1:30">
      <c r="A42" s="834" t="s">
        <v>10</v>
      </c>
      <c r="B42" s="834" t="s">
        <v>754</v>
      </c>
      <c r="C42" s="834" t="s">
        <v>524</v>
      </c>
      <c r="D42" s="834" t="s">
        <v>674</v>
      </c>
      <c r="E42" s="834" t="s">
        <v>675</v>
      </c>
      <c r="F42" s="834">
        <v>42809</v>
      </c>
      <c r="G42" s="834">
        <v>41590</v>
      </c>
      <c r="H42" s="834">
        <v>40398</v>
      </c>
      <c r="I42" s="834">
        <v>39241</v>
      </c>
      <c r="J42" s="834">
        <v>38122</v>
      </c>
      <c r="K42" s="834">
        <v>37031</v>
      </c>
      <c r="L42" s="834">
        <v>36981</v>
      </c>
      <c r="M42" s="834">
        <v>37202</v>
      </c>
      <c r="N42" s="834">
        <v>36234</v>
      </c>
      <c r="O42" s="834">
        <v>36277</v>
      </c>
      <c r="P42" s="834">
        <v>36590</v>
      </c>
      <c r="Q42" s="834">
        <v>37130</v>
      </c>
      <c r="R42" s="834">
        <v>36982</v>
      </c>
      <c r="S42" s="834">
        <v>36535</v>
      </c>
      <c r="T42" s="834">
        <v>32878</v>
      </c>
      <c r="U42" s="834">
        <v>31081</v>
      </c>
      <c r="V42" s="834">
        <v>34680</v>
      </c>
      <c r="W42" s="834">
        <v>34766</v>
      </c>
      <c r="X42" s="834">
        <v>34575</v>
      </c>
      <c r="Y42" s="834">
        <v>35378</v>
      </c>
      <c r="Z42" s="834">
        <v>40128</v>
      </c>
      <c r="AA42" s="834">
        <v>42623</v>
      </c>
      <c r="AB42" s="834">
        <v>39376</v>
      </c>
      <c r="AC42" s="834">
        <v>49657</v>
      </c>
      <c r="AD42" s="834">
        <f>AVERAGE(F42:AC42)</f>
        <v>37844.333333333336</v>
      </c>
    </row>
    <row r="43" spans="1:30">
      <c r="A43" s="834" t="s">
        <v>10</v>
      </c>
      <c r="B43" s="834" t="s">
        <v>781</v>
      </c>
      <c r="C43" s="834" t="s">
        <v>524</v>
      </c>
      <c r="D43" s="834" t="s">
        <v>674</v>
      </c>
      <c r="E43" s="834" t="s">
        <v>675</v>
      </c>
      <c r="F43" s="834">
        <v>62222</v>
      </c>
      <c r="G43" s="834">
        <v>70029</v>
      </c>
      <c r="H43" s="834">
        <v>68107</v>
      </c>
      <c r="I43" s="834">
        <v>66241</v>
      </c>
      <c r="J43" s="834">
        <v>62222</v>
      </c>
      <c r="K43" s="834">
        <v>63087</v>
      </c>
      <c r="L43" s="834">
        <v>62500</v>
      </c>
      <c r="M43" s="834">
        <v>63114</v>
      </c>
      <c r="N43" s="834">
        <v>63116</v>
      </c>
      <c r="O43" s="834">
        <v>63098</v>
      </c>
      <c r="P43" s="834">
        <v>62500</v>
      </c>
      <c r="Q43" s="834">
        <v>62245</v>
      </c>
      <c r="R43" s="834">
        <v>62857</v>
      </c>
      <c r="S43" s="834">
        <v>62500</v>
      </c>
      <c r="T43" s="834">
        <v>62505</v>
      </c>
      <c r="U43" s="834">
        <v>62467</v>
      </c>
      <c r="V43" s="834">
        <v>62705</v>
      </c>
      <c r="W43" s="834">
        <v>62857</v>
      </c>
      <c r="X43" s="834">
        <v>63006</v>
      </c>
      <c r="Y43" s="834">
        <v>59504</v>
      </c>
      <c r="Z43" s="834">
        <v>56867</v>
      </c>
      <c r="AA43" s="834">
        <v>54698</v>
      </c>
      <c r="AB43" s="834">
        <v>52458</v>
      </c>
      <c r="AC43" s="834">
        <v>38059</v>
      </c>
      <c r="AD43" s="834">
        <f>AVERAGE(F43:AC43)</f>
        <v>61206.833333333336</v>
      </c>
    </row>
    <row r="44" spans="1:30">
      <c r="A44" s="834" t="s">
        <v>10</v>
      </c>
      <c r="B44" s="834" t="s">
        <v>755</v>
      </c>
      <c r="C44" s="834" t="s">
        <v>524</v>
      </c>
      <c r="D44" s="834" t="s">
        <v>674</v>
      </c>
      <c r="E44" s="834" t="s">
        <v>675</v>
      </c>
      <c r="F44" s="834">
        <v>118750</v>
      </c>
      <c r="G44" s="834">
        <v>112301</v>
      </c>
      <c r="H44" s="834">
        <v>111765</v>
      </c>
      <c r="I44" s="834">
        <v>118180</v>
      </c>
      <c r="J44" s="834">
        <v>114648</v>
      </c>
      <c r="K44" s="834">
        <v>115212</v>
      </c>
      <c r="L44" s="834">
        <v>115574</v>
      </c>
      <c r="M44" s="834">
        <v>120289</v>
      </c>
      <c r="N44" s="834">
        <v>121090</v>
      </c>
      <c r="O44" s="834">
        <v>116588</v>
      </c>
      <c r="P44" s="834">
        <v>115892</v>
      </c>
      <c r="Q44" s="834">
        <v>118441</v>
      </c>
      <c r="R44" s="834">
        <v>110266</v>
      </c>
      <c r="S44" s="834">
        <v>91167</v>
      </c>
      <c r="T44" s="834">
        <v>133141</v>
      </c>
      <c r="U44" s="834">
        <v>109240</v>
      </c>
      <c r="V44" s="834">
        <v>111221</v>
      </c>
      <c r="W44" s="834">
        <v>111594</v>
      </c>
      <c r="X44" s="834">
        <v>113722</v>
      </c>
      <c r="Y44" s="834">
        <v>80685</v>
      </c>
      <c r="Z44" s="834">
        <v>79764</v>
      </c>
      <c r="AA44" s="834">
        <v>81824</v>
      </c>
      <c r="AB44" s="834">
        <v>89625</v>
      </c>
      <c r="AC44" s="834">
        <v>93663</v>
      </c>
      <c r="AD44" s="834">
        <f>AVERAGE(F44:AC44)</f>
        <v>108526.75</v>
      </c>
    </row>
    <row r="45" spans="1:30">
      <c r="AD45" s="834">
        <f>AVERAGE(AD40:AD44)</f>
        <v>70880.579166666677</v>
      </c>
    </row>
  </sheetData>
  <pageMargins left="0.7" right="0.7" top="0.75" bottom="0.75" header="0.3" footer="0.3"/>
  <pageSetup orientation="portrait" r:id="rId1"/>
  <tableParts count="5">
    <tablePart r:id="rId2"/>
    <tablePart r:id="rId3"/>
    <tablePart r:id="rId4"/>
    <tablePart r:id="rId5"/>
    <tablePart r:id="rId6"/>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7FE838-0D31-47D6-9C4B-290B01D905CE}">
  <sheetPr>
    <tabColor rgb="FFFFFF00"/>
  </sheetPr>
  <dimension ref="A2:D47"/>
  <sheetViews>
    <sheetView workbookViewId="0">
      <selection activeCell="G13" sqref="G13"/>
    </sheetView>
  </sheetViews>
  <sheetFormatPr defaultRowHeight="12.6"/>
  <cols>
    <col min="1" max="1" width="25.85546875" customWidth="1"/>
    <col min="2" max="2" width="45.140625" customWidth="1"/>
    <col min="3" max="3" width="20.85546875" bestFit="1" customWidth="1"/>
    <col min="4" max="4" width="19.5703125" customWidth="1"/>
  </cols>
  <sheetData>
    <row r="2" spans="1:3" ht="38.450000000000003" customHeight="1">
      <c r="A2" s="811" t="s">
        <v>83</v>
      </c>
    </row>
    <row r="3" spans="1:3" ht="21.6" customHeight="1">
      <c r="B3" s="809" t="s">
        <v>84</v>
      </c>
      <c r="C3" s="809" t="s">
        <v>85</v>
      </c>
    </row>
    <row r="4" spans="1:3" ht="21.6" customHeight="1">
      <c r="B4" s="810" t="s">
        <v>86</v>
      </c>
      <c r="C4" s="817">
        <f>ProgrammeLevelDigesterAnalysis!E12</f>
        <v>28501014.072592586</v>
      </c>
    </row>
    <row r="5" spans="1:3" ht="21.6" customHeight="1">
      <c r="B5" s="810" t="s">
        <v>87</v>
      </c>
      <c r="C5" s="817">
        <f>ProgrammeLevelDigesterAnalysis!J12</f>
        <v>424878.86728717404</v>
      </c>
    </row>
    <row r="6" spans="1:3" ht="24.95">
      <c r="B6" s="810" t="s">
        <v>88</v>
      </c>
      <c r="C6" s="816">
        <f>ProgrammeLevelDigesterAnalysis!B109</f>
        <v>1655154.7493111512</v>
      </c>
    </row>
    <row r="7" spans="1:3" ht="37.5">
      <c r="B7" s="810" t="s">
        <v>89</v>
      </c>
      <c r="C7" s="816">
        <f>ProgrammeLevelDigesterAnalysis!B110</f>
        <v>14539402.024942685</v>
      </c>
    </row>
    <row r="8" spans="1:3" ht="37.5">
      <c r="B8" s="810" t="s">
        <v>90</v>
      </c>
      <c r="C8" s="816">
        <f>ProgrammeLevelDigesterAnalysis!B111</f>
        <v>9826826.5844366029</v>
      </c>
    </row>
    <row r="10" spans="1:3" ht="12.95">
      <c r="B10" s="812" t="s">
        <v>91</v>
      </c>
      <c r="C10" s="814">
        <f>ProgrammeLevelDigesterAnalysis!B113</f>
        <v>3.1482882767005504E-2</v>
      </c>
    </row>
    <row r="11" spans="1:3" ht="24.95">
      <c r="B11" s="813" t="s">
        <v>92</v>
      </c>
      <c r="C11" s="815">
        <f>ProgrammeLevelDigesterAnalysis!B114</f>
        <v>2162520.5670540775</v>
      </c>
    </row>
    <row r="12" spans="1:3" ht="12.95">
      <c r="B12" s="813" t="s">
        <v>93</v>
      </c>
      <c r="C12" s="815">
        <f>ProgrammeLevelDigesterAnalysis!B115</f>
        <v>-3310059.1189407455</v>
      </c>
    </row>
    <row r="13" spans="1:3" ht="12.95">
      <c r="B13" s="813" t="s">
        <v>94</v>
      </c>
      <c r="C13" s="815">
        <f>ProgrammeLevelDigesterAnalysis!B116</f>
        <v>-4079516.359805122</v>
      </c>
    </row>
    <row r="17" spans="1:4" ht="26.1">
      <c r="A17" s="811" t="s">
        <v>95</v>
      </c>
    </row>
    <row r="18" spans="1:4" ht="12.95">
      <c r="B18" s="809" t="s">
        <v>84</v>
      </c>
      <c r="C18" s="809" t="s">
        <v>85</v>
      </c>
    </row>
    <row r="19" spans="1:4">
      <c r="B19" s="810" t="s">
        <v>96</v>
      </c>
      <c r="C19" s="819">
        <f>'ProgrBiogas Electricity Fin Anl'!D3</f>
        <v>10243.630275365131</v>
      </c>
    </row>
    <row r="20" spans="1:4" ht="12.95">
      <c r="B20" s="810" t="s">
        <v>97</v>
      </c>
      <c r="C20" s="815">
        <f>'ProgrBiogas Electricity Fin Anl'!C50</f>
        <v>101443121.39574923</v>
      </c>
    </row>
    <row r="21" spans="1:4" ht="12.95">
      <c r="B21" s="810" t="s">
        <v>98</v>
      </c>
      <c r="C21" s="818">
        <f>'ProgrBiogas Electricity Fin Anl'!D73</f>
        <v>-299218.693942076</v>
      </c>
    </row>
    <row r="23" spans="1:4" ht="12.95">
      <c r="B23" s="812" t="s">
        <v>99</v>
      </c>
      <c r="C23" s="812"/>
      <c r="D23" s="820">
        <f>'ProgrBiogas Electricity Fin Anl'!C158</f>
        <v>7.6414984994286339E-2</v>
      </c>
    </row>
    <row r="24" spans="1:4" ht="12.95">
      <c r="B24" s="812" t="s">
        <v>100</v>
      </c>
      <c r="C24" s="812"/>
      <c r="D24" s="820">
        <f>'ProgrBiogas Electricity Fin Anl'!C159</f>
        <v>5.3446891414332898E-2</v>
      </c>
    </row>
    <row r="25" spans="1:4" ht="24.95">
      <c r="B25" s="873" t="s">
        <v>101</v>
      </c>
      <c r="C25" s="823" t="s">
        <v>102</v>
      </c>
      <c r="D25" s="821">
        <f>'ProgrBiogas Electricity Fin Anl'!D160</f>
        <v>23363229.070601247</v>
      </c>
    </row>
    <row r="26" spans="1:4" ht="12.95">
      <c r="B26" s="874"/>
      <c r="C26" s="823" t="s">
        <v>103</v>
      </c>
      <c r="D26" s="821">
        <f>'ProgrBiogas Electricity Fin Anl'!D161</f>
        <v>-5839611.3312216401</v>
      </c>
    </row>
    <row r="27" spans="1:4" ht="12.95">
      <c r="B27" s="875"/>
      <c r="C27" s="823" t="s">
        <v>104</v>
      </c>
      <c r="D27" s="821">
        <f>'ProgrBiogas Electricity Fin Anl'!D162</f>
        <v>-10510080.765747989</v>
      </c>
    </row>
    <row r="28" spans="1:4" ht="24.95">
      <c r="B28" s="873" t="s">
        <v>105</v>
      </c>
      <c r="C28" s="823" t="str">
        <f>C25</f>
        <v>Cost of Capital Imp Rate</v>
      </c>
      <c r="D28" s="821">
        <f>'ProgrBiogas Electricity Fin Anl'!D163</f>
        <v>14933862.408824721</v>
      </c>
    </row>
    <row r="29" spans="1:4" ht="12.95">
      <c r="B29" s="874"/>
      <c r="C29" s="823" t="str">
        <f>C26</f>
        <v xml:space="preserve">Social Discount </v>
      </c>
      <c r="D29" s="821">
        <f>'ProgrBiogas Electricity Fin Anl'!D164</f>
        <v>-8749660.494703915</v>
      </c>
    </row>
    <row r="30" spans="1:4" ht="12.95">
      <c r="B30" s="875"/>
      <c r="C30" s="823" t="str">
        <f>C27</f>
        <v>ESCO Discount Rate</v>
      </c>
      <c r="D30" s="821">
        <f>'ProgrBiogas Electricity Fin Anl'!D165</f>
        <v>-12345789.818327269</v>
      </c>
    </row>
    <row r="33" spans="1:4" ht="26.1">
      <c r="A33" s="811" t="s">
        <v>106</v>
      </c>
    </row>
    <row r="34" spans="1:4" ht="12.95">
      <c r="B34" s="809" t="s">
        <v>84</v>
      </c>
      <c r="C34" s="809" t="s">
        <v>85</v>
      </c>
    </row>
    <row r="35" spans="1:4" ht="12.95">
      <c r="B35" s="810" t="s">
        <v>107</v>
      </c>
      <c r="C35" s="822">
        <f>'SolarPV Financial Analysis'!D2</f>
        <v>2585.748</v>
      </c>
    </row>
    <row r="36" spans="1:4" ht="12.95">
      <c r="B36" s="810" t="s">
        <v>108</v>
      </c>
      <c r="C36" s="815">
        <f>'SolarPV Financial Analysis'!D3</f>
        <v>14690.26684096154</v>
      </c>
    </row>
    <row r="37" spans="1:4" ht="12.95">
      <c r="B37" s="810" t="s">
        <v>109</v>
      </c>
      <c r="C37" s="815">
        <f>'SolarPV Financial Analysis'!D27</f>
        <v>18568888.840961538</v>
      </c>
    </row>
    <row r="38" spans="1:4" ht="12.95">
      <c r="B38" s="810" t="s">
        <v>98</v>
      </c>
      <c r="C38" s="818">
        <f>'SolarPV Financial Analysis'!D117</f>
        <v>-14738.459880322931</v>
      </c>
    </row>
    <row r="40" spans="1:4" ht="12.95">
      <c r="B40" s="812" t="s">
        <v>99</v>
      </c>
      <c r="C40" s="812"/>
      <c r="D40" s="820">
        <f>'SolarPV Financial Analysis'!C155</f>
        <v>9.8987813236418809E-2</v>
      </c>
    </row>
    <row r="41" spans="1:4" ht="12.95">
      <c r="B41" s="812" t="s">
        <v>100</v>
      </c>
      <c r="C41" s="812"/>
      <c r="D41" s="820">
        <f>'SolarPV Financial Analysis'!C156</f>
        <v>5.9589682679715095E-2</v>
      </c>
    </row>
    <row r="42" spans="1:4" ht="24.95">
      <c r="B42" s="873" t="s">
        <v>101</v>
      </c>
      <c r="C42" s="823" t="s">
        <v>102</v>
      </c>
      <c r="D42" s="821">
        <f>'SolarPV Financial Analysis'!D157</f>
        <v>21215096.59856103</v>
      </c>
    </row>
    <row r="43" spans="1:4" ht="12.95">
      <c r="B43" s="874"/>
      <c r="C43" s="823" t="s">
        <v>103</v>
      </c>
      <c r="D43" s="821">
        <f>'SolarPV Financial Analysis'!D158</f>
        <v>-1904991.0353693969</v>
      </c>
    </row>
    <row r="44" spans="1:4" ht="12.95">
      <c r="B44" s="875"/>
      <c r="C44" s="823" t="s">
        <v>104</v>
      </c>
      <c r="D44" s="821">
        <f>'SolarPV Financial Analysis'!D159</f>
        <v>-5800164.0348353591</v>
      </c>
    </row>
    <row r="45" spans="1:4" ht="24.95">
      <c r="B45" s="873" t="s">
        <v>105</v>
      </c>
      <c r="C45" s="823" t="str">
        <f>C42</f>
        <v>Cost of Capital Imp Rate</v>
      </c>
      <c r="D45" s="821">
        <f>'SolarPV Financial Analysis'!D160</f>
        <v>11391689.726155467</v>
      </c>
    </row>
    <row r="46" spans="1:4" ht="12.95">
      <c r="B46" s="874"/>
      <c r="C46" s="823" t="str">
        <f>C43</f>
        <v xml:space="preserve">Social Discount </v>
      </c>
      <c r="D46" s="821">
        <f>'SolarPV Financial Analysis'!D161</f>
        <v>-5356142.3570404751</v>
      </c>
    </row>
    <row r="47" spans="1:4" ht="12.95">
      <c r="B47" s="875"/>
      <c r="C47" s="823" t="str">
        <f>C44</f>
        <v>ESCO Discount Rate</v>
      </c>
      <c r="D47" s="821">
        <f>'SolarPV Financial Analysis'!D162</f>
        <v>-7999583.0855901372</v>
      </c>
    </row>
  </sheetData>
  <mergeCells count="4">
    <mergeCell ref="B42:B44"/>
    <mergeCell ref="B45:B47"/>
    <mergeCell ref="B25:B27"/>
    <mergeCell ref="B28:B3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5">
    <tabColor rgb="FF00B050"/>
  </sheetPr>
  <dimension ref="B1:F34"/>
  <sheetViews>
    <sheetView topLeftCell="A3" zoomScale="115" zoomScaleNormal="115" workbookViewId="0">
      <selection activeCell="D11" sqref="D11"/>
    </sheetView>
  </sheetViews>
  <sheetFormatPr defaultRowHeight="12.6"/>
  <cols>
    <col min="2" max="2" width="26.42578125" customWidth="1"/>
    <col min="3" max="3" width="20.140625" customWidth="1"/>
    <col min="4" max="4" width="22.42578125" customWidth="1"/>
    <col min="5" max="5" width="26.42578125" customWidth="1"/>
    <col min="6" max="6" width="21" customWidth="1"/>
  </cols>
  <sheetData>
    <row r="1" spans="2:5">
      <c r="B1" s="2" t="s">
        <v>110</v>
      </c>
    </row>
    <row r="2" spans="2:5">
      <c r="B2" t="s">
        <v>111</v>
      </c>
    </row>
    <row r="3" spans="2:5" s="4" customFormat="1" ht="14.45">
      <c r="B3" s="15" t="s">
        <v>112</v>
      </c>
    </row>
    <row r="4" spans="2:5" s="4" customFormat="1" ht="14.45">
      <c r="B4" s="5" t="s">
        <v>113</v>
      </c>
    </row>
    <row r="5" spans="2:5" s="4" customFormat="1" ht="14.45">
      <c r="B5" s="5" t="s">
        <v>114</v>
      </c>
    </row>
    <row r="6" spans="2:5" s="4" customFormat="1" ht="14.45">
      <c r="B6" s="5" t="s">
        <v>115</v>
      </c>
    </row>
    <row r="7" spans="2:5" s="4" customFormat="1" ht="14.45">
      <c r="B7" s="5"/>
    </row>
    <row r="8" spans="2:5" s="4" customFormat="1" ht="14.45">
      <c r="B8" s="5"/>
      <c r="C8" s="4" t="s">
        <v>116</v>
      </c>
    </row>
    <row r="9" spans="2:5">
      <c r="B9" t="s">
        <v>117</v>
      </c>
      <c r="C9" s="2" t="s">
        <v>118</v>
      </c>
      <c r="D9" s="2" t="s">
        <v>119</v>
      </c>
      <c r="E9" s="2" t="s">
        <v>120</v>
      </c>
    </row>
    <row r="10" spans="2:5">
      <c r="B10" t="s">
        <v>121</v>
      </c>
      <c r="C10" s="808">
        <f>'Assump&amp;Est_Togo'!B3+'Assump&amp;Est_Senegal'!B3+'Assump&amp;Est_Guinea'!B3</f>
        <v>4072977</v>
      </c>
      <c r="D10" s="50">
        <f>'Assump&amp;Est_Ethiopia'!C3+'Assump&amp;Est_Togo'!C3+'Assump&amp;Est_Senegal'!C3+'Assump&amp;Est_Guinea'!C3</f>
        <v>0</v>
      </c>
      <c r="E10" s="50">
        <f>'Assump&amp;Est_Togo'!D3+'Assump&amp;Est_Senegal'!D3+'Assump&amp;Est_Guinea'!D3</f>
        <v>92684.7</v>
      </c>
    </row>
    <row r="11" spans="2:5">
      <c r="B11" t="s">
        <v>122</v>
      </c>
      <c r="C11" s="808">
        <f>'Assump&amp;Est_Togo'!B4+'Assump&amp;Est_Senegal'!B4+'Assump&amp;Est_Guinea'!B4</f>
        <v>4201714</v>
      </c>
      <c r="D11" s="50">
        <f>'Assump&amp;Est_Ethiopia'!C4+'Assump&amp;Est_Togo'!C4+'Assump&amp;Est_Senegal'!C4+'Assump&amp;Est_Guinea'!C4</f>
        <v>0</v>
      </c>
      <c r="E11" s="50">
        <f>'Assump&amp;Est_Togo'!D4+'Assump&amp;Est_Senegal'!D4+'Assump&amp;Est_Guinea'!D4</f>
        <v>147146.40000000002</v>
      </c>
    </row>
    <row r="12" spans="2:5">
      <c r="B12" t="s">
        <v>123</v>
      </c>
      <c r="C12" s="808">
        <f>'Assump&amp;Est_Togo'!B5+'Assump&amp;Est_Senegal'!B5+'Assump&amp;Est_Guinea'!B5</f>
        <v>368992</v>
      </c>
      <c r="D12" s="50">
        <f>'Assump&amp;Est_Ethiopia'!C5+'Assump&amp;Est_Togo'!C5+'Assump&amp;Est_Senegal'!C5+'Assump&amp;Est_Guinea'!C5</f>
        <v>0</v>
      </c>
      <c r="E12" s="50">
        <f>'Assump&amp;Est_Togo'!D5+'Assump&amp;Est_Senegal'!D5+'Assump&amp;Est_Guinea'!D5</f>
        <v>21306.010000000002</v>
      </c>
    </row>
    <row r="13" spans="2:5">
      <c r="B13" t="s">
        <v>124</v>
      </c>
      <c r="C13" s="808">
        <f>'Assump&amp;Est_Togo'!B6+'Assump&amp;Est_Senegal'!B6+'Assump&amp;Est_Guinea'!B6</f>
        <v>8269183.5</v>
      </c>
      <c r="D13" s="50">
        <f>'Assump&amp;Est_Ethiopia'!C6+'Assump&amp;Est_Togo'!C6+'Assump&amp;Est_Senegal'!C6+'Assump&amp;Est_Guinea'!C6</f>
        <v>0</v>
      </c>
      <c r="E13" s="50">
        <f>'Assump&amp;Est_Togo'!D6+'Assump&amp;Est_Senegal'!D6+'Assump&amp;Est_Guinea'!D6</f>
        <v>454417.745</v>
      </c>
    </row>
    <row r="14" spans="2:5">
      <c r="C14" s="50"/>
      <c r="D14" s="808"/>
      <c r="E14" s="808"/>
    </row>
    <row r="15" spans="2:5">
      <c r="C15" s="3" t="s">
        <v>125</v>
      </c>
    </row>
    <row r="16" spans="2:5">
      <c r="B16" t="s">
        <v>126</v>
      </c>
      <c r="C16" s="3">
        <f>'Assump&amp;Est_Ethiopia'!B9+'Assump&amp;Est_Togo'!B9+'Assump&amp;Est_Senegal'!B9+'Assump&amp;Est_Guinea'!B9</f>
        <v>0</v>
      </c>
      <c r="D16" s="26"/>
    </row>
    <row r="17" spans="2:6">
      <c r="B17" t="s">
        <v>127</v>
      </c>
      <c r="C17" s="3">
        <f>'Assump&amp;Est_Ethiopia'!B10+'Assump&amp;Est_Togo'!B10+'Assump&amp;Est_Senegal'!B10+'Assump&amp;Est_Guinea'!B10</f>
        <v>0</v>
      </c>
      <c r="D17" s="26"/>
    </row>
    <row r="18" spans="2:6">
      <c r="B18" t="s">
        <v>128</v>
      </c>
      <c r="C18" s="23"/>
      <c r="D18" s="26"/>
    </row>
    <row r="19" spans="2:6">
      <c r="B19" t="s">
        <v>129</v>
      </c>
      <c r="C19" s="3">
        <f>'Assump&amp;Est_Ethiopia'!B12+'Assump&amp;Est_Togo'!B12+'Assump&amp;Est_Senegal'!B12+'Assump&amp;Est_Guinea'!B12</f>
        <v>0</v>
      </c>
      <c r="D19" s="26"/>
    </row>
    <row r="21" spans="2:6">
      <c r="B21" s="651" t="s">
        <v>130</v>
      </c>
    </row>
    <row r="22" spans="2:6" s="1" customFormat="1" ht="24.95">
      <c r="B22" s="652" t="s">
        <v>131</v>
      </c>
      <c r="C22" s="652" t="s">
        <v>132</v>
      </c>
      <c r="D22" s="652" t="s">
        <v>133</v>
      </c>
      <c r="E22" s="652" t="s">
        <v>134</v>
      </c>
      <c r="F22" s="17"/>
    </row>
    <row r="23" spans="2:6">
      <c r="B23" s="18" t="s">
        <v>135</v>
      </c>
      <c r="C23" s="18">
        <f>(10*365)*0.001</f>
        <v>3.65</v>
      </c>
      <c r="D23" s="20">
        <f>(34+90+20.2+25)/4</f>
        <v>42.3</v>
      </c>
      <c r="E23" s="22">
        <f>C23*D23*E10</f>
        <v>14310054.256499998</v>
      </c>
      <c r="F23" s="21"/>
    </row>
    <row r="24" spans="2:6">
      <c r="B24" s="18" t="s">
        <v>136</v>
      </c>
      <c r="C24" s="18">
        <f>(5*365)*0.001</f>
        <v>1.825</v>
      </c>
      <c r="D24" s="20">
        <v>108</v>
      </c>
      <c r="E24" s="22">
        <f>C24*D24*E11</f>
        <v>29002555.440000005</v>
      </c>
      <c r="F24" s="21"/>
    </row>
    <row r="25" spans="2:6">
      <c r="B25" s="18" t="s">
        <v>123</v>
      </c>
      <c r="C25" s="18">
        <f>(5*365)*0.001</f>
        <v>1.825</v>
      </c>
      <c r="D25" s="20">
        <f>(20.4+74.3)/2</f>
        <v>47.349999999999994</v>
      </c>
      <c r="E25" s="22">
        <f>D25*C25*E12</f>
        <v>1841132.2216375</v>
      </c>
      <c r="F25" s="19"/>
    </row>
    <row r="26" spans="2:6">
      <c r="B26" s="18" t="s">
        <v>124</v>
      </c>
      <c r="C26" s="18">
        <f>+(0.1*365)*0.001</f>
        <v>3.6499999999999998E-2</v>
      </c>
      <c r="D26" s="20">
        <f>(80+100)/2</f>
        <v>90</v>
      </c>
      <c r="E26" s="22">
        <f>D26*C26*E13</f>
        <v>1492762.2923249998</v>
      </c>
      <c r="F26" s="19"/>
    </row>
    <row r="27" spans="2:6">
      <c r="B27" s="18" t="s">
        <v>126</v>
      </c>
      <c r="C27" s="18">
        <f>+(0.1*365)*0.001</f>
        <v>3.6499999999999998E-2</v>
      </c>
      <c r="D27" s="20">
        <f>D26</f>
        <v>90</v>
      </c>
      <c r="E27" s="19">
        <f>D27*C27*C16</f>
        <v>0</v>
      </c>
      <c r="F27" s="19"/>
    </row>
    <row r="28" spans="2:6">
      <c r="B28" s="18" t="s">
        <v>137</v>
      </c>
      <c r="C28" s="24">
        <v>0</v>
      </c>
      <c r="D28" s="20">
        <f>(214.1+168.3)/2</f>
        <v>191.2</v>
      </c>
      <c r="E28" s="19">
        <f>D28*C17</f>
        <v>0</v>
      </c>
      <c r="F28" s="19"/>
    </row>
    <row r="29" spans="2:6">
      <c r="B29" s="18" t="s">
        <v>128</v>
      </c>
      <c r="C29" s="24">
        <v>0</v>
      </c>
      <c r="D29" s="20">
        <f>(75.4+126.5)/2</f>
        <v>100.95</v>
      </c>
      <c r="E29" s="19">
        <f>D29*C18</f>
        <v>0</v>
      </c>
      <c r="F29" s="19"/>
    </row>
    <row r="30" spans="2:6">
      <c r="B30" s="18" t="s">
        <v>129</v>
      </c>
      <c r="C30" s="18">
        <f>(0.5*365)*0.001</f>
        <v>0.1825</v>
      </c>
      <c r="D30" s="20">
        <v>64</v>
      </c>
      <c r="E30" s="19">
        <f>'Assump&amp;Est_Ethiopia'!D22+'Assump&amp;Est_Togo'!D22+'Assump&amp;Est_Senegal'!D22+'Assump&amp;Est_Guinea'!D22</f>
        <v>0</v>
      </c>
      <c r="F30" s="19"/>
    </row>
    <row r="31" spans="2:6">
      <c r="B31" s="18" t="s">
        <v>138</v>
      </c>
      <c r="C31" s="18"/>
      <c r="D31" s="18"/>
      <c r="E31" s="19">
        <f>SUM(E23:E30)</f>
        <v>46646504.210462503</v>
      </c>
      <c r="F31" s="19"/>
    </row>
    <row r="32" spans="2:6">
      <c r="B32" s="18" t="s">
        <v>139</v>
      </c>
      <c r="C32" s="18"/>
      <c r="D32" s="18"/>
      <c r="E32" s="22">
        <f>E31/(5.2*365)</f>
        <v>24576.661860096156</v>
      </c>
      <c r="F32" s="19"/>
    </row>
    <row r="34" spans="5:5">
      <c r="E34" s="47"/>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6">
    <tabColor rgb="FF00B050"/>
  </sheetPr>
  <dimension ref="A1:AD136"/>
  <sheetViews>
    <sheetView zoomScale="84" workbookViewId="0">
      <selection activeCell="H12" sqref="H12"/>
    </sheetView>
  </sheetViews>
  <sheetFormatPr defaultColWidth="9.28515625" defaultRowHeight="14.45"/>
  <cols>
    <col min="1" max="1" width="55.5703125" style="4" customWidth="1"/>
    <col min="2" max="2" width="22.140625" style="4" customWidth="1"/>
    <col min="3" max="3" width="15.42578125" style="4" customWidth="1"/>
    <col min="4" max="4" width="23.7109375" style="4" customWidth="1"/>
    <col min="5" max="5" width="19.5703125" style="4" customWidth="1"/>
    <col min="6" max="6" width="21.5703125" style="4" customWidth="1"/>
    <col min="7" max="7" width="18.42578125" style="4" customWidth="1"/>
    <col min="8" max="8" width="18.140625" style="4" customWidth="1"/>
    <col min="9" max="9" width="17.28515625" style="4" customWidth="1"/>
    <col min="10" max="10" width="19.85546875" style="4" customWidth="1"/>
    <col min="11" max="11" width="21.42578125" style="4" customWidth="1"/>
    <col min="12" max="12" width="21" style="4" customWidth="1"/>
    <col min="13" max="13" width="20.5703125" style="4" customWidth="1"/>
    <col min="14" max="14" width="17.5703125" style="4" customWidth="1"/>
    <col min="15" max="15" width="19.5703125" style="4" customWidth="1"/>
    <col min="16" max="16" width="22.28515625" style="4" customWidth="1"/>
    <col min="17" max="17" width="18.85546875" style="4" customWidth="1"/>
    <col min="18" max="18" width="17.140625" style="4" customWidth="1"/>
    <col min="19" max="19" width="19.28515625" style="4" customWidth="1"/>
    <col min="20" max="20" width="21" style="4" customWidth="1"/>
    <col min="21" max="21" width="16.85546875" style="4" customWidth="1"/>
    <col min="22" max="22" width="19.42578125" style="4" customWidth="1"/>
    <col min="23" max="23" width="19.140625" style="4" customWidth="1"/>
    <col min="24" max="24" width="17.140625" style="4" customWidth="1"/>
    <col min="25" max="25" width="19.5703125" style="4" customWidth="1"/>
    <col min="26" max="27" width="21.28515625" style="4" customWidth="1"/>
    <col min="28" max="28" width="18.85546875" style="4" customWidth="1"/>
    <col min="29" max="16384" width="9.28515625" style="4"/>
  </cols>
  <sheetData>
    <row r="1" spans="1:14">
      <c r="A1" s="5"/>
    </row>
    <row r="2" spans="1:14" ht="26.1">
      <c r="A2" s="9" t="s">
        <v>140</v>
      </c>
    </row>
    <row r="3" spans="1:14" s="34" customFormat="1" ht="77.099999999999994" customHeight="1">
      <c r="A3" s="876" t="s">
        <v>131</v>
      </c>
      <c r="B3" s="36" t="s">
        <v>141</v>
      </c>
      <c r="C3" s="37" t="s">
        <v>142</v>
      </c>
      <c r="D3" s="37" t="s">
        <v>143</v>
      </c>
      <c r="E3" s="37" t="s">
        <v>86</v>
      </c>
      <c r="F3" s="37" t="s">
        <v>144</v>
      </c>
      <c r="G3" s="36" t="s">
        <v>145</v>
      </c>
      <c r="H3" s="48" t="s">
        <v>146</v>
      </c>
      <c r="I3" s="36" t="s">
        <v>147</v>
      </c>
      <c r="J3" s="36" t="s">
        <v>148</v>
      </c>
      <c r="K3" s="35"/>
      <c r="L3" s="35"/>
      <c r="M3" s="35"/>
      <c r="N3" s="35"/>
    </row>
    <row r="4" spans="1:14">
      <c r="A4" s="876"/>
      <c r="B4" s="39" t="s">
        <v>149</v>
      </c>
      <c r="C4" s="39" t="s">
        <v>150</v>
      </c>
      <c r="D4" s="39" t="s">
        <v>151</v>
      </c>
      <c r="E4" s="40" t="s">
        <v>152</v>
      </c>
      <c r="F4" s="40" t="s">
        <v>153</v>
      </c>
      <c r="G4" s="40" t="s">
        <v>154</v>
      </c>
      <c r="H4" s="41" t="s">
        <v>155</v>
      </c>
      <c r="I4" s="41" t="s">
        <v>155</v>
      </c>
      <c r="J4" s="41" t="s">
        <v>155</v>
      </c>
      <c r="K4" s="6"/>
      <c r="L4" s="6"/>
      <c r="M4" s="6"/>
      <c r="N4" s="6"/>
    </row>
    <row r="5" spans="1:14">
      <c r="A5" s="36" t="s">
        <v>135</v>
      </c>
      <c r="B5" s="38">
        <f>'Assump&amp;Est_Togo'!D16+'Assump&amp;Est_Senegal'!D16+'Assump&amp;Est_Guinea'!D16</f>
        <v>14310054.256499998</v>
      </c>
      <c r="C5" s="38">
        <f t="shared" ref="C5:C11" si="0">+B5*0.94</f>
        <v>13451451.001109997</v>
      </c>
      <c r="D5" s="38">
        <v>0.65</v>
      </c>
      <c r="E5" s="38">
        <f>C5*D5</f>
        <v>8743443.1507214978</v>
      </c>
      <c r="F5" s="38">
        <f>E5*0.67</f>
        <v>5858106.9109834041</v>
      </c>
      <c r="G5" s="38">
        <f>F5/1000</f>
        <v>5858.1069109834043</v>
      </c>
      <c r="H5" s="42">
        <f>+G5*25</f>
        <v>146452.67277458511</v>
      </c>
      <c r="I5" s="42">
        <f>+G5*(44/16)</f>
        <v>16109.794005204361</v>
      </c>
      <c r="J5" s="42">
        <f>H5-I5</f>
        <v>130342.87876938075</v>
      </c>
      <c r="K5" s="6"/>
      <c r="L5" s="6"/>
      <c r="M5" s="6"/>
      <c r="N5" s="6"/>
    </row>
    <row r="6" spans="1:14">
      <c r="A6" s="36" t="s">
        <v>156</v>
      </c>
      <c r="B6" s="38">
        <f>'Assump&amp;Est_Togo'!D17+'Assump&amp;Est_Senegal'!D17+'Assump&amp;Est_Guinea'!D17</f>
        <v>29002555.440000001</v>
      </c>
      <c r="C6" s="38">
        <f t="shared" si="0"/>
        <v>27262402.113600001</v>
      </c>
      <c r="D6" s="38">
        <v>0.65</v>
      </c>
      <c r="E6" s="38">
        <f>C6*D6</f>
        <v>17720561.37384</v>
      </c>
      <c r="F6" s="38">
        <f t="shared" ref="F6:F11" si="1">E6*0.67</f>
        <v>11872776.120472802</v>
      </c>
      <c r="G6" s="38">
        <f t="shared" ref="G6:G11" si="2">F6/1000</f>
        <v>11872.776120472801</v>
      </c>
      <c r="H6" s="42">
        <f t="shared" ref="H6:H11" si="3">+G6*25</f>
        <v>296819.40301182005</v>
      </c>
      <c r="I6" s="42">
        <f t="shared" ref="I6:I11" si="4">+G6*(44/16)</f>
        <v>32650.134331300203</v>
      </c>
      <c r="J6" s="42">
        <f t="shared" ref="J6:J11" si="5">H6-I6</f>
        <v>264169.26868051983</v>
      </c>
      <c r="K6" s="6"/>
      <c r="L6" s="6"/>
      <c r="M6" s="6"/>
      <c r="N6" s="6"/>
    </row>
    <row r="7" spans="1:14">
      <c r="A7" s="36" t="s">
        <v>157</v>
      </c>
      <c r="B7" s="38">
        <f>'Assump&amp;Est_Togo'!D18+'Assump&amp;Est_Senegal'!D18+'Assump&amp;Est_Guinea'!D18</f>
        <v>1841132.2216375</v>
      </c>
      <c r="C7" s="38">
        <f t="shared" si="0"/>
        <v>1730664.2883392498</v>
      </c>
      <c r="D7" s="38">
        <v>0.65</v>
      </c>
      <c r="E7" s="38">
        <f>C7*D7</f>
        <v>1124931.7874205124</v>
      </c>
      <c r="F7" s="38">
        <f t="shared" si="1"/>
        <v>753704.29757174337</v>
      </c>
      <c r="G7" s="38">
        <f t="shared" si="2"/>
        <v>753.70429757174338</v>
      </c>
      <c r="H7" s="42">
        <f t="shared" si="3"/>
        <v>18842.607439293584</v>
      </c>
      <c r="I7" s="42">
        <f t="shared" si="4"/>
        <v>2072.6868183222941</v>
      </c>
      <c r="J7" s="42">
        <f t="shared" si="5"/>
        <v>16769.92062097129</v>
      </c>
      <c r="K7" s="6"/>
      <c r="L7" s="6"/>
      <c r="M7" s="6"/>
      <c r="N7" s="6"/>
    </row>
    <row r="8" spans="1:14">
      <c r="A8" s="36" t="s">
        <v>158</v>
      </c>
      <c r="B8" s="38">
        <f>'Assump&amp;Est_Togo'!D19+'Assump&amp;Est_Senegal'!D19+'Assump&amp;Est_Guinea'!D19</f>
        <v>1492762.292325</v>
      </c>
      <c r="C8" s="38">
        <f t="shared" si="0"/>
        <v>1403196.5547855</v>
      </c>
      <c r="D8" s="38">
        <v>0.65</v>
      </c>
      <c r="E8" s="38">
        <f t="shared" ref="E8:E11" si="6">C8*D8</f>
        <v>912077.76061057509</v>
      </c>
      <c r="F8" s="38">
        <f t="shared" si="1"/>
        <v>611092.09960908536</v>
      </c>
      <c r="G8" s="38">
        <f t="shared" si="2"/>
        <v>611.09209960908538</v>
      </c>
      <c r="H8" s="42">
        <f t="shared" si="3"/>
        <v>15277.302490227135</v>
      </c>
      <c r="I8" s="42">
        <f t="shared" si="4"/>
        <v>1680.5032739249848</v>
      </c>
      <c r="J8" s="42">
        <f t="shared" si="5"/>
        <v>13596.79921630215</v>
      </c>
      <c r="K8" s="6"/>
      <c r="L8" s="6"/>
      <c r="M8" s="6"/>
      <c r="N8" s="6"/>
    </row>
    <row r="9" spans="1:14">
      <c r="A9" s="36" t="s">
        <v>126</v>
      </c>
      <c r="B9" s="38">
        <f>+'Assump&amp;Est_Ethiopia'!D20+'Assump&amp;Est_Togo'!D20+'Assump&amp;Est_Senegal'!D20+'Assump&amp;Est_Guinea'!D20</f>
        <v>0</v>
      </c>
      <c r="C9" s="38">
        <f t="shared" si="0"/>
        <v>0</v>
      </c>
      <c r="D9" s="38">
        <v>0.71</v>
      </c>
      <c r="E9" s="38">
        <f t="shared" si="6"/>
        <v>0</v>
      </c>
      <c r="F9" s="38">
        <f t="shared" si="1"/>
        <v>0</v>
      </c>
      <c r="G9" s="38">
        <f t="shared" si="2"/>
        <v>0</v>
      </c>
      <c r="H9" s="42">
        <f t="shared" si="3"/>
        <v>0</v>
      </c>
      <c r="I9" s="42">
        <f>+G9*(44/16)</f>
        <v>0</v>
      </c>
      <c r="J9" s="42">
        <f t="shared" si="5"/>
        <v>0</v>
      </c>
      <c r="K9" s="6"/>
      <c r="L9" s="6"/>
      <c r="M9" s="6"/>
      <c r="N9" s="6"/>
    </row>
    <row r="10" spans="1:14">
      <c r="A10" s="36" t="s">
        <v>159</v>
      </c>
      <c r="B10" s="38">
        <f>+'Assump&amp;Est_Ethiopia'!D21+'Assump&amp;Est_Togo'!D21+'Assump&amp;Est_Senegal'!D21+'Assump&amp;Est_Guinea'!D21</f>
        <v>0</v>
      </c>
      <c r="C10" s="38">
        <f t="shared" si="0"/>
        <v>0</v>
      </c>
      <c r="D10" s="38">
        <f>+(0.7+0.63)/2</f>
        <v>0.66500000000000004</v>
      </c>
      <c r="E10" s="38">
        <f t="shared" si="6"/>
        <v>0</v>
      </c>
      <c r="F10" s="38">
        <f t="shared" si="1"/>
        <v>0</v>
      </c>
      <c r="G10" s="38">
        <f t="shared" si="2"/>
        <v>0</v>
      </c>
      <c r="H10" s="42">
        <f>+G10*25</f>
        <v>0</v>
      </c>
      <c r="I10" s="42">
        <f t="shared" si="4"/>
        <v>0</v>
      </c>
      <c r="J10" s="42">
        <f t="shared" si="5"/>
        <v>0</v>
      </c>
      <c r="K10" s="6"/>
      <c r="L10" s="6"/>
      <c r="M10" s="6"/>
      <c r="N10" s="6"/>
    </row>
    <row r="11" spans="1:14">
      <c r="A11" s="36" t="s">
        <v>160</v>
      </c>
      <c r="B11" s="38">
        <f>+'Assump&amp;Est_Ethiopia'!D22+'Assump&amp;Est_Togo'!D22+'Assump&amp;Est_Senegal'!D22+'Assump&amp;Est_Guinea'!D22</f>
        <v>0</v>
      </c>
      <c r="C11" s="38">
        <f t="shared" si="0"/>
        <v>0</v>
      </c>
      <c r="D11" s="38">
        <v>0.65</v>
      </c>
      <c r="E11" s="38">
        <f t="shared" si="6"/>
        <v>0</v>
      </c>
      <c r="F11" s="38">
        <f t="shared" si="1"/>
        <v>0</v>
      </c>
      <c r="G11" s="38">
        <f t="shared" si="2"/>
        <v>0</v>
      </c>
      <c r="H11" s="42">
        <f t="shared" si="3"/>
        <v>0</v>
      </c>
      <c r="I11" s="42">
        <f t="shared" si="4"/>
        <v>0</v>
      </c>
      <c r="J11" s="42">
        <f t="shared" si="5"/>
        <v>0</v>
      </c>
      <c r="K11" s="6"/>
      <c r="L11" s="6"/>
      <c r="M11" s="6"/>
      <c r="N11" s="6"/>
    </row>
    <row r="12" spans="1:14">
      <c r="A12" s="36" t="s">
        <v>12</v>
      </c>
      <c r="B12" s="43">
        <f>SUM(B5:B11)</f>
        <v>46646504.210462503</v>
      </c>
      <c r="C12" s="43">
        <f>SUM(C5:C11)</f>
        <v>43847713.957834743</v>
      </c>
      <c r="D12" s="43"/>
      <c r="E12" s="45">
        <f t="shared" ref="E12:J12" si="7">SUM(E5:E11)</f>
        <v>28501014.072592586</v>
      </c>
      <c r="F12" s="43">
        <f t="shared" si="7"/>
        <v>19095679.428637035</v>
      </c>
      <c r="G12" s="43">
        <f t="shared" si="7"/>
        <v>19095.679428637039</v>
      </c>
      <c r="H12" s="44">
        <f t="shared" si="7"/>
        <v>477391.98571592587</v>
      </c>
      <c r="I12" s="44">
        <f t="shared" si="7"/>
        <v>52513.118428751841</v>
      </c>
      <c r="J12" s="46">
        <f>SUM(J5:J11)</f>
        <v>424878.86728717404</v>
      </c>
      <c r="K12" s="6"/>
      <c r="L12" s="6"/>
      <c r="M12" s="6"/>
      <c r="N12" s="6"/>
    </row>
    <row r="13" spans="1:14">
      <c r="A13" s="7"/>
      <c r="B13" s="653"/>
      <c r="C13" s="653"/>
      <c r="D13" s="653"/>
      <c r="E13" s="654"/>
      <c r="F13" s="653"/>
      <c r="G13" s="653"/>
      <c r="H13" s="655"/>
      <c r="I13" s="655"/>
      <c r="J13" s="656"/>
      <c r="K13" s="6"/>
      <c r="L13" s="6"/>
      <c r="M13" s="6"/>
      <c r="N13" s="6"/>
    </row>
    <row r="14" spans="1:14">
      <c r="A14" s="9" t="s">
        <v>161</v>
      </c>
      <c r="B14" s="657" t="s">
        <v>162</v>
      </c>
      <c r="C14" s="657" t="s">
        <v>163</v>
      </c>
      <c r="D14" s="653"/>
      <c r="E14" s="654"/>
      <c r="F14" s="653"/>
      <c r="G14" s="653"/>
      <c r="H14" s="655"/>
      <c r="I14" s="655"/>
      <c r="J14" s="656"/>
      <c r="K14" s="6"/>
      <c r="L14" s="6"/>
      <c r="M14" s="6"/>
      <c r="N14" s="6"/>
    </row>
    <row r="15" spans="1:14">
      <c r="A15" s="7" t="s">
        <v>164</v>
      </c>
      <c r="B15" s="653">
        <v>0.65</v>
      </c>
      <c r="C15" s="653" t="s">
        <v>165</v>
      </c>
      <c r="D15" s="653"/>
      <c r="E15" s="654"/>
      <c r="F15" s="653"/>
      <c r="G15" s="653"/>
      <c r="H15" s="655"/>
      <c r="I15" s="655"/>
      <c r="J15" s="656"/>
      <c r="K15" s="6"/>
      <c r="L15" s="6"/>
      <c r="M15" s="6"/>
      <c r="N15" s="6"/>
    </row>
    <row r="16" spans="1:14">
      <c r="A16" s="7" t="s">
        <v>166</v>
      </c>
      <c r="B16" s="653">
        <v>34</v>
      </c>
      <c r="C16" s="653" t="s">
        <v>167</v>
      </c>
      <c r="D16" s="653"/>
      <c r="E16" s="654"/>
      <c r="F16" s="653"/>
      <c r="G16" s="653"/>
      <c r="H16" s="655"/>
      <c r="I16" s="655"/>
      <c r="J16" s="656"/>
      <c r="K16" s="6"/>
      <c r="L16" s="6"/>
      <c r="M16" s="6"/>
      <c r="N16" s="6"/>
    </row>
    <row r="17" spans="1:14">
      <c r="A17" s="7" t="s">
        <v>168</v>
      </c>
      <c r="B17" s="653">
        <v>21</v>
      </c>
      <c r="C17" s="653" t="s">
        <v>169</v>
      </c>
      <c r="D17" s="653"/>
      <c r="E17" s="654"/>
      <c r="F17" s="653"/>
      <c r="G17" s="653"/>
      <c r="H17" s="655"/>
      <c r="I17" s="655"/>
      <c r="J17" s="656"/>
      <c r="K17" s="6"/>
      <c r="L17" s="6"/>
      <c r="M17" s="6"/>
      <c r="N17" s="6"/>
    </row>
    <row r="18" spans="1:14">
      <c r="A18" s="7" t="s">
        <v>170</v>
      </c>
      <c r="B18" s="653">
        <v>6</v>
      </c>
      <c r="C18" s="659" t="s">
        <v>171</v>
      </c>
      <c r="D18" s="653"/>
      <c r="E18" s="654"/>
      <c r="F18" s="653"/>
      <c r="G18" s="653"/>
      <c r="H18" s="655"/>
      <c r="I18" s="655"/>
      <c r="J18" s="656"/>
      <c r="K18" s="6"/>
      <c r="L18" s="6"/>
      <c r="M18" s="6"/>
      <c r="N18" s="6"/>
    </row>
    <row r="19" spans="1:14">
      <c r="A19" s="7" t="s">
        <v>172</v>
      </c>
      <c r="B19" s="653">
        <v>8060</v>
      </c>
      <c r="C19" s="653" t="s">
        <v>165</v>
      </c>
      <c r="D19" s="653"/>
      <c r="E19" s="654"/>
      <c r="F19" s="653"/>
      <c r="G19" s="653"/>
      <c r="H19" s="655"/>
      <c r="I19" s="655"/>
      <c r="J19" s="656"/>
      <c r="K19" s="6"/>
      <c r="L19" s="6"/>
      <c r="M19" s="6"/>
      <c r="N19" s="6"/>
    </row>
    <row r="20" spans="1:14">
      <c r="A20" s="7" t="s">
        <v>173</v>
      </c>
      <c r="B20" s="653">
        <v>16</v>
      </c>
      <c r="C20" s="653" t="s">
        <v>174</v>
      </c>
      <c r="D20" s="653"/>
      <c r="E20" s="654"/>
      <c r="F20" s="653"/>
      <c r="G20" s="653"/>
      <c r="H20" s="655"/>
      <c r="I20" s="655"/>
      <c r="J20" s="656"/>
      <c r="K20" s="6"/>
      <c r="L20" s="6"/>
      <c r="M20" s="6"/>
      <c r="N20" s="6"/>
    </row>
    <row r="21" spans="1:14">
      <c r="A21" s="7" t="s">
        <v>175</v>
      </c>
      <c r="B21" s="653">
        <v>43</v>
      </c>
      <c r="C21" s="653" t="s">
        <v>174</v>
      </c>
      <c r="D21" s="653"/>
      <c r="E21" s="654"/>
      <c r="F21" s="653"/>
      <c r="G21" s="653"/>
      <c r="H21" s="655"/>
      <c r="I21" s="655"/>
      <c r="J21" s="656"/>
      <c r="K21" s="6"/>
      <c r="L21" s="6"/>
      <c r="M21" s="6"/>
      <c r="N21" s="6"/>
    </row>
    <row r="22" spans="1:14">
      <c r="A22" s="7" t="s">
        <v>176</v>
      </c>
      <c r="B22" s="661">
        <v>0.6</v>
      </c>
      <c r="C22" s="653" t="s">
        <v>174</v>
      </c>
      <c r="D22" s="653"/>
      <c r="E22" s="654"/>
      <c r="F22" s="653"/>
      <c r="G22" s="653"/>
      <c r="H22" s="655"/>
      <c r="I22" s="655"/>
      <c r="J22" s="656"/>
      <c r="K22" s="6"/>
      <c r="L22" s="6"/>
      <c r="M22" s="6"/>
      <c r="N22" s="6"/>
    </row>
    <row r="23" spans="1:14">
      <c r="A23" s="7" t="s">
        <v>177</v>
      </c>
      <c r="B23" s="661">
        <v>0.06</v>
      </c>
      <c r="C23" s="653" t="s">
        <v>174</v>
      </c>
      <c r="D23" s="653"/>
      <c r="E23" s="654"/>
      <c r="F23" s="653"/>
      <c r="G23" s="653"/>
      <c r="H23" s="655"/>
      <c r="I23" s="655"/>
      <c r="J23" s="656"/>
      <c r="K23" s="6"/>
      <c r="L23" s="6"/>
      <c r="M23" s="6"/>
      <c r="N23" s="6"/>
    </row>
    <row r="24" spans="1:14">
      <c r="A24" s="7" t="s">
        <v>178</v>
      </c>
      <c r="B24" s="661">
        <v>0.15</v>
      </c>
      <c r="C24" s="653" t="s">
        <v>174</v>
      </c>
      <c r="D24" s="653"/>
      <c r="E24" s="654"/>
      <c r="F24" s="653"/>
      <c r="G24" s="653"/>
      <c r="H24" s="655"/>
      <c r="I24" s="655"/>
      <c r="J24" s="656"/>
      <c r="K24" s="6"/>
      <c r="L24" s="6"/>
      <c r="M24" s="6"/>
      <c r="N24" s="6"/>
    </row>
    <row r="25" spans="1:14">
      <c r="A25" s="7" t="s">
        <v>179</v>
      </c>
      <c r="B25" s="661">
        <v>0.8</v>
      </c>
      <c r="C25" s="653" t="s">
        <v>174</v>
      </c>
      <c r="D25" s="653"/>
      <c r="E25" s="654"/>
      <c r="F25" s="653"/>
      <c r="G25" s="653"/>
      <c r="H25" s="655"/>
      <c r="I25" s="655"/>
      <c r="J25" s="656"/>
      <c r="K25" s="6"/>
      <c r="L25" s="6"/>
      <c r="M25" s="6"/>
      <c r="N25" s="6"/>
    </row>
    <row r="26" spans="1:14">
      <c r="A26" s="7" t="s">
        <v>180</v>
      </c>
      <c r="B26" s="661">
        <v>0.54963053796718997</v>
      </c>
      <c r="C26" s="653" t="s">
        <v>174</v>
      </c>
      <c r="D26" s="653"/>
      <c r="E26" s="654"/>
      <c r="F26" s="653"/>
      <c r="G26" s="653"/>
      <c r="H26" s="655"/>
      <c r="I26" s="655"/>
      <c r="J26" s="656"/>
      <c r="K26" s="6"/>
      <c r="L26" s="6"/>
      <c r="M26" s="6"/>
      <c r="N26" s="6"/>
    </row>
    <row r="27" spans="1:14">
      <c r="A27" s="5" t="s">
        <v>181</v>
      </c>
      <c r="B27" s="845">
        <v>0.3</v>
      </c>
      <c r="C27" s="846" t="s">
        <v>182</v>
      </c>
      <c r="D27" s="13"/>
      <c r="E27" s="13"/>
      <c r="F27" s="13"/>
      <c r="H27" s="6"/>
      <c r="I27" s="6"/>
      <c r="J27" s="6"/>
      <c r="K27" s="6"/>
      <c r="L27" s="6"/>
      <c r="M27" s="6"/>
      <c r="N27" s="6"/>
    </row>
    <row r="28" spans="1:14">
      <c r="A28" s="5" t="s">
        <v>183</v>
      </c>
      <c r="B28" s="847">
        <v>300</v>
      </c>
      <c r="C28" s="846" t="s">
        <v>184</v>
      </c>
      <c r="D28" s="13"/>
      <c r="E28" s="13"/>
      <c r="F28" s="13"/>
      <c r="H28" s="6"/>
      <c r="I28" s="6"/>
      <c r="J28" s="6"/>
      <c r="K28" s="6"/>
      <c r="L28" s="6"/>
      <c r="M28" s="6"/>
      <c r="N28" s="6"/>
    </row>
    <row r="29" spans="1:14">
      <c r="A29" s="5" t="s">
        <v>185</v>
      </c>
      <c r="B29" s="847">
        <v>0.22</v>
      </c>
      <c r="C29" s="846" t="s">
        <v>186</v>
      </c>
      <c r="D29" s="13"/>
      <c r="E29" s="13"/>
      <c r="F29" s="13"/>
      <c r="H29" s="6"/>
      <c r="I29" s="6"/>
      <c r="J29" s="6"/>
      <c r="K29" s="6"/>
      <c r="L29" s="6"/>
      <c r="M29" s="6"/>
      <c r="N29" s="6"/>
    </row>
    <row r="30" spans="1:14">
      <c r="A30" s="7" t="s">
        <v>187</v>
      </c>
      <c r="B30" s="662">
        <v>1.6</v>
      </c>
      <c r="C30" s="653" t="s">
        <v>188</v>
      </c>
      <c r="D30" s="653"/>
      <c r="E30" s="654"/>
      <c r="F30" s="653"/>
      <c r="G30" s="653"/>
      <c r="H30" s="655"/>
      <c r="I30" s="655"/>
      <c r="J30" s="656"/>
      <c r="K30" s="6"/>
      <c r="L30" s="6"/>
      <c r="M30" s="6"/>
      <c r="N30" s="6"/>
    </row>
    <row r="31" spans="1:14">
      <c r="A31" s="7" t="s">
        <v>189</v>
      </c>
      <c r="B31" s="662">
        <v>1</v>
      </c>
      <c r="C31" s="653" t="s">
        <v>174</v>
      </c>
      <c r="D31" s="653"/>
      <c r="E31" s="654"/>
      <c r="F31" s="653"/>
      <c r="G31" s="653"/>
      <c r="H31" s="655"/>
      <c r="I31" s="655"/>
      <c r="J31" s="656"/>
      <c r="K31" s="6"/>
      <c r="L31" s="6"/>
      <c r="M31" s="6"/>
      <c r="N31" s="6"/>
    </row>
    <row r="32" spans="1:14" ht="19.5" customHeight="1">
      <c r="A32" s="7" t="s">
        <v>190</v>
      </c>
      <c r="B32" s="663">
        <v>278</v>
      </c>
      <c r="C32" s="653" t="s">
        <v>191</v>
      </c>
      <c r="D32" s="653"/>
      <c r="E32" s="654"/>
      <c r="F32" s="653"/>
      <c r="G32" s="653"/>
      <c r="H32" s="655"/>
      <c r="I32" s="655"/>
      <c r="J32" s="656"/>
      <c r="K32" s="6"/>
      <c r="L32" s="6"/>
      <c r="M32" s="6"/>
      <c r="N32" s="6"/>
    </row>
    <row r="33" spans="1:14">
      <c r="A33" s="7" t="s">
        <v>192</v>
      </c>
      <c r="B33" s="663">
        <v>0.25</v>
      </c>
      <c r="C33" s="653" t="s">
        <v>174</v>
      </c>
      <c r="D33" s="653"/>
      <c r="E33" s="654"/>
      <c r="F33" s="653"/>
      <c r="G33" s="653"/>
      <c r="H33" s="655"/>
      <c r="I33" s="655"/>
      <c r="J33" s="656"/>
      <c r="K33" s="6"/>
      <c r="L33" s="6"/>
      <c r="M33" s="6"/>
      <c r="N33" s="6"/>
    </row>
    <row r="34" spans="1:14">
      <c r="A34" s="7" t="s">
        <v>193</v>
      </c>
      <c r="B34" s="687">
        <v>2.0000000000000001E-4</v>
      </c>
      <c r="C34" s="653" t="s">
        <v>194</v>
      </c>
      <c r="D34" s="653"/>
      <c r="E34" s="654"/>
      <c r="F34" s="653"/>
      <c r="G34" s="653"/>
      <c r="H34" s="655"/>
      <c r="I34" s="655"/>
      <c r="J34" s="656"/>
      <c r="K34" s="6"/>
      <c r="L34" s="6"/>
      <c r="M34" s="6"/>
      <c r="N34" s="6"/>
    </row>
    <row r="35" spans="1:14">
      <c r="A35" s="7" t="s">
        <v>195</v>
      </c>
      <c r="B35" s="653">
        <v>0.1</v>
      </c>
      <c r="C35" s="653"/>
      <c r="D35" s="653"/>
      <c r="E35" s="654"/>
      <c r="F35" s="653"/>
      <c r="G35" s="653"/>
      <c r="H35" s="655"/>
      <c r="I35" s="655"/>
      <c r="J35" s="656"/>
      <c r="K35" s="6"/>
      <c r="L35" s="6"/>
      <c r="M35" s="6"/>
      <c r="N35" s="6"/>
    </row>
    <row r="36" spans="1:14" ht="17.45" customHeight="1">
      <c r="A36" s="7" t="s">
        <v>196</v>
      </c>
      <c r="B36" s="653">
        <v>0.1</v>
      </c>
      <c r="C36" s="653"/>
      <c r="D36" s="653"/>
      <c r="E36" s="654"/>
      <c r="F36" s="653"/>
      <c r="G36" s="653"/>
      <c r="H36" s="655"/>
      <c r="I36" s="655"/>
      <c r="J36" s="656"/>
      <c r="K36" s="6"/>
      <c r="L36" s="6"/>
      <c r="M36" s="6"/>
      <c r="N36" s="6"/>
    </row>
    <row r="37" spans="1:14">
      <c r="A37" s="7" t="s">
        <v>197</v>
      </c>
      <c r="B37" s="653">
        <v>0.01</v>
      </c>
      <c r="C37" s="653"/>
      <c r="D37" s="653"/>
      <c r="E37" s="654"/>
      <c r="F37" s="653"/>
      <c r="G37" s="653"/>
      <c r="H37" s="655"/>
      <c r="I37" s="655"/>
      <c r="J37" s="656"/>
      <c r="K37" s="6"/>
      <c r="L37" s="6"/>
      <c r="M37" s="6"/>
      <c r="N37" s="6"/>
    </row>
    <row r="38" spans="1:14">
      <c r="A38" s="7" t="s">
        <v>198</v>
      </c>
      <c r="B38" s="653">
        <v>852.11300000000006</v>
      </c>
      <c r="C38" s="653"/>
      <c r="D38" s="653"/>
      <c r="E38" s="654"/>
      <c r="F38" s="653"/>
      <c r="H38" s="655"/>
      <c r="I38" s="655"/>
      <c r="J38" s="656"/>
      <c r="K38" s="6"/>
      <c r="L38" s="6"/>
      <c r="M38" s="6"/>
      <c r="N38" s="6"/>
    </row>
    <row r="39" spans="1:14">
      <c r="A39" s="7" t="s">
        <v>199</v>
      </c>
      <c r="B39" s="672">
        <v>1.1739999999999999E-3</v>
      </c>
      <c r="C39" s="653"/>
      <c r="D39" s="653"/>
      <c r="E39" s="654"/>
      <c r="F39" s="653"/>
      <c r="H39" s="655"/>
      <c r="I39" s="655"/>
      <c r="J39" s="656"/>
      <c r="K39" s="6"/>
      <c r="L39" s="6"/>
      <c r="M39" s="6"/>
      <c r="N39" s="6"/>
    </row>
    <row r="40" spans="1:14">
      <c r="A40" s="7" t="s">
        <v>200</v>
      </c>
      <c r="B40" s="672">
        <v>1E-3</v>
      </c>
      <c r="C40" s="653"/>
      <c r="D40" s="653"/>
      <c r="E40" s="654"/>
      <c r="F40" s="653"/>
      <c r="H40" s="655"/>
      <c r="I40" s="655"/>
      <c r="J40" s="656"/>
      <c r="K40" s="6"/>
      <c r="L40" s="6"/>
      <c r="M40" s="6"/>
      <c r="N40" s="6"/>
    </row>
    <row r="41" spans="1:14">
      <c r="A41" s="7" t="s">
        <v>201</v>
      </c>
      <c r="B41" s="671">
        <v>2.8319999999999999</v>
      </c>
      <c r="C41" s="653"/>
      <c r="D41" s="653"/>
      <c r="E41" s="654"/>
      <c r="F41" s="653"/>
      <c r="H41" s="655"/>
      <c r="I41" s="655"/>
      <c r="J41" s="656"/>
      <c r="K41" s="6"/>
      <c r="L41" s="6"/>
      <c r="M41" s="6"/>
      <c r="N41" s="6"/>
    </row>
    <row r="42" spans="1:14">
      <c r="A42" s="7" t="s">
        <v>202</v>
      </c>
      <c r="B42" s="671">
        <v>1000000</v>
      </c>
      <c r="C42" s="653"/>
      <c r="D42" s="653"/>
      <c r="E42" s="654"/>
      <c r="F42" s="653"/>
      <c r="H42" s="655"/>
      <c r="I42" s="655"/>
      <c r="J42" s="656"/>
      <c r="K42" s="6"/>
      <c r="L42" s="6"/>
      <c r="M42" s="6"/>
      <c r="N42" s="6"/>
    </row>
    <row r="43" spans="1:14">
      <c r="A43" s="7" t="s">
        <v>203</v>
      </c>
      <c r="B43" s="671">
        <v>3.6</v>
      </c>
      <c r="C43" s="653"/>
      <c r="D43" s="653"/>
      <c r="E43" s="654"/>
      <c r="F43" s="653"/>
      <c r="H43" s="655"/>
      <c r="I43" s="655"/>
      <c r="J43" s="656"/>
      <c r="K43" s="6"/>
      <c r="L43" s="6"/>
      <c r="M43" s="6"/>
      <c r="N43" s="6"/>
    </row>
    <row r="44" spans="1:14">
      <c r="A44" s="7" t="s">
        <v>204</v>
      </c>
      <c r="B44" s="671">
        <v>1000</v>
      </c>
      <c r="C44" s="653"/>
      <c r="D44" s="653"/>
      <c r="E44" s="654"/>
      <c r="F44" s="653"/>
      <c r="H44" s="655"/>
      <c r="I44" s="655"/>
      <c r="J44" s="656"/>
      <c r="K44" s="6"/>
      <c r="L44" s="6"/>
      <c r="M44" s="6"/>
      <c r="N44" s="6"/>
    </row>
    <row r="45" spans="1:14">
      <c r="A45" s="7" t="s">
        <v>205</v>
      </c>
      <c r="B45" s="671">
        <v>3.6</v>
      </c>
      <c r="C45" s="653"/>
      <c r="D45" s="653"/>
      <c r="E45" s="654"/>
      <c r="F45" s="653"/>
      <c r="H45" s="655"/>
      <c r="I45" s="655"/>
      <c r="J45" s="656"/>
      <c r="K45" s="6"/>
      <c r="L45" s="6"/>
      <c r="M45" s="6"/>
      <c r="N45" s="6"/>
    </row>
    <row r="46" spans="1:14">
      <c r="A46" s="7" t="s">
        <v>206</v>
      </c>
      <c r="B46" s="671">
        <v>1000</v>
      </c>
      <c r="C46" s="653"/>
      <c r="D46" s="653"/>
      <c r="E46" s="654"/>
      <c r="F46" s="653"/>
      <c r="H46" s="655"/>
      <c r="I46" s="655"/>
      <c r="J46" s="656"/>
      <c r="K46" s="6"/>
      <c r="L46" s="6"/>
      <c r="M46" s="6"/>
      <c r="N46" s="6"/>
    </row>
    <row r="47" spans="1:14">
      <c r="A47" s="7" t="s">
        <v>207</v>
      </c>
      <c r="B47" s="671">
        <v>1</v>
      </c>
      <c r="C47" s="653"/>
      <c r="D47" s="653"/>
      <c r="E47" s="654"/>
      <c r="F47" s="653"/>
      <c r="H47" s="655"/>
      <c r="I47" s="655"/>
      <c r="J47" s="656"/>
      <c r="K47" s="6"/>
      <c r="L47" s="6"/>
      <c r="M47" s="6"/>
      <c r="N47" s="6"/>
    </row>
    <row r="48" spans="1:14">
      <c r="A48" s="7" t="s">
        <v>208</v>
      </c>
      <c r="B48" s="671">
        <v>1000</v>
      </c>
      <c r="C48" s="653"/>
      <c r="D48" s="653"/>
      <c r="E48" s="654"/>
      <c r="F48" s="653"/>
      <c r="H48" s="655"/>
      <c r="I48" s="655"/>
      <c r="J48" s="656"/>
      <c r="K48" s="6"/>
      <c r="L48" s="6"/>
      <c r="M48" s="6"/>
      <c r="N48" s="6"/>
    </row>
    <row r="49" spans="1:14" ht="16.5">
      <c r="A49" s="690" t="s">
        <v>209</v>
      </c>
      <c r="B49" s="671"/>
      <c r="C49" s="653"/>
      <c r="D49" s="653"/>
      <c r="E49" s="654"/>
      <c r="F49" s="653"/>
      <c r="H49" s="655"/>
      <c r="I49" s="655"/>
      <c r="J49" s="656"/>
      <c r="K49" s="6"/>
      <c r="L49" s="6"/>
      <c r="M49" s="6"/>
      <c r="N49" s="6"/>
    </row>
    <row r="50" spans="1:14" ht="21">
      <c r="A50" s="691" t="s">
        <v>210</v>
      </c>
      <c r="B50" s="671"/>
      <c r="C50" s="653"/>
      <c r="D50" s="653"/>
      <c r="E50" s="654"/>
      <c r="F50" s="653"/>
      <c r="H50" s="655"/>
      <c r="I50" s="655"/>
      <c r="J50" s="656"/>
      <c r="K50" s="6"/>
      <c r="L50" s="6"/>
      <c r="M50" s="6"/>
      <c r="N50" s="6"/>
    </row>
    <row r="51" spans="1:14">
      <c r="A51" s="7"/>
      <c r="B51" s="671"/>
      <c r="C51" s="653"/>
      <c r="D51" s="653"/>
      <c r="E51" s="654"/>
      <c r="F51" s="653"/>
      <c r="H51" s="655"/>
      <c r="I51" s="655"/>
      <c r="J51" s="656"/>
      <c r="K51" s="6"/>
      <c r="L51" s="6"/>
      <c r="M51" s="6"/>
      <c r="N51" s="6"/>
    </row>
    <row r="52" spans="1:14">
      <c r="A52" s="7"/>
      <c r="B52" s="671"/>
      <c r="C52" s="653"/>
      <c r="D52" s="653"/>
      <c r="E52" s="654"/>
      <c r="F52" s="653"/>
      <c r="H52" s="655"/>
      <c r="I52" s="655"/>
      <c r="J52" s="656"/>
      <c r="K52" s="6"/>
      <c r="L52" s="6"/>
      <c r="M52" s="6"/>
      <c r="N52" s="6"/>
    </row>
    <row r="53" spans="1:14">
      <c r="A53" s="9" t="s">
        <v>211</v>
      </c>
      <c r="B53" s="671"/>
      <c r="C53" s="653"/>
      <c r="D53" s="653"/>
      <c r="E53" s="654"/>
      <c r="F53" s="653"/>
      <c r="H53" s="655"/>
      <c r="I53" s="655"/>
      <c r="J53" s="656"/>
      <c r="K53" s="6"/>
      <c r="L53" s="6"/>
      <c r="M53" s="6"/>
      <c r="N53" s="6"/>
    </row>
    <row r="54" spans="1:14">
      <c r="A54" s="7" t="s">
        <v>212</v>
      </c>
      <c r="B54" s="673">
        <v>0</v>
      </c>
      <c r="C54" s="653" t="s">
        <v>213</v>
      </c>
      <c r="D54" s="653"/>
      <c r="E54" s="654"/>
      <c r="F54" s="653"/>
      <c r="H54" s="655"/>
      <c r="I54" s="655"/>
      <c r="J54" s="656"/>
      <c r="K54" s="6"/>
      <c r="L54" s="6"/>
      <c r="M54" s="6"/>
      <c r="N54" s="6"/>
    </row>
    <row r="55" spans="1:14">
      <c r="A55" s="7" t="s">
        <v>214</v>
      </c>
      <c r="B55" s="673">
        <f>0.0075</f>
        <v>7.4999999999999997E-3</v>
      </c>
      <c r="C55" s="653"/>
      <c r="D55" s="653"/>
      <c r="E55" s="654"/>
      <c r="F55" s="653"/>
      <c r="H55" s="655"/>
      <c r="I55" s="655"/>
      <c r="J55" s="656"/>
      <c r="K55" s="6"/>
      <c r="L55" s="6"/>
      <c r="M55" s="6"/>
      <c r="N55" s="6"/>
    </row>
    <row r="56" spans="1:14">
      <c r="A56" s="7" t="s">
        <v>215</v>
      </c>
      <c r="B56" s="673">
        <v>0.12</v>
      </c>
      <c r="C56" s="653" t="s">
        <v>216</v>
      </c>
      <c r="D56" s="653"/>
      <c r="E56" s="654"/>
      <c r="F56" s="653"/>
      <c r="H56" s="655"/>
      <c r="I56" s="655"/>
      <c r="J56" s="656"/>
      <c r="K56" s="6"/>
      <c r="L56" s="6"/>
      <c r="M56" s="6"/>
      <c r="N56" s="6"/>
    </row>
    <row r="57" spans="1:14">
      <c r="A57" s="7" t="s">
        <v>217</v>
      </c>
      <c r="B57" s="674">
        <v>0.2</v>
      </c>
      <c r="C57" s="653" t="s">
        <v>218</v>
      </c>
      <c r="D57" s="653"/>
      <c r="E57" s="654"/>
      <c r="F57" s="653"/>
      <c r="H57" s="655"/>
      <c r="I57" s="655"/>
      <c r="J57" s="656"/>
      <c r="K57" s="6"/>
      <c r="L57" s="6"/>
      <c r="M57" s="6"/>
      <c r="N57" s="6"/>
    </row>
    <row r="58" spans="1:14">
      <c r="A58" s="7"/>
      <c r="H58" s="8"/>
      <c r="I58" s="8"/>
      <c r="J58" s="6"/>
      <c r="K58" s="6"/>
      <c r="L58" s="6"/>
      <c r="M58" s="6"/>
      <c r="N58" s="6"/>
    </row>
    <row r="59" spans="1:14">
      <c r="A59" s="9" t="s">
        <v>219</v>
      </c>
      <c r="F59" s="13"/>
      <c r="H59" s="6"/>
      <c r="I59" s="6"/>
      <c r="J59" s="6"/>
      <c r="K59" s="6"/>
      <c r="L59" s="6"/>
      <c r="M59" s="6"/>
      <c r="N59" s="6"/>
    </row>
    <row r="60" spans="1:14">
      <c r="A60" s="10" t="s">
        <v>220</v>
      </c>
      <c r="B60" s="11">
        <v>20</v>
      </c>
      <c r="H60" s="6"/>
      <c r="I60" s="6"/>
      <c r="J60" s="6"/>
      <c r="K60" s="6"/>
      <c r="L60" s="6"/>
      <c r="M60" s="6"/>
      <c r="N60" s="6"/>
    </row>
    <row r="61" spans="1:14">
      <c r="A61" s="5" t="s">
        <v>221</v>
      </c>
      <c r="B61" s="12">
        <f>'Assump&amp;Est_Togo'!D24+'Assump&amp;Est_Senegal'!D24+'Assump&amp;Est_Guinea'!D24</f>
        <v>24576.661860096156</v>
      </c>
      <c r="D61" s="13"/>
      <c r="E61" s="13"/>
      <c r="F61" s="13"/>
      <c r="H61" s="6"/>
      <c r="I61" s="6"/>
      <c r="J61" s="6"/>
      <c r="K61" s="6"/>
      <c r="L61" s="6"/>
      <c r="M61" s="6"/>
      <c r="N61" s="6"/>
    </row>
    <row r="62" spans="1:14">
      <c r="A62" s="5" t="s">
        <v>222</v>
      </c>
      <c r="B62" s="12">
        <f>B12*CapUtilFactorofBiodigester</f>
        <v>37317203.368370004</v>
      </c>
      <c r="D62" s="13"/>
      <c r="E62" s="13"/>
      <c r="F62" s="13"/>
      <c r="H62" s="6"/>
      <c r="I62" s="6"/>
      <c r="J62" s="6"/>
      <c r="K62" s="6"/>
      <c r="L62" s="6"/>
      <c r="M62" s="6"/>
      <c r="N62" s="6"/>
    </row>
    <row r="63" spans="1:14">
      <c r="A63" s="5" t="s">
        <v>223</v>
      </c>
      <c r="B63" s="12">
        <f>B62*EfficiencyValBiogas</f>
        <v>22390322.021022003</v>
      </c>
      <c r="D63" s="13"/>
      <c r="E63" s="13"/>
      <c r="F63" s="13"/>
      <c r="H63" s="6"/>
      <c r="I63" s="6"/>
      <c r="J63" s="6"/>
      <c r="K63" s="6"/>
      <c r="L63" s="6"/>
      <c r="M63" s="6"/>
      <c r="N63" s="6"/>
    </row>
    <row r="64" spans="1:14">
      <c r="A64" s="5" t="s">
        <v>224</v>
      </c>
      <c r="B64" s="12">
        <f>(EValKerosene/EvalBiogas)*(B63*0.3)*(1/B40)*EfficiencyValKerosene</f>
        <v>825243297.34623933</v>
      </c>
      <c r="D64" s="13"/>
      <c r="E64" s="13"/>
      <c r="F64" s="13"/>
      <c r="H64" s="6"/>
      <c r="I64" s="6"/>
      <c r="J64" s="6"/>
      <c r="K64" s="6"/>
      <c r="L64" s="6"/>
      <c r="M64" s="6"/>
      <c r="N64" s="6"/>
    </row>
    <row r="65" spans="1:28">
      <c r="A65" s="5" t="s">
        <v>225</v>
      </c>
      <c r="B65" s="12">
        <f>(EvalFuelwood/EvalBiogas)*(B63*0.7)*(1/B41)*EfficiencyValFuelwood</f>
        <v>632494.97234525427</v>
      </c>
      <c r="D65" s="13"/>
      <c r="E65" s="13"/>
      <c r="F65" s="13"/>
      <c r="H65" s="6"/>
      <c r="I65" s="6"/>
      <c r="J65" s="6"/>
      <c r="K65" s="6"/>
      <c r="L65" s="6"/>
      <c r="M65" s="6"/>
      <c r="N65" s="6"/>
    </row>
    <row r="66" spans="1:28">
      <c r="A66" s="5" t="s">
        <v>226</v>
      </c>
      <c r="B66" s="12">
        <f>B62*ValRtUrea_Utilization*(1/B39)</f>
        <v>6357274.8498074971</v>
      </c>
      <c r="D66" s="13"/>
      <c r="E66" s="13"/>
      <c r="F66" s="13"/>
      <c r="H66" s="6"/>
      <c r="I66" s="6"/>
      <c r="J66" s="6"/>
      <c r="K66" s="6"/>
      <c r="L66" s="6"/>
      <c r="M66" s="6"/>
      <c r="N66" s="6"/>
    </row>
    <row r="67" spans="1:28">
      <c r="A67" s="7" t="s">
        <v>227</v>
      </c>
      <c r="B67" s="658">
        <f>B12*EvalBiogas*Efficiency*(1/B45)</f>
        <v>81631382.368309379</v>
      </c>
      <c r="C67" s="14"/>
      <c r="D67" s="11"/>
      <c r="E67" s="658"/>
      <c r="F67" s="693"/>
      <c r="H67" s="6"/>
      <c r="I67" s="6"/>
      <c r="J67" s="6"/>
      <c r="K67" s="6"/>
      <c r="L67" s="6"/>
      <c r="M67" s="6"/>
      <c r="N67" s="6"/>
    </row>
    <row r="68" spans="1:28">
      <c r="A68" s="7" t="s">
        <v>228</v>
      </c>
      <c r="B68" s="658">
        <f>B67*GensetCapacityUtilFac</f>
        <v>44867100.60609927</v>
      </c>
      <c r="C68" s="14"/>
      <c r="D68" s="11"/>
      <c r="E68" s="658"/>
      <c r="F68" s="693"/>
      <c r="H68" s="6"/>
      <c r="I68" s="6"/>
      <c r="J68" s="6"/>
      <c r="K68" s="6"/>
      <c r="L68" s="6"/>
      <c r="M68" s="6"/>
      <c r="N68" s="6"/>
    </row>
    <row r="69" spans="1:28">
      <c r="A69" s="7" t="s">
        <v>229</v>
      </c>
      <c r="B69" s="12">
        <f>B68/(365*12)</f>
        <v>10243.630275365131</v>
      </c>
      <c r="C69" s="14"/>
      <c r="D69" s="11"/>
      <c r="E69" s="692"/>
      <c r="F69" s="11"/>
      <c r="H69" s="6"/>
      <c r="I69" s="6"/>
      <c r="J69" s="6"/>
      <c r="K69" s="6"/>
      <c r="L69" s="6"/>
      <c r="M69" s="6"/>
      <c r="N69" s="6"/>
    </row>
    <row r="70" spans="1:28">
      <c r="A70" s="7"/>
      <c r="B70" s="12"/>
      <c r="C70" s="14"/>
      <c r="D70" s="11"/>
      <c r="E70" s="11"/>
      <c r="F70" s="11"/>
      <c r="H70" s="6"/>
      <c r="I70" s="6"/>
      <c r="J70" s="6"/>
      <c r="K70" s="6"/>
      <c r="L70" s="6"/>
      <c r="M70" s="6"/>
      <c r="N70" s="6"/>
    </row>
    <row r="71" spans="1:28">
      <c r="A71" s="7"/>
      <c r="B71" s="12"/>
      <c r="C71" s="14"/>
      <c r="D71" s="11"/>
      <c r="E71" s="11"/>
      <c r="F71" s="11"/>
      <c r="H71" s="6"/>
      <c r="I71" s="6"/>
      <c r="J71" s="6"/>
      <c r="K71" s="6"/>
      <c r="L71" s="6"/>
      <c r="M71" s="6"/>
      <c r="N71" s="6"/>
    </row>
    <row r="72" spans="1:28">
      <c r="A72" s="7"/>
      <c r="B72" s="12"/>
      <c r="C72" s="14"/>
      <c r="D72" s="11"/>
      <c r="E72" s="11"/>
      <c r="F72" s="11"/>
      <c r="H72" s="6"/>
      <c r="I72" s="6"/>
      <c r="J72" s="6"/>
      <c r="K72" s="6"/>
      <c r="L72" s="6"/>
      <c r="M72" s="6"/>
      <c r="N72" s="6"/>
    </row>
    <row r="73" spans="1:28">
      <c r="A73" s="664" t="s">
        <v>230</v>
      </c>
      <c r="B73" s="665"/>
      <c r="C73" s="665" t="s">
        <v>231</v>
      </c>
      <c r="D73" s="665" t="s">
        <v>232</v>
      </c>
      <c r="E73" s="665" t="s">
        <v>233</v>
      </c>
      <c r="F73" s="665" t="s">
        <v>234</v>
      </c>
      <c r="G73" s="665" t="s">
        <v>235</v>
      </c>
      <c r="H73" s="665" t="s">
        <v>236</v>
      </c>
      <c r="I73" s="665" t="s">
        <v>237</v>
      </c>
      <c r="J73" s="665" t="s">
        <v>238</v>
      </c>
      <c r="K73" s="665" t="s">
        <v>239</v>
      </c>
      <c r="L73" s="665" t="s">
        <v>240</v>
      </c>
      <c r="M73" s="665" t="s">
        <v>241</v>
      </c>
      <c r="N73" s="665" t="s">
        <v>242</v>
      </c>
      <c r="O73" s="665" t="s">
        <v>243</v>
      </c>
      <c r="P73" s="665" t="s">
        <v>244</v>
      </c>
      <c r="Q73" s="665" t="s">
        <v>245</v>
      </c>
      <c r="R73" s="665" t="s">
        <v>246</v>
      </c>
      <c r="S73" s="665" t="s">
        <v>247</v>
      </c>
      <c r="T73" s="665" t="s">
        <v>248</v>
      </c>
      <c r="U73" s="665" t="s">
        <v>249</v>
      </c>
      <c r="V73" s="665" t="s">
        <v>250</v>
      </c>
      <c r="W73" s="665" t="s">
        <v>251</v>
      </c>
      <c r="X73" s="665" t="s">
        <v>252</v>
      </c>
      <c r="Y73" s="665" t="s">
        <v>253</v>
      </c>
      <c r="Z73" s="665" t="s">
        <v>254</v>
      </c>
      <c r="AA73" s="665" t="s">
        <v>255</v>
      </c>
      <c r="AB73" s="665" t="s">
        <v>256</v>
      </c>
    </row>
    <row r="74" spans="1:28">
      <c r="A74" s="675"/>
      <c r="B74" s="676"/>
      <c r="C74" s="676" t="s">
        <v>257</v>
      </c>
      <c r="D74" s="676">
        <v>0</v>
      </c>
      <c r="E74" s="677">
        <v>1</v>
      </c>
      <c r="F74" s="676">
        <v>2</v>
      </c>
      <c r="G74" s="676">
        <v>3</v>
      </c>
      <c r="H74" s="677">
        <v>4</v>
      </c>
      <c r="I74" s="676">
        <v>5</v>
      </c>
      <c r="J74" s="676">
        <v>6</v>
      </c>
      <c r="K74" s="677">
        <v>7</v>
      </c>
      <c r="L74" s="676">
        <v>8</v>
      </c>
      <c r="M74" s="676">
        <v>9</v>
      </c>
      <c r="N74" s="677">
        <v>10</v>
      </c>
      <c r="O74" s="676">
        <v>11</v>
      </c>
      <c r="P74" s="676">
        <v>12</v>
      </c>
      <c r="Q74" s="677">
        <v>13</v>
      </c>
      <c r="R74" s="676">
        <v>14</v>
      </c>
      <c r="S74" s="676">
        <v>15</v>
      </c>
      <c r="T74" s="677">
        <v>16</v>
      </c>
      <c r="U74" s="676">
        <v>17</v>
      </c>
      <c r="V74" s="676">
        <v>18</v>
      </c>
      <c r="W74" s="677">
        <v>19</v>
      </c>
      <c r="X74" s="676">
        <v>20</v>
      </c>
      <c r="Y74" s="676">
        <v>21</v>
      </c>
      <c r="Z74" s="677">
        <v>22</v>
      </c>
      <c r="AA74" s="676">
        <v>23</v>
      </c>
      <c r="AB74" s="676">
        <v>24</v>
      </c>
    </row>
    <row r="75" spans="1:28">
      <c r="A75" s="5" t="s">
        <v>258</v>
      </c>
      <c r="B75" s="653">
        <f>TFCostBiodigester*B61</f>
        <v>7372998.558028847</v>
      </c>
      <c r="C75" s="653"/>
      <c r="D75" s="653">
        <f>B75</f>
        <v>7372998.558028847</v>
      </c>
      <c r="E75" s="654">
        <v>0</v>
      </c>
      <c r="F75" s="653">
        <v>0</v>
      </c>
      <c r="G75" s="653">
        <v>0</v>
      </c>
      <c r="H75" s="653">
        <v>0</v>
      </c>
      <c r="I75" s="653">
        <v>0</v>
      </c>
      <c r="J75" s="653">
        <v>0</v>
      </c>
      <c r="K75" s="653">
        <v>0</v>
      </c>
      <c r="L75" s="653">
        <v>0</v>
      </c>
      <c r="M75" s="653">
        <v>0</v>
      </c>
      <c r="N75" s="653">
        <v>0</v>
      </c>
      <c r="O75" s="653">
        <v>0</v>
      </c>
      <c r="P75" s="653">
        <v>0</v>
      </c>
      <c r="Q75" s="653">
        <v>0</v>
      </c>
      <c r="R75" s="653">
        <v>0</v>
      </c>
      <c r="S75" s="653">
        <v>0</v>
      </c>
      <c r="T75" s="653">
        <v>0</v>
      </c>
      <c r="U75" s="653">
        <v>0</v>
      </c>
      <c r="V75" s="653">
        <v>0</v>
      </c>
      <c r="W75" s="653">
        <v>0</v>
      </c>
      <c r="X75" s="653">
        <v>0</v>
      </c>
      <c r="Y75" s="653">
        <v>0</v>
      </c>
      <c r="Z75" s="653">
        <v>0</v>
      </c>
      <c r="AA75" s="653">
        <v>0</v>
      </c>
      <c r="AB75" s="653">
        <v>0</v>
      </c>
    </row>
    <row r="76" spans="1:28">
      <c r="A76" s="5" t="s">
        <v>259</v>
      </c>
      <c r="B76" s="653">
        <f>B75*0.05</f>
        <v>368649.9279014424</v>
      </c>
      <c r="C76" s="653"/>
      <c r="D76" s="653">
        <f>B76</f>
        <v>368649.9279014424</v>
      </c>
      <c r="E76" s="689">
        <f>D76</f>
        <v>368649.9279014424</v>
      </c>
      <c r="F76" s="653">
        <f>$E$76</f>
        <v>368649.9279014424</v>
      </c>
      <c r="G76" s="653">
        <f t="shared" ref="G76:AB76" si="8">$E$76</f>
        <v>368649.9279014424</v>
      </c>
      <c r="H76" s="653">
        <f t="shared" si="8"/>
        <v>368649.9279014424</v>
      </c>
      <c r="I76" s="653">
        <f t="shared" si="8"/>
        <v>368649.9279014424</v>
      </c>
      <c r="J76" s="653">
        <f t="shared" si="8"/>
        <v>368649.9279014424</v>
      </c>
      <c r="K76" s="653">
        <f t="shared" si="8"/>
        <v>368649.9279014424</v>
      </c>
      <c r="L76" s="653">
        <f t="shared" si="8"/>
        <v>368649.9279014424</v>
      </c>
      <c r="M76" s="653">
        <f t="shared" si="8"/>
        <v>368649.9279014424</v>
      </c>
      <c r="N76" s="653">
        <f t="shared" si="8"/>
        <v>368649.9279014424</v>
      </c>
      <c r="O76" s="653">
        <f t="shared" si="8"/>
        <v>368649.9279014424</v>
      </c>
      <c r="P76" s="653">
        <f t="shared" si="8"/>
        <v>368649.9279014424</v>
      </c>
      <c r="Q76" s="653">
        <f t="shared" si="8"/>
        <v>368649.9279014424</v>
      </c>
      <c r="R76" s="653">
        <f t="shared" si="8"/>
        <v>368649.9279014424</v>
      </c>
      <c r="S76" s="653">
        <f t="shared" si="8"/>
        <v>368649.9279014424</v>
      </c>
      <c r="T76" s="653">
        <f t="shared" si="8"/>
        <v>368649.9279014424</v>
      </c>
      <c r="U76" s="653">
        <f t="shared" si="8"/>
        <v>368649.9279014424</v>
      </c>
      <c r="V76" s="653">
        <f t="shared" si="8"/>
        <v>368649.9279014424</v>
      </c>
      <c r="W76" s="653">
        <f t="shared" si="8"/>
        <v>368649.9279014424</v>
      </c>
      <c r="X76" s="653">
        <f t="shared" si="8"/>
        <v>368649.9279014424</v>
      </c>
      <c r="Y76" s="653">
        <f t="shared" si="8"/>
        <v>368649.9279014424</v>
      </c>
      <c r="Z76" s="653">
        <f t="shared" si="8"/>
        <v>368649.9279014424</v>
      </c>
      <c r="AA76" s="653">
        <f t="shared" si="8"/>
        <v>368649.9279014424</v>
      </c>
      <c r="AB76" s="653">
        <f t="shared" si="8"/>
        <v>368649.9279014424</v>
      </c>
    </row>
    <row r="77" spans="1:28">
      <c r="A77" s="7" t="s">
        <v>260</v>
      </c>
      <c r="B77" s="12">
        <f>SUM(B75:B76)</f>
        <v>7741648.4859302891</v>
      </c>
      <c r="C77" s="14"/>
      <c r="D77" s="14">
        <f>SUM(D75:D76)</f>
        <v>7741648.4859302891</v>
      </c>
      <c r="E77" s="14">
        <f t="shared" ref="E77:AB77" si="9">SUM(E75:E76)</f>
        <v>368649.9279014424</v>
      </c>
      <c r="F77" s="14">
        <f t="shared" si="9"/>
        <v>368649.9279014424</v>
      </c>
      <c r="G77" s="14">
        <f t="shared" si="9"/>
        <v>368649.9279014424</v>
      </c>
      <c r="H77" s="14">
        <f t="shared" si="9"/>
        <v>368649.9279014424</v>
      </c>
      <c r="I77" s="14">
        <f t="shared" si="9"/>
        <v>368649.9279014424</v>
      </c>
      <c r="J77" s="14">
        <f t="shared" si="9"/>
        <v>368649.9279014424</v>
      </c>
      <c r="K77" s="14">
        <f t="shared" si="9"/>
        <v>368649.9279014424</v>
      </c>
      <c r="L77" s="14">
        <f t="shared" si="9"/>
        <v>368649.9279014424</v>
      </c>
      <c r="M77" s="14">
        <f t="shared" si="9"/>
        <v>368649.9279014424</v>
      </c>
      <c r="N77" s="14">
        <f t="shared" si="9"/>
        <v>368649.9279014424</v>
      </c>
      <c r="O77" s="14">
        <f t="shared" si="9"/>
        <v>368649.9279014424</v>
      </c>
      <c r="P77" s="14">
        <f t="shared" si="9"/>
        <v>368649.9279014424</v>
      </c>
      <c r="Q77" s="14">
        <f t="shared" si="9"/>
        <v>368649.9279014424</v>
      </c>
      <c r="R77" s="14">
        <f t="shared" si="9"/>
        <v>368649.9279014424</v>
      </c>
      <c r="S77" s="14">
        <f t="shared" si="9"/>
        <v>368649.9279014424</v>
      </c>
      <c r="T77" s="14">
        <f t="shared" si="9"/>
        <v>368649.9279014424</v>
      </c>
      <c r="U77" s="14">
        <f t="shared" si="9"/>
        <v>368649.9279014424</v>
      </c>
      <c r="V77" s="14">
        <f t="shared" si="9"/>
        <v>368649.9279014424</v>
      </c>
      <c r="W77" s="14">
        <f t="shared" si="9"/>
        <v>368649.9279014424</v>
      </c>
      <c r="X77" s="14">
        <f t="shared" si="9"/>
        <v>368649.9279014424</v>
      </c>
      <c r="Y77" s="14">
        <f t="shared" si="9"/>
        <v>368649.9279014424</v>
      </c>
      <c r="Z77" s="14">
        <f t="shared" si="9"/>
        <v>368649.9279014424</v>
      </c>
      <c r="AA77" s="14">
        <f t="shared" si="9"/>
        <v>368649.9279014424</v>
      </c>
      <c r="AB77" s="14">
        <f t="shared" si="9"/>
        <v>368649.9279014424</v>
      </c>
    </row>
    <row r="78" spans="1:28">
      <c r="A78" s="7" t="s">
        <v>261</v>
      </c>
      <c r="C78" s="14"/>
      <c r="D78" s="678">
        <f>(D77)/(1+SocDiscountRate)^D74</f>
        <v>7741648.4859302891</v>
      </c>
      <c r="E78" s="678">
        <f t="shared" ref="E78:AB78" si="10">(E77)/(1+SocDiscountRate)^E74</f>
        <v>329151.72134057351</v>
      </c>
      <c r="F78" s="678">
        <f t="shared" si="10"/>
        <v>293885.46548265492</v>
      </c>
      <c r="G78" s="678">
        <f t="shared" si="10"/>
        <v>262397.73703808471</v>
      </c>
      <c r="H78" s="678">
        <f t="shared" si="10"/>
        <v>234283.69378400422</v>
      </c>
      <c r="I78" s="678">
        <f t="shared" si="10"/>
        <v>209181.86945000375</v>
      </c>
      <c r="J78" s="678">
        <f t="shared" si="10"/>
        <v>186769.5262946462</v>
      </c>
      <c r="K78" s="678">
        <f t="shared" si="10"/>
        <v>166758.5056202198</v>
      </c>
      <c r="L78" s="678">
        <f t="shared" si="10"/>
        <v>148891.52287519624</v>
      </c>
      <c r="M78" s="660">
        <f t="shared" si="10"/>
        <v>132938.85970999664</v>
      </c>
      <c r="N78" s="660">
        <f t="shared" si="10"/>
        <v>118695.41045535414</v>
      </c>
      <c r="O78" s="660">
        <f t="shared" si="10"/>
        <v>105978.04504942332</v>
      </c>
      <c r="P78" s="660">
        <f t="shared" si="10"/>
        <v>94623.25450841368</v>
      </c>
      <c r="Q78" s="660">
        <f t="shared" si="10"/>
        <v>84485.048668226489</v>
      </c>
      <c r="R78" s="660">
        <f t="shared" si="10"/>
        <v>75433.079168059354</v>
      </c>
      <c r="S78" s="660">
        <f t="shared" si="10"/>
        <v>67350.963542910147</v>
      </c>
      <c r="T78" s="660">
        <f t="shared" si="10"/>
        <v>60134.788877598337</v>
      </c>
      <c r="U78" s="660">
        <f t="shared" si="10"/>
        <v>53691.775783569938</v>
      </c>
      <c r="V78" s="660">
        <f t="shared" si="10"/>
        <v>47939.085521044581</v>
      </c>
      <c r="W78" s="660">
        <f t="shared" si="10"/>
        <v>42802.754929504088</v>
      </c>
      <c r="X78" s="660">
        <f t="shared" si="10"/>
        <v>38216.745472771509</v>
      </c>
      <c r="Y78" s="660">
        <f t="shared" si="10"/>
        <v>34122.094172117417</v>
      </c>
      <c r="Z78" s="660">
        <f t="shared" si="10"/>
        <v>30466.155510819117</v>
      </c>
      <c r="AA78" s="660">
        <f t="shared" si="10"/>
        <v>27201.924563231358</v>
      </c>
      <c r="AB78" s="660">
        <f t="shared" si="10"/>
        <v>24287.432645742279</v>
      </c>
    </row>
    <row r="79" spans="1:28">
      <c r="A79" s="7" t="s">
        <v>262</v>
      </c>
      <c r="B79" s="12"/>
      <c r="C79" s="14"/>
      <c r="D79" s="678">
        <f>(D77)/(1+EscoDiscountRate)^D74</f>
        <v>7741648.4859302891</v>
      </c>
      <c r="E79" s="678">
        <f t="shared" ref="E79:AB79" si="11">(E77)/(1+EscoDiscountRate)^E74</f>
        <v>307208.27325120202</v>
      </c>
      <c r="F79" s="678">
        <f t="shared" si="11"/>
        <v>256006.89437600167</v>
      </c>
      <c r="G79" s="678">
        <f t="shared" si="11"/>
        <v>213339.07864666806</v>
      </c>
      <c r="H79" s="678">
        <f t="shared" si="11"/>
        <v>177782.56553889005</v>
      </c>
      <c r="I79" s="678">
        <f t="shared" si="11"/>
        <v>148152.13794907506</v>
      </c>
      <c r="J79" s="678">
        <f t="shared" si="11"/>
        <v>123460.11495756255</v>
      </c>
      <c r="K79" s="678">
        <f t="shared" si="11"/>
        <v>102883.42913130212</v>
      </c>
      <c r="L79" s="678">
        <f t="shared" si="11"/>
        <v>85736.190942751768</v>
      </c>
      <c r="M79" s="678">
        <f t="shared" si="11"/>
        <v>71446.825785626468</v>
      </c>
      <c r="N79" s="678">
        <f t="shared" si="11"/>
        <v>59539.021488022059</v>
      </c>
      <c r="O79" s="678">
        <f t="shared" si="11"/>
        <v>49615.85124001839</v>
      </c>
      <c r="P79" s="678">
        <f t="shared" si="11"/>
        <v>41346.542700015329</v>
      </c>
      <c r="Q79" s="678">
        <f t="shared" si="11"/>
        <v>34455.452250012771</v>
      </c>
      <c r="R79" s="678">
        <f t="shared" si="11"/>
        <v>28712.876875010643</v>
      </c>
      <c r="S79" s="678">
        <f t="shared" si="11"/>
        <v>23927.397395842203</v>
      </c>
      <c r="T79" s="678">
        <f t="shared" si="11"/>
        <v>19939.497829868506</v>
      </c>
      <c r="U79" s="678">
        <f t="shared" si="11"/>
        <v>16616.248191557086</v>
      </c>
      <c r="V79" s="678">
        <f t="shared" si="11"/>
        <v>13846.87349296424</v>
      </c>
      <c r="W79" s="678">
        <f t="shared" si="11"/>
        <v>11539.061244136865</v>
      </c>
      <c r="X79" s="678">
        <f t="shared" si="11"/>
        <v>9615.884370114054</v>
      </c>
      <c r="Y79" s="678">
        <f t="shared" si="11"/>
        <v>8013.2369750950465</v>
      </c>
      <c r="Z79" s="678">
        <f t="shared" si="11"/>
        <v>6677.6974792458723</v>
      </c>
      <c r="AA79" s="678">
        <f t="shared" si="11"/>
        <v>5564.7478993715604</v>
      </c>
      <c r="AB79" s="678">
        <f t="shared" si="11"/>
        <v>4637.2899161429668</v>
      </c>
    </row>
    <row r="80" spans="1:28">
      <c r="A80" s="7"/>
      <c r="B80" s="12"/>
      <c r="C80" s="14"/>
      <c r="D80" s="14"/>
      <c r="E80" s="14"/>
      <c r="F80" s="14"/>
      <c r="G80" s="14"/>
      <c r="H80" s="14"/>
      <c r="I80" s="14"/>
      <c r="J80" s="14"/>
      <c r="K80" s="14"/>
      <c r="L80" s="14"/>
      <c r="M80" s="14"/>
      <c r="N80" s="14"/>
      <c r="O80" s="14"/>
      <c r="P80" s="14"/>
      <c r="Q80" s="14"/>
      <c r="R80" s="14"/>
      <c r="S80" s="14"/>
      <c r="T80" s="14"/>
      <c r="U80" s="14"/>
      <c r="V80" s="14"/>
      <c r="W80" s="14"/>
      <c r="X80" s="14"/>
      <c r="Y80" s="14"/>
      <c r="Z80" s="14"/>
      <c r="AA80" s="14"/>
      <c r="AB80" s="14"/>
    </row>
    <row r="81" spans="1:30">
      <c r="A81" s="684" t="s">
        <v>263</v>
      </c>
      <c r="B81" s="685"/>
      <c r="C81" s="686"/>
      <c r="D81" s="686" t="s">
        <v>232</v>
      </c>
      <c r="E81" s="686" t="s">
        <v>233</v>
      </c>
      <c r="F81" s="686" t="s">
        <v>234</v>
      </c>
      <c r="G81" s="686" t="s">
        <v>235</v>
      </c>
      <c r="H81" s="686" t="s">
        <v>236</v>
      </c>
      <c r="I81" s="686" t="s">
        <v>237</v>
      </c>
      <c r="J81" s="686" t="s">
        <v>238</v>
      </c>
      <c r="K81" s="686" t="s">
        <v>239</v>
      </c>
      <c r="L81" s="686" t="s">
        <v>240</v>
      </c>
      <c r="M81" s="686" t="s">
        <v>241</v>
      </c>
      <c r="N81" s="686" t="s">
        <v>242</v>
      </c>
      <c r="O81" s="686" t="s">
        <v>243</v>
      </c>
      <c r="P81" s="686" t="s">
        <v>244</v>
      </c>
      <c r="Q81" s="686" t="s">
        <v>245</v>
      </c>
      <c r="R81" s="686" t="s">
        <v>246</v>
      </c>
      <c r="S81" s="686" t="s">
        <v>247</v>
      </c>
      <c r="T81" s="686" t="s">
        <v>248</v>
      </c>
      <c r="U81" s="686" t="s">
        <v>249</v>
      </c>
      <c r="V81" s="686" t="s">
        <v>250</v>
      </c>
      <c r="W81" s="686" t="s">
        <v>251</v>
      </c>
      <c r="X81" s="686" t="s">
        <v>252</v>
      </c>
      <c r="Y81" s="686" t="s">
        <v>253</v>
      </c>
      <c r="Z81" s="686" t="s">
        <v>254</v>
      </c>
      <c r="AA81" s="686" t="s">
        <v>255</v>
      </c>
      <c r="AB81" s="686" t="s">
        <v>256</v>
      </c>
    </row>
    <row r="82" spans="1:30">
      <c r="A82" s="7" t="s">
        <v>264</v>
      </c>
      <c r="B82" s="12">
        <f>E12*AvePrice_per_cubic_meter_of_methane*ValUncertainty_and_Market_Adjustment</f>
        <v>627022.30959703692</v>
      </c>
      <c r="C82" s="14"/>
      <c r="D82" s="14">
        <f>$B$82</f>
        <v>627022.30959703692</v>
      </c>
      <c r="E82" s="14">
        <f t="shared" ref="E82:AB82" si="12">$B$82</f>
        <v>627022.30959703692</v>
      </c>
      <c r="F82" s="14">
        <f t="shared" si="12"/>
        <v>627022.30959703692</v>
      </c>
      <c r="G82" s="14">
        <f t="shared" si="12"/>
        <v>627022.30959703692</v>
      </c>
      <c r="H82" s="14">
        <f t="shared" si="12"/>
        <v>627022.30959703692</v>
      </c>
      <c r="I82" s="14">
        <f t="shared" si="12"/>
        <v>627022.30959703692</v>
      </c>
      <c r="J82" s="14">
        <f t="shared" si="12"/>
        <v>627022.30959703692</v>
      </c>
      <c r="K82" s="14">
        <f t="shared" si="12"/>
        <v>627022.30959703692</v>
      </c>
      <c r="L82" s="14">
        <f t="shared" si="12"/>
        <v>627022.30959703692</v>
      </c>
      <c r="M82" s="14">
        <f t="shared" si="12"/>
        <v>627022.30959703692</v>
      </c>
      <c r="N82" s="14">
        <f t="shared" si="12"/>
        <v>627022.30959703692</v>
      </c>
      <c r="O82" s="14">
        <f t="shared" si="12"/>
        <v>627022.30959703692</v>
      </c>
      <c r="P82" s="14">
        <f t="shared" si="12"/>
        <v>627022.30959703692</v>
      </c>
      <c r="Q82" s="14">
        <f t="shared" si="12"/>
        <v>627022.30959703692</v>
      </c>
      <c r="R82" s="14">
        <f t="shared" si="12"/>
        <v>627022.30959703692</v>
      </c>
      <c r="S82" s="14">
        <f t="shared" si="12"/>
        <v>627022.30959703692</v>
      </c>
      <c r="T82" s="14">
        <f t="shared" si="12"/>
        <v>627022.30959703692</v>
      </c>
      <c r="U82" s="14">
        <f t="shared" si="12"/>
        <v>627022.30959703692</v>
      </c>
      <c r="V82" s="14">
        <f t="shared" si="12"/>
        <v>627022.30959703692</v>
      </c>
      <c r="W82" s="14">
        <f t="shared" si="12"/>
        <v>627022.30959703692</v>
      </c>
      <c r="X82" s="14">
        <f t="shared" si="12"/>
        <v>627022.30959703692</v>
      </c>
      <c r="Y82" s="14">
        <f t="shared" si="12"/>
        <v>627022.30959703692</v>
      </c>
      <c r="Z82" s="14">
        <f t="shared" si="12"/>
        <v>627022.30959703692</v>
      </c>
      <c r="AA82" s="14">
        <f t="shared" si="12"/>
        <v>627022.30959703692</v>
      </c>
      <c r="AB82" s="14">
        <f t="shared" si="12"/>
        <v>627022.30959703692</v>
      </c>
    </row>
    <row r="83" spans="1:30">
      <c r="A83" s="7" t="s">
        <v>265</v>
      </c>
      <c r="B83" s="12">
        <f>B66*AvPrice_of_Urea*ValUncertainty_and_Market_Adjustment</f>
        <v>158931.87124518745</v>
      </c>
      <c r="C83" s="14"/>
      <c r="D83" s="14">
        <f>$B$83</f>
        <v>158931.87124518745</v>
      </c>
      <c r="E83" s="14">
        <f t="shared" ref="E83:AB83" si="13">$B$83</f>
        <v>158931.87124518745</v>
      </c>
      <c r="F83" s="14">
        <f t="shared" si="13"/>
        <v>158931.87124518745</v>
      </c>
      <c r="G83" s="14">
        <f t="shared" si="13"/>
        <v>158931.87124518745</v>
      </c>
      <c r="H83" s="14">
        <f t="shared" si="13"/>
        <v>158931.87124518745</v>
      </c>
      <c r="I83" s="14">
        <f t="shared" si="13"/>
        <v>158931.87124518745</v>
      </c>
      <c r="J83" s="14">
        <f t="shared" si="13"/>
        <v>158931.87124518745</v>
      </c>
      <c r="K83" s="14">
        <f t="shared" si="13"/>
        <v>158931.87124518745</v>
      </c>
      <c r="L83" s="14">
        <f t="shared" si="13"/>
        <v>158931.87124518745</v>
      </c>
      <c r="M83" s="14">
        <f t="shared" si="13"/>
        <v>158931.87124518745</v>
      </c>
      <c r="N83" s="14">
        <f t="shared" si="13"/>
        <v>158931.87124518745</v>
      </c>
      <c r="O83" s="14">
        <f t="shared" si="13"/>
        <v>158931.87124518745</v>
      </c>
      <c r="P83" s="14">
        <f t="shared" si="13"/>
        <v>158931.87124518745</v>
      </c>
      <c r="Q83" s="14">
        <f t="shared" si="13"/>
        <v>158931.87124518745</v>
      </c>
      <c r="R83" s="14">
        <f t="shared" si="13"/>
        <v>158931.87124518745</v>
      </c>
      <c r="S83" s="14">
        <f t="shared" si="13"/>
        <v>158931.87124518745</v>
      </c>
      <c r="T83" s="14">
        <f t="shared" si="13"/>
        <v>158931.87124518745</v>
      </c>
      <c r="U83" s="14">
        <f t="shared" si="13"/>
        <v>158931.87124518745</v>
      </c>
      <c r="V83" s="14">
        <f t="shared" si="13"/>
        <v>158931.87124518745</v>
      </c>
      <c r="W83" s="14">
        <f t="shared" si="13"/>
        <v>158931.87124518745</v>
      </c>
      <c r="X83" s="14">
        <f t="shared" si="13"/>
        <v>158931.87124518745</v>
      </c>
      <c r="Y83" s="14">
        <f t="shared" si="13"/>
        <v>158931.87124518745</v>
      </c>
      <c r="Z83" s="14">
        <f t="shared" si="13"/>
        <v>158931.87124518745</v>
      </c>
      <c r="AA83" s="14">
        <f t="shared" si="13"/>
        <v>158931.87124518745</v>
      </c>
      <c r="AB83" s="14">
        <f t="shared" si="13"/>
        <v>158931.87124518745</v>
      </c>
    </row>
    <row r="84" spans="1:30">
      <c r="A84" s="7" t="s">
        <v>266</v>
      </c>
      <c r="B84" s="12">
        <f>SUM(B82:B83)</f>
        <v>785954.18084222439</v>
      </c>
      <c r="C84" s="14"/>
      <c r="D84" s="14">
        <f>SUM(D82:D83)</f>
        <v>785954.18084222439</v>
      </c>
      <c r="E84" s="14">
        <f t="shared" ref="E84:AB84" si="14">SUM(E82:E83)</f>
        <v>785954.18084222439</v>
      </c>
      <c r="F84" s="14">
        <f t="shared" si="14"/>
        <v>785954.18084222439</v>
      </c>
      <c r="G84" s="14">
        <f t="shared" si="14"/>
        <v>785954.18084222439</v>
      </c>
      <c r="H84" s="14">
        <f t="shared" si="14"/>
        <v>785954.18084222439</v>
      </c>
      <c r="I84" s="14">
        <f t="shared" si="14"/>
        <v>785954.18084222439</v>
      </c>
      <c r="J84" s="14">
        <f t="shared" si="14"/>
        <v>785954.18084222439</v>
      </c>
      <c r="K84" s="14">
        <f t="shared" si="14"/>
        <v>785954.18084222439</v>
      </c>
      <c r="L84" s="14">
        <f t="shared" si="14"/>
        <v>785954.18084222439</v>
      </c>
      <c r="M84" s="14">
        <f t="shared" si="14"/>
        <v>785954.18084222439</v>
      </c>
      <c r="N84" s="14">
        <f t="shared" si="14"/>
        <v>785954.18084222439</v>
      </c>
      <c r="O84" s="14">
        <f t="shared" si="14"/>
        <v>785954.18084222439</v>
      </c>
      <c r="P84" s="14">
        <f t="shared" si="14"/>
        <v>785954.18084222439</v>
      </c>
      <c r="Q84" s="14">
        <f t="shared" si="14"/>
        <v>785954.18084222439</v>
      </c>
      <c r="R84" s="14">
        <f t="shared" si="14"/>
        <v>785954.18084222439</v>
      </c>
      <c r="S84" s="14">
        <f t="shared" si="14"/>
        <v>785954.18084222439</v>
      </c>
      <c r="T84" s="14">
        <f t="shared" si="14"/>
        <v>785954.18084222439</v>
      </c>
      <c r="U84" s="14">
        <f t="shared" si="14"/>
        <v>785954.18084222439</v>
      </c>
      <c r="V84" s="14">
        <f t="shared" si="14"/>
        <v>785954.18084222439</v>
      </c>
      <c r="W84" s="14">
        <f t="shared" si="14"/>
        <v>785954.18084222439</v>
      </c>
      <c r="X84" s="14">
        <f t="shared" si="14"/>
        <v>785954.18084222439</v>
      </c>
      <c r="Y84" s="14">
        <f t="shared" si="14"/>
        <v>785954.18084222439</v>
      </c>
      <c r="Z84" s="14">
        <f t="shared" si="14"/>
        <v>785954.18084222439</v>
      </c>
      <c r="AA84" s="14">
        <f t="shared" si="14"/>
        <v>785954.18084222439</v>
      </c>
      <c r="AB84" s="14">
        <f t="shared" si="14"/>
        <v>785954.18084222439</v>
      </c>
    </row>
    <row r="85" spans="1:30">
      <c r="A85" s="7" t="s">
        <v>267</v>
      </c>
      <c r="B85" s="12"/>
      <c r="C85" s="14"/>
      <c r="D85" s="678">
        <f>(D84)/(1+SocDiscountRate)^D74</f>
        <v>785954.18084222439</v>
      </c>
      <c r="E85" s="678">
        <f t="shared" ref="E85:AB85" si="15">(E84)/(1+SocDiscountRate)^E74</f>
        <v>701744.80432341457</v>
      </c>
      <c r="F85" s="678">
        <f t="shared" si="15"/>
        <v>626557.86100304872</v>
      </c>
      <c r="G85" s="678">
        <f t="shared" si="15"/>
        <v>559426.66160986479</v>
      </c>
      <c r="H85" s="678">
        <f t="shared" si="15"/>
        <v>499488.0907230936</v>
      </c>
      <c r="I85" s="678">
        <f t="shared" si="15"/>
        <v>445971.50957419071</v>
      </c>
      <c r="J85" s="678">
        <f t="shared" si="15"/>
        <v>398188.84783409879</v>
      </c>
      <c r="K85" s="678">
        <f t="shared" si="15"/>
        <v>355525.75699473108</v>
      </c>
      <c r="L85" s="678">
        <f t="shared" si="15"/>
        <v>317433.71160243842</v>
      </c>
      <c r="M85" s="678">
        <f t="shared" si="15"/>
        <v>283422.95678789145</v>
      </c>
      <c r="N85" s="678">
        <f t="shared" si="15"/>
        <v>253056.21141776018</v>
      </c>
      <c r="O85" s="678">
        <f t="shared" si="15"/>
        <v>225943.04590871441</v>
      </c>
      <c r="P85" s="678">
        <f t="shared" si="15"/>
        <v>201734.86241849503</v>
      </c>
      <c r="Q85" s="678">
        <f t="shared" si="15"/>
        <v>180120.41287365626</v>
      </c>
      <c r="R85" s="678">
        <f t="shared" si="15"/>
        <v>160821.79720862163</v>
      </c>
      <c r="S85" s="678">
        <f t="shared" si="15"/>
        <v>143590.89036484074</v>
      </c>
      <c r="T85" s="678">
        <f t="shared" si="15"/>
        <v>128206.15211146494</v>
      </c>
      <c r="U85" s="678">
        <f t="shared" si="15"/>
        <v>114469.77867095082</v>
      </c>
      <c r="V85" s="678">
        <f t="shared" si="15"/>
        <v>102205.15952763466</v>
      </c>
      <c r="W85" s="678">
        <f t="shared" si="15"/>
        <v>91254.606721102362</v>
      </c>
      <c r="X85" s="678">
        <f t="shared" si="15"/>
        <v>81477.327429555691</v>
      </c>
      <c r="Y85" s="678">
        <f t="shared" si="15"/>
        <v>72747.613776389</v>
      </c>
      <c r="Z85" s="678">
        <f t="shared" si="15"/>
        <v>64953.226586061595</v>
      </c>
      <c r="AA85" s="678">
        <f t="shared" si="15"/>
        <v>57993.952308983571</v>
      </c>
      <c r="AB85" s="678">
        <f t="shared" si="15"/>
        <v>51780.314561592473</v>
      </c>
    </row>
    <row r="86" spans="1:30">
      <c r="A86" s="7" t="s">
        <v>268</v>
      </c>
      <c r="B86" s="12"/>
      <c r="C86" s="14"/>
      <c r="D86" s="678">
        <f>(D84)/(1+EscoDiscountRate)^D74</f>
        <v>785954.18084222439</v>
      </c>
      <c r="E86" s="678">
        <f t="shared" ref="E86:AB86" si="16">(E84)/(1+EscoDiscountRate)^E74</f>
        <v>654961.81736852031</v>
      </c>
      <c r="F86" s="678">
        <f t="shared" si="16"/>
        <v>545801.5144737669</v>
      </c>
      <c r="G86" s="678">
        <f t="shared" si="16"/>
        <v>454834.59539480577</v>
      </c>
      <c r="H86" s="678">
        <f t="shared" si="16"/>
        <v>379028.8294956715</v>
      </c>
      <c r="I86" s="678">
        <f t="shared" si="16"/>
        <v>315857.35791305959</v>
      </c>
      <c r="J86" s="678">
        <f t="shared" si="16"/>
        <v>263214.46492754965</v>
      </c>
      <c r="K86" s="678">
        <f t="shared" si="16"/>
        <v>219345.38743962473</v>
      </c>
      <c r="L86" s="678">
        <f t="shared" si="16"/>
        <v>182787.82286635393</v>
      </c>
      <c r="M86" s="678">
        <f t="shared" si="16"/>
        <v>152323.18572196161</v>
      </c>
      <c r="N86" s="678">
        <f t="shared" si="16"/>
        <v>126935.98810163468</v>
      </c>
      <c r="O86" s="678">
        <f t="shared" si="16"/>
        <v>105779.99008469557</v>
      </c>
      <c r="P86" s="678">
        <f t="shared" si="16"/>
        <v>88149.991737246324</v>
      </c>
      <c r="Q86" s="678">
        <f t="shared" si="16"/>
        <v>73458.326447705258</v>
      </c>
      <c r="R86" s="678">
        <f t="shared" si="16"/>
        <v>61215.272039754389</v>
      </c>
      <c r="S86" s="678">
        <f t="shared" si="16"/>
        <v>51012.726699795319</v>
      </c>
      <c r="T86" s="678">
        <f t="shared" si="16"/>
        <v>42510.605583162775</v>
      </c>
      <c r="U86" s="678">
        <f t="shared" si="16"/>
        <v>35425.504652635645</v>
      </c>
      <c r="V86" s="678">
        <f t="shared" si="16"/>
        <v>29521.25387719637</v>
      </c>
      <c r="W86" s="678">
        <f t="shared" si="16"/>
        <v>24601.044897663643</v>
      </c>
      <c r="X86" s="678">
        <f t="shared" si="16"/>
        <v>20500.870748053036</v>
      </c>
      <c r="Y86" s="678">
        <f t="shared" si="16"/>
        <v>17084.058956710862</v>
      </c>
      <c r="Z86" s="678">
        <f t="shared" si="16"/>
        <v>14236.715797259054</v>
      </c>
      <c r="AA86" s="678">
        <f t="shared" si="16"/>
        <v>11863.929831049212</v>
      </c>
      <c r="AB86" s="678">
        <f t="shared" si="16"/>
        <v>9886.6081925410108</v>
      </c>
    </row>
    <row r="87" spans="1:30">
      <c r="A87" s="7"/>
      <c r="B87" s="12"/>
      <c r="C87" s="14"/>
      <c r="D87" s="678"/>
      <c r="E87" s="678"/>
      <c r="F87" s="678"/>
      <c r="G87" s="678"/>
      <c r="H87" s="678"/>
      <c r="I87" s="678"/>
      <c r="J87" s="678"/>
      <c r="K87" s="678"/>
      <c r="L87" s="678"/>
      <c r="M87" s="678"/>
      <c r="N87" s="678"/>
      <c r="O87" s="678"/>
      <c r="P87" s="678"/>
      <c r="Q87" s="678"/>
      <c r="R87" s="678"/>
      <c r="S87" s="678"/>
      <c r="T87" s="678"/>
      <c r="U87" s="678"/>
      <c r="V87" s="678"/>
      <c r="W87" s="678"/>
      <c r="X87" s="678"/>
      <c r="Y87" s="678"/>
      <c r="Z87" s="678"/>
      <c r="AA87" s="678"/>
      <c r="AB87" s="678"/>
    </row>
    <row r="88" spans="1:30" s="700" customFormat="1">
      <c r="A88" s="698" t="s">
        <v>269</v>
      </c>
      <c r="B88" s="696"/>
      <c r="C88" s="697"/>
      <c r="D88" s="699">
        <f t="shared" ref="D88:AB88" si="17">D84-D77</f>
        <v>-6955694.3050880646</v>
      </c>
      <c r="E88" s="699">
        <f t="shared" si="17"/>
        <v>417304.252940782</v>
      </c>
      <c r="F88" s="699">
        <f t="shared" si="17"/>
        <v>417304.252940782</v>
      </c>
      <c r="G88" s="699">
        <f t="shared" si="17"/>
        <v>417304.252940782</v>
      </c>
      <c r="H88" s="699">
        <f t="shared" si="17"/>
        <v>417304.252940782</v>
      </c>
      <c r="I88" s="699">
        <f t="shared" si="17"/>
        <v>417304.252940782</v>
      </c>
      <c r="J88" s="699">
        <f t="shared" si="17"/>
        <v>417304.252940782</v>
      </c>
      <c r="K88" s="699">
        <f t="shared" si="17"/>
        <v>417304.252940782</v>
      </c>
      <c r="L88" s="699">
        <f t="shared" si="17"/>
        <v>417304.252940782</v>
      </c>
      <c r="M88" s="699">
        <f t="shared" si="17"/>
        <v>417304.252940782</v>
      </c>
      <c r="N88" s="699">
        <f t="shared" si="17"/>
        <v>417304.252940782</v>
      </c>
      <c r="O88" s="699">
        <f t="shared" si="17"/>
        <v>417304.252940782</v>
      </c>
      <c r="P88" s="699">
        <f t="shared" si="17"/>
        <v>417304.252940782</v>
      </c>
      <c r="Q88" s="699">
        <f t="shared" si="17"/>
        <v>417304.252940782</v>
      </c>
      <c r="R88" s="699">
        <f t="shared" si="17"/>
        <v>417304.252940782</v>
      </c>
      <c r="S88" s="699">
        <f t="shared" si="17"/>
        <v>417304.252940782</v>
      </c>
      <c r="T88" s="699">
        <f t="shared" si="17"/>
        <v>417304.252940782</v>
      </c>
      <c r="U88" s="699">
        <f t="shared" si="17"/>
        <v>417304.252940782</v>
      </c>
      <c r="V88" s="699">
        <f t="shared" si="17"/>
        <v>417304.252940782</v>
      </c>
      <c r="W88" s="699">
        <f t="shared" si="17"/>
        <v>417304.252940782</v>
      </c>
      <c r="X88" s="699">
        <f t="shared" si="17"/>
        <v>417304.252940782</v>
      </c>
      <c r="Y88" s="699">
        <f t="shared" si="17"/>
        <v>417304.252940782</v>
      </c>
      <c r="Z88" s="699">
        <f t="shared" si="17"/>
        <v>417304.252940782</v>
      </c>
      <c r="AA88" s="699">
        <f t="shared" si="17"/>
        <v>417304.252940782</v>
      </c>
      <c r="AB88" s="699">
        <f t="shared" si="17"/>
        <v>417304.252940782</v>
      </c>
    </row>
    <row r="89" spans="1:30">
      <c r="A89" s="7"/>
      <c r="B89" s="12"/>
      <c r="C89" s="14"/>
      <c r="D89" s="14"/>
      <c r="E89" s="14"/>
      <c r="F89" s="14"/>
      <c r="G89" s="14"/>
      <c r="H89" s="14"/>
      <c r="I89" s="14"/>
      <c r="J89" s="14"/>
      <c r="K89" s="14"/>
      <c r="L89" s="14"/>
      <c r="M89" s="14"/>
      <c r="N89" s="14"/>
      <c r="O89" s="14"/>
      <c r="P89" s="14"/>
      <c r="Q89" s="14"/>
      <c r="R89" s="14"/>
      <c r="S89" s="14"/>
      <c r="T89" s="14"/>
      <c r="U89" s="14"/>
      <c r="V89" s="14"/>
      <c r="W89" s="14"/>
      <c r="X89" s="14"/>
      <c r="Y89" s="14"/>
      <c r="Z89" s="14"/>
      <c r="AA89" s="14"/>
      <c r="AB89" s="14"/>
    </row>
    <row r="90" spans="1:30">
      <c r="A90" s="7"/>
      <c r="B90" s="12"/>
      <c r="C90" s="14"/>
      <c r="D90" s="14"/>
      <c r="E90" s="14"/>
      <c r="F90" s="14"/>
      <c r="G90" s="14"/>
      <c r="H90" s="14"/>
      <c r="I90" s="14"/>
      <c r="J90" s="14"/>
      <c r="K90" s="14"/>
      <c r="L90" s="14"/>
      <c r="M90" s="14"/>
      <c r="N90" s="14"/>
      <c r="O90" s="14"/>
      <c r="P90" s="14"/>
      <c r="Q90" s="14"/>
      <c r="R90" s="14"/>
      <c r="S90" s="14"/>
      <c r="T90" s="14"/>
      <c r="U90" s="14"/>
      <c r="V90" s="14"/>
      <c r="W90" s="14"/>
      <c r="X90" s="14"/>
      <c r="Y90" s="14"/>
      <c r="Z90" s="14"/>
      <c r="AA90" s="14"/>
      <c r="AB90" s="14"/>
    </row>
    <row r="91" spans="1:30">
      <c r="A91" s="664" t="s">
        <v>270</v>
      </c>
      <c r="B91" s="665"/>
      <c r="C91" s="665"/>
      <c r="D91" s="665" t="s">
        <v>232</v>
      </c>
      <c r="E91" s="670" t="s">
        <v>233</v>
      </c>
      <c r="F91" s="665" t="s">
        <v>234</v>
      </c>
      <c r="G91" s="670" t="s">
        <v>235</v>
      </c>
      <c r="H91" s="665" t="s">
        <v>236</v>
      </c>
      <c r="I91" s="670" t="s">
        <v>237</v>
      </c>
      <c r="J91" s="665" t="s">
        <v>238</v>
      </c>
      <c r="K91" s="670" t="s">
        <v>239</v>
      </c>
      <c r="L91" s="665" t="s">
        <v>240</v>
      </c>
      <c r="M91" s="670" t="s">
        <v>241</v>
      </c>
      <c r="N91" s="665" t="s">
        <v>242</v>
      </c>
      <c r="O91" s="670" t="s">
        <v>243</v>
      </c>
      <c r="P91" s="665" t="s">
        <v>244</v>
      </c>
      <c r="Q91" s="670" t="s">
        <v>245</v>
      </c>
      <c r="R91" s="665" t="s">
        <v>246</v>
      </c>
      <c r="S91" s="670" t="s">
        <v>247</v>
      </c>
      <c r="T91" s="665" t="s">
        <v>248</v>
      </c>
      <c r="U91" s="670" t="s">
        <v>249</v>
      </c>
      <c r="V91" s="665" t="s">
        <v>250</v>
      </c>
      <c r="W91" s="670" t="s">
        <v>251</v>
      </c>
      <c r="X91" s="665" t="s">
        <v>252</v>
      </c>
      <c r="Y91" s="670" t="s">
        <v>253</v>
      </c>
      <c r="Z91" s="665" t="s">
        <v>254</v>
      </c>
      <c r="AA91" s="670" t="s">
        <v>255</v>
      </c>
      <c r="AB91" s="665" t="s">
        <v>256</v>
      </c>
    </row>
    <row r="92" spans="1:30">
      <c r="A92" s="7" t="s">
        <v>271</v>
      </c>
      <c r="B92" s="12">
        <f>(B64)*AvePrice_per_liter_of_Kerosene*ValUncertainty_and_Market_Adjustment_for_Kerosene*ValQuality_and_Standards_Agjustment</f>
        <v>1320389.2757539831</v>
      </c>
      <c r="C92" s="14"/>
      <c r="D92" s="848">
        <f>$B$92</f>
        <v>1320389.2757539831</v>
      </c>
      <c r="E92" s="848">
        <f t="shared" ref="E92:AB92" si="18">$B$92</f>
        <v>1320389.2757539831</v>
      </c>
      <c r="F92" s="848">
        <f t="shared" si="18"/>
        <v>1320389.2757539831</v>
      </c>
      <c r="G92" s="848">
        <f t="shared" si="18"/>
        <v>1320389.2757539831</v>
      </c>
      <c r="H92" s="848">
        <f t="shared" si="18"/>
        <v>1320389.2757539831</v>
      </c>
      <c r="I92" s="848">
        <f t="shared" si="18"/>
        <v>1320389.2757539831</v>
      </c>
      <c r="J92" s="848">
        <f t="shared" si="18"/>
        <v>1320389.2757539831</v>
      </c>
      <c r="K92" s="848">
        <f t="shared" si="18"/>
        <v>1320389.2757539831</v>
      </c>
      <c r="L92" s="848">
        <f t="shared" si="18"/>
        <v>1320389.2757539831</v>
      </c>
      <c r="M92" s="848">
        <f t="shared" si="18"/>
        <v>1320389.2757539831</v>
      </c>
      <c r="N92" s="848">
        <f t="shared" si="18"/>
        <v>1320389.2757539831</v>
      </c>
      <c r="O92" s="848">
        <f t="shared" si="18"/>
        <v>1320389.2757539831</v>
      </c>
      <c r="P92" s="848">
        <f t="shared" si="18"/>
        <v>1320389.2757539831</v>
      </c>
      <c r="Q92" s="848">
        <f t="shared" si="18"/>
        <v>1320389.2757539831</v>
      </c>
      <c r="R92" s="848">
        <f t="shared" si="18"/>
        <v>1320389.2757539831</v>
      </c>
      <c r="S92" s="848">
        <f t="shared" si="18"/>
        <v>1320389.2757539831</v>
      </c>
      <c r="T92" s="848">
        <f t="shared" si="18"/>
        <v>1320389.2757539831</v>
      </c>
      <c r="U92" s="848">
        <f t="shared" si="18"/>
        <v>1320389.2757539831</v>
      </c>
      <c r="V92" s="848">
        <f t="shared" si="18"/>
        <v>1320389.2757539831</v>
      </c>
      <c r="W92" s="848">
        <f t="shared" si="18"/>
        <v>1320389.2757539831</v>
      </c>
      <c r="X92" s="848">
        <f t="shared" si="18"/>
        <v>1320389.2757539831</v>
      </c>
      <c r="Y92" s="848">
        <f t="shared" si="18"/>
        <v>1320389.2757539831</v>
      </c>
      <c r="Z92" s="848">
        <f t="shared" si="18"/>
        <v>1320389.2757539831</v>
      </c>
      <c r="AA92" s="848">
        <f t="shared" si="18"/>
        <v>1320389.2757539831</v>
      </c>
      <c r="AB92" s="848">
        <f t="shared" si="18"/>
        <v>1320389.2757539831</v>
      </c>
      <c r="AC92" s="846"/>
      <c r="AD92" s="846"/>
    </row>
    <row r="93" spans="1:30">
      <c r="A93" s="7" t="s">
        <v>272</v>
      </c>
      <c r="B93" s="12">
        <f>(B65)*AvPriceWood_charcoal*ValQuality_and_Standards_Agjustment*ValUncertainty_and_Market_Adjustment_for_Kerosene</f>
        <v>175833.60231198071</v>
      </c>
      <c r="C93" s="14"/>
      <c r="D93" s="848">
        <f>$B$93</f>
        <v>175833.60231198071</v>
      </c>
      <c r="E93" s="848">
        <f t="shared" ref="E93:AB93" si="19">$B$93</f>
        <v>175833.60231198071</v>
      </c>
      <c r="F93" s="848">
        <f t="shared" si="19"/>
        <v>175833.60231198071</v>
      </c>
      <c r="G93" s="848">
        <f t="shared" si="19"/>
        <v>175833.60231198071</v>
      </c>
      <c r="H93" s="848">
        <f t="shared" si="19"/>
        <v>175833.60231198071</v>
      </c>
      <c r="I93" s="848">
        <f t="shared" si="19"/>
        <v>175833.60231198071</v>
      </c>
      <c r="J93" s="848">
        <f t="shared" si="19"/>
        <v>175833.60231198071</v>
      </c>
      <c r="K93" s="848">
        <f t="shared" si="19"/>
        <v>175833.60231198071</v>
      </c>
      <c r="L93" s="848">
        <f t="shared" si="19"/>
        <v>175833.60231198071</v>
      </c>
      <c r="M93" s="848">
        <f t="shared" si="19"/>
        <v>175833.60231198071</v>
      </c>
      <c r="N93" s="848">
        <f t="shared" si="19"/>
        <v>175833.60231198071</v>
      </c>
      <c r="O93" s="848">
        <f t="shared" si="19"/>
        <v>175833.60231198071</v>
      </c>
      <c r="P93" s="848">
        <f t="shared" si="19"/>
        <v>175833.60231198071</v>
      </c>
      <c r="Q93" s="848">
        <f t="shared" si="19"/>
        <v>175833.60231198071</v>
      </c>
      <c r="R93" s="848">
        <f t="shared" si="19"/>
        <v>175833.60231198071</v>
      </c>
      <c r="S93" s="848">
        <f t="shared" si="19"/>
        <v>175833.60231198071</v>
      </c>
      <c r="T93" s="848">
        <f t="shared" si="19"/>
        <v>175833.60231198071</v>
      </c>
      <c r="U93" s="848">
        <f t="shared" si="19"/>
        <v>175833.60231198071</v>
      </c>
      <c r="V93" s="848">
        <f t="shared" si="19"/>
        <v>175833.60231198071</v>
      </c>
      <c r="W93" s="848">
        <f t="shared" si="19"/>
        <v>175833.60231198071</v>
      </c>
      <c r="X93" s="848">
        <f t="shared" si="19"/>
        <v>175833.60231198071</v>
      </c>
      <c r="Y93" s="848">
        <f t="shared" si="19"/>
        <v>175833.60231198071</v>
      </c>
      <c r="Z93" s="848">
        <f t="shared" si="19"/>
        <v>175833.60231198071</v>
      </c>
      <c r="AA93" s="848">
        <f t="shared" si="19"/>
        <v>175833.60231198071</v>
      </c>
      <c r="AB93" s="848">
        <f t="shared" si="19"/>
        <v>175833.60231198071</v>
      </c>
      <c r="AC93" s="846"/>
      <c r="AD93" s="846"/>
    </row>
    <row r="94" spans="1:30">
      <c r="A94" s="7" t="s">
        <v>273</v>
      </c>
      <c r="B94" s="12">
        <f>B83</f>
        <v>158931.87124518745</v>
      </c>
      <c r="C94" s="14"/>
      <c r="D94" s="848">
        <f>$B$94</f>
        <v>158931.87124518745</v>
      </c>
      <c r="E94" s="848">
        <f t="shared" ref="E94:AB94" si="20">$B$94</f>
        <v>158931.87124518745</v>
      </c>
      <c r="F94" s="848">
        <f t="shared" si="20"/>
        <v>158931.87124518745</v>
      </c>
      <c r="G94" s="848">
        <f t="shared" si="20"/>
        <v>158931.87124518745</v>
      </c>
      <c r="H94" s="848">
        <f t="shared" si="20"/>
        <v>158931.87124518745</v>
      </c>
      <c r="I94" s="848">
        <f t="shared" si="20"/>
        <v>158931.87124518745</v>
      </c>
      <c r="J94" s="848">
        <f t="shared" si="20"/>
        <v>158931.87124518745</v>
      </c>
      <c r="K94" s="848">
        <f t="shared" si="20"/>
        <v>158931.87124518745</v>
      </c>
      <c r="L94" s="848">
        <f t="shared" si="20"/>
        <v>158931.87124518745</v>
      </c>
      <c r="M94" s="848">
        <f t="shared" si="20"/>
        <v>158931.87124518745</v>
      </c>
      <c r="N94" s="848">
        <f t="shared" si="20"/>
        <v>158931.87124518745</v>
      </c>
      <c r="O94" s="848">
        <f t="shared" si="20"/>
        <v>158931.87124518745</v>
      </c>
      <c r="P94" s="848">
        <f t="shared" si="20"/>
        <v>158931.87124518745</v>
      </c>
      <c r="Q94" s="848">
        <f t="shared" si="20"/>
        <v>158931.87124518745</v>
      </c>
      <c r="R94" s="848">
        <f t="shared" si="20"/>
        <v>158931.87124518745</v>
      </c>
      <c r="S94" s="848">
        <f t="shared" si="20"/>
        <v>158931.87124518745</v>
      </c>
      <c r="T94" s="848">
        <f t="shared" si="20"/>
        <v>158931.87124518745</v>
      </c>
      <c r="U94" s="848">
        <f t="shared" si="20"/>
        <v>158931.87124518745</v>
      </c>
      <c r="V94" s="848">
        <f t="shared" si="20"/>
        <v>158931.87124518745</v>
      </c>
      <c r="W94" s="848">
        <f t="shared" si="20"/>
        <v>158931.87124518745</v>
      </c>
      <c r="X94" s="848">
        <f t="shared" si="20"/>
        <v>158931.87124518745</v>
      </c>
      <c r="Y94" s="848">
        <f t="shared" si="20"/>
        <v>158931.87124518745</v>
      </c>
      <c r="Z94" s="848">
        <f t="shared" si="20"/>
        <v>158931.87124518745</v>
      </c>
      <c r="AA94" s="848">
        <f t="shared" si="20"/>
        <v>158931.87124518745</v>
      </c>
      <c r="AB94" s="848">
        <f t="shared" si="20"/>
        <v>158931.87124518745</v>
      </c>
      <c r="AC94" s="846"/>
      <c r="AD94" s="846"/>
    </row>
    <row r="95" spans="1:30">
      <c r="A95" s="7" t="s">
        <v>274</v>
      </c>
      <c r="B95" s="12">
        <f>SUM(B92:B94)</f>
        <v>1655154.7493111512</v>
      </c>
      <c r="C95" s="14"/>
      <c r="D95" s="14">
        <f>SUM(D92:D94)</f>
        <v>1655154.7493111512</v>
      </c>
      <c r="E95" s="14">
        <f t="shared" ref="E95:AB95" si="21">SUM(E92:E94)</f>
        <v>1655154.7493111512</v>
      </c>
      <c r="F95" s="14">
        <f t="shared" si="21"/>
        <v>1655154.7493111512</v>
      </c>
      <c r="G95" s="14">
        <f t="shared" si="21"/>
        <v>1655154.7493111512</v>
      </c>
      <c r="H95" s="14">
        <f t="shared" si="21"/>
        <v>1655154.7493111512</v>
      </c>
      <c r="I95" s="14">
        <f t="shared" si="21"/>
        <v>1655154.7493111512</v>
      </c>
      <c r="J95" s="14">
        <f t="shared" si="21"/>
        <v>1655154.7493111512</v>
      </c>
      <c r="K95" s="14">
        <f t="shared" si="21"/>
        <v>1655154.7493111512</v>
      </c>
      <c r="L95" s="14">
        <f t="shared" si="21"/>
        <v>1655154.7493111512</v>
      </c>
      <c r="M95" s="14">
        <f t="shared" si="21"/>
        <v>1655154.7493111512</v>
      </c>
      <c r="N95" s="14">
        <f t="shared" si="21"/>
        <v>1655154.7493111512</v>
      </c>
      <c r="O95" s="14">
        <f t="shared" si="21"/>
        <v>1655154.7493111512</v>
      </c>
      <c r="P95" s="14">
        <f t="shared" si="21"/>
        <v>1655154.7493111512</v>
      </c>
      <c r="Q95" s="14">
        <f t="shared" si="21"/>
        <v>1655154.7493111512</v>
      </c>
      <c r="R95" s="14">
        <f t="shared" si="21"/>
        <v>1655154.7493111512</v>
      </c>
      <c r="S95" s="14">
        <f t="shared" si="21"/>
        <v>1655154.7493111512</v>
      </c>
      <c r="T95" s="14">
        <f t="shared" si="21"/>
        <v>1655154.7493111512</v>
      </c>
      <c r="U95" s="14">
        <f t="shared" si="21"/>
        <v>1655154.7493111512</v>
      </c>
      <c r="V95" s="14">
        <f t="shared" si="21"/>
        <v>1655154.7493111512</v>
      </c>
      <c r="W95" s="14">
        <f t="shared" si="21"/>
        <v>1655154.7493111512</v>
      </c>
      <c r="X95" s="14">
        <f t="shared" si="21"/>
        <v>1655154.7493111512</v>
      </c>
      <c r="Y95" s="14">
        <f t="shared" si="21"/>
        <v>1655154.7493111512</v>
      </c>
      <c r="Z95" s="14">
        <f t="shared" si="21"/>
        <v>1655154.7493111512</v>
      </c>
      <c r="AA95" s="14">
        <f t="shared" si="21"/>
        <v>1655154.7493111512</v>
      </c>
      <c r="AB95" s="14">
        <f t="shared" si="21"/>
        <v>1655154.7493111512</v>
      </c>
    </row>
    <row r="96" spans="1:30">
      <c r="A96" s="7" t="s">
        <v>275</v>
      </c>
      <c r="B96" s="12"/>
      <c r="C96" s="14"/>
      <c r="D96" s="678">
        <f>(D95)/(1+SocDiscountRate)^D74</f>
        <v>1655154.7493111512</v>
      </c>
      <c r="E96" s="678">
        <f t="shared" ref="E96:AB96" si="22">(E95)/(1+SocDiscountRate)^E74</f>
        <v>1477816.7404563848</v>
      </c>
      <c r="F96" s="678">
        <f t="shared" si="22"/>
        <v>1319479.2325503435</v>
      </c>
      <c r="G96" s="678">
        <f t="shared" si="22"/>
        <v>1178106.4576342353</v>
      </c>
      <c r="H96" s="678">
        <f t="shared" si="22"/>
        <v>1051880.7657448528</v>
      </c>
      <c r="I96" s="678">
        <f t="shared" si="22"/>
        <v>939179.25512933289</v>
      </c>
      <c r="J96" s="678">
        <f t="shared" si="22"/>
        <v>838552.90636547562</v>
      </c>
      <c r="K96" s="678">
        <f t="shared" si="22"/>
        <v>748707.95211203187</v>
      </c>
      <c r="L96" s="678">
        <f t="shared" si="22"/>
        <v>668489.24295717129</v>
      </c>
      <c r="M96" s="678">
        <f t="shared" si="22"/>
        <v>596865.39549747424</v>
      </c>
      <c r="N96" s="678">
        <f t="shared" si="22"/>
        <v>532915.53169417346</v>
      </c>
      <c r="O96" s="678">
        <f t="shared" si="22"/>
        <v>475817.43901265477</v>
      </c>
      <c r="P96" s="678">
        <f t="shared" si="22"/>
        <v>424836.99911844177</v>
      </c>
      <c r="Q96" s="678">
        <f t="shared" si="22"/>
        <v>379318.74921289441</v>
      </c>
      <c r="R96" s="678">
        <f t="shared" si="22"/>
        <v>338677.45465436997</v>
      </c>
      <c r="S96" s="678">
        <f t="shared" si="22"/>
        <v>302390.58451283036</v>
      </c>
      <c r="T96" s="678">
        <f t="shared" si="22"/>
        <v>269991.59331502707</v>
      </c>
      <c r="U96" s="678">
        <f t="shared" si="22"/>
        <v>241063.92260270269</v>
      </c>
      <c r="V96" s="678">
        <f t="shared" si="22"/>
        <v>215235.64518098455</v>
      </c>
      <c r="W96" s="678">
        <f t="shared" si="22"/>
        <v>192174.6831973076</v>
      </c>
      <c r="X96" s="678">
        <f t="shared" si="22"/>
        <v>171584.53856902465</v>
      </c>
      <c r="Y96" s="678">
        <f t="shared" si="22"/>
        <v>153200.48086520057</v>
      </c>
      <c r="Z96" s="678">
        <f t="shared" si="22"/>
        <v>136786.14362964334</v>
      </c>
      <c r="AA96" s="678">
        <f t="shared" si="22"/>
        <v>122130.48538361014</v>
      </c>
      <c r="AB96" s="678">
        <f t="shared" si="22"/>
        <v>109045.07623536618</v>
      </c>
    </row>
    <row r="97" spans="1:28">
      <c r="A97" s="7" t="s">
        <v>276</v>
      </c>
      <c r="B97" s="12"/>
      <c r="C97" s="14"/>
      <c r="D97" s="678">
        <f>(D95)/(1+EscoDiscountRate)^D74</f>
        <v>1655154.7493111512</v>
      </c>
      <c r="E97" s="678">
        <f t="shared" ref="E97:AB97" si="23">(E95)/(1+EscoDiscountRate)^E74</f>
        <v>1379295.6244259593</v>
      </c>
      <c r="F97" s="678">
        <f t="shared" si="23"/>
        <v>1149413.0203549662</v>
      </c>
      <c r="G97" s="678">
        <f t="shared" si="23"/>
        <v>957844.1836291384</v>
      </c>
      <c r="H97" s="678">
        <f t="shared" si="23"/>
        <v>798203.48635761545</v>
      </c>
      <c r="I97" s="678">
        <f t="shared" si="23"/>
        <v>665169.57196467952</v>
      </c>
      <c r="J97" s="678">
        <f t="shared" si="23"/>
        <v>554307.97663723293</v>
      </c>
      <c r="K97" s="678">
        <f t="shared" si="23"/>
        <v>461923.3138643608</v>
      </c>
      <c r="L97" s="678">
        <f t="shared" si="23"/>
        <v>384936.09488696733</v>
      </c>
      <c r="M97" s="678">
        <f t="shared" si="23"/>
        <v>320780.07907247276</v>
      </c>
      <c r="N97" s="678">
        <f t="shared" si="23"/>
        <v>267316.73256039398</v>
      </c>
      <c r="O97" s="678">
        <f t="shared" si="23"/>
        <v>222763.94380032833</v>
      </c>
      <c r="P97" s="678">
        <f t="shared" si="23"/>
        <v>185636.61983360696</v>
      </c>
      <c r="Q97" s="678">
        <f t="shared" si="23"/>
        <v>154697.18319467246</v>
      </c>
      <c r="R97" s="678">
        <f t="shared" si="23"/>
        <v>128914.31932889372</v>
      </c>
      <c r="S97" s="678">
        <f t="shared" si="23"/>
        <v>107428.59944074476</v>
      </c>
      <c r="T97" s="678">
        <f t="shared" si="23"/>
        <v>89523.832867287318</v>
      </c>
      <c r="U97" s="678">
        <f t="shared" si="23"/>
        <v>74603.194056072767</v>
      </c>
      <c r="V97" s="678">
        <f t="shared" si="23"/>
        <v>62169.328380060637</v>
      </c>
      <c r="W97" s="678">
        <f t="shared" si="23"/>
        <v>51807.773650050527</v>
      </c>
      <c r="X97" s="678">
        <f t="shared" si="23"/>
        <v>43173.144708375439</v>
      </c>
      <c r="Y97" s="678">
        <f t="shared" si="23"/>
        <v>35977.620590312872</v>
      </c>
      <c r="Z97" s="678">
        <f t="shared" si="23"/>
        <v>29981.350491927395</v>
      </c>
      <c r="AA97" s="678">
        <f t="shared" si="23"/>
        <v>24984.458743272829</v>
      </c>
      <c r="AB97" s="678">
        <f t="shared" si="23"/>
        <v>20820.382286060692</v>
      </c>
    </row>
    <row r="98" spans="1:28">
      <c r="A98" s="7"/>
      <c r="B98" s="12"/>
      <c r="C98" s="14"/>
      <c r="D98" s="678"/>
      <c r="E98" s="678"/>
      <c r="F98" s="678"/>
      <c r="G98" s="678"/>
      <c r="H98" s="678"/>
      <c r="I98" s="678"/>
      <c r="J98" s="678"/>
      <c r="K98" s="678"/>
      <c r="L98" s="678"/>
      <c r="M98" s="678"/>
      <c r="N98" s="678"/>
      <c r="O98" s="678"/>
      <c r="P98" s="678"/>
      <c r="Q98" s="678"/>
      <c r="R98" s="678"/>
      <c r="S98" s="678"/>
      <c r="T98" s="678"/>
      <c r="U98" s="678"/>
      <c r="V98" s="678"/>
      <c r="W98" s="678"/>
      <c r="X98" s="678"/>
      <c r="Y98" s="678"/>
      <c r="Z98" s="678"/>
      <c r="AA98" s="678"/>
      <c r="AB98" s="678"/>
    </row>
    <row r="99" spans="1:28">
      <c r="A99" s="664" t="s">
        <v>277</v>
      </c>
      <c r="B99" s="685"/>
      <c r="C99" s="686"/>
      <c r="D99" s="695"/>
      <c r="E99" s="695"/>
      <c r="F99" s="695"/>
      <c r="G99" s="695"/>
      <c r="H99" s="695"/>
      <c r="I99" s="695"/>
      <c r="J99" s="695"/>
      <c r="K99" s="695"/>
      <c r="L99" s="695"/>
      <c r="M99" s="695"/>
      <c r="N99" s="695"/>
      <c r="O99" s="695"/>
      <c r="P99" s="695"/>
      <c r="Q99" s="695"/>
      <c r="R99" s="695"/>
      <c r="S99" s="695"/>
      <c r="T99" s="695"/>
      <c r="U99" s="695"/>
      <c r="V99" s="695"/>
      <c r="W99" s="695"/>
      <c r="X99" s="695"/>
      <c r="Y99" s="695"/>
      <c r="Z99" s="695"/>
      <c r="AA99" s="695"/>
      <c r="AB99" s="695"/>
    </row>
    <row r="100" spans="1:28">
      <c r="A100" s="5" t="s">
        <v>278</v>
      </c>
      <c r="B100" s="12">
        <f>B64*B47*ValUncertainty_and_Market_Adjustment_for_Kerosene</f>
        <v>82524329.734623939</v>
      </c>
      <c r="C100" s="14"/>
      <c r="D100" s="678">
        <f>$B$100</f>
        <v>82524329.734623939</v>
      </c>
      <c r="E100" s="678">
        <f t="shared" ref="E100:AB100" si="24">$B$100</f>
        <v>82524329.734623939</v>
      </c>
      <c r="F100" s="678">
        <f t="shared" si="24"/>
        <v>82524329.734623939</v>
      </c>
      <c r="G100" s="678">
        <f t="shared" si="24"/>
        <v>82524329.734623939</v>
      </c>
      <c r="H100" s="678">
        <f t="shared" si="24"/>
        <v>82524329.734623939</v>
      </c>
      <c r="I100" s="678">
        <f t="shared" si="24"/>
        <v>82524329.734623939</v>
      </c>
      <c r="J100" s="678">
        <f t="shared" si="24"/>
        <v>82524329.734623939</v>
      </c>
      <c r="K100" s="678">
        <f t="shared" si="24"/>
        <v>82524329.734623939</v>
      </c>
      <c r="L100" s="678">
        <f t="shared" si="24"/>
        <v>82524329.734623939</v>
      </c>
      <c r="M100" s="678">
        <f t="shared" si="24"/>
        <v>82524329.734623939</v>
      </c>
      <c r="N100" s="678">
        <f t="shared" si="24"/>
        <v>82524329.734623939</v>
      </c>
      <c r="O100" s="678">
        <f t="shared" si="24"/>
        <v>82524329.734623939</v>
      </c>
      <c r="P100" s="678">
        <f t="shared" si="24"/>
        <v>82524329.734623939</v>
      </c>
      <c r="Q100" s="678">
        <f t="shared" si="24"/>
        <v>82524329.734623939</v>
      </c>
      <c r="R100" s="678">
        <f t="shared" si="24"/>
        <v>82524329.734623939</v>
      </c>
      <c r="S100" s="678">
        <f t="shared" si="24"/>
        <v>82524329.734623939</v>
      </c>
      <c r="T100" s="678">
        <f t="shared" si="24"/>
        <v>82524329.734623939</v>
      </c>
      <c r="U100" s="678">
        <f t="shared" si="24"/>
        <v>82524329.734623939</v>
      </c>
      <c r="V100" s="678">
        <f t="shared" si="24"/>
        <v>82524329.734623939</v>
      </c>
      <c r="W100" s="678">
        <f t="shared" si="24"/>
        <v>82524329.734623939</v>
      </c>
      <c r="X100" s="678">
        <f t="shared" si="24"/>
        <v>82524329.734623939</v>
      </c>
      <c r="Y100" s="678">
        <f t="shared" si="24"/>
        <v>82524329.734623939</v>
      </c>
      <c r="Z100" s="678">
        <f t="shared" si="24"/>
        <v>82524329.734623939</v>
      </c>
      <c r="AA100" s="678">
        <f t="shared" si="24"/>
        <v>82524329.734623939</v>
      </c>
      <c r="AB100" s="678">
        <f t="shared" si="24"/>
        <v>82524329.734623939</v>
      </c>
    </row>
    <row r="101" spans="1:28">
      <c r="A101" s="7" t="s">
        <v>279</v>
      </c>
      <c r="B101" s="12">
        <f>B100*EValKerosene*EfficiencyValKerosene*(1/B45)</f>
        <v>59142436.309813827</v>
      </c>
      <c r="C101" s="14"/>
      <c r="D101" s="678">
        <f>$B$101</f>
        <v>59142436.309813827</v>
      </c>
      <c r="E101" s="678">
        <f t="shared" ref="E101:AB101" si="25">$B$101</f>
        <v>59142436.309813827</v>
      </c>
      <c r="F101" s="678">
        <f t="shared" si="25"/>
        <v>59142436.309813827</v>
      </c>
      <c r="G101" s="678">
        <f t="shared" si="25"/>
        <v>59142436.309813827</v>
      </c>
      <c r="H101" s="678">
        <f t="shared" si="25"/>
        <v>59142436.309813827</v>
      </c>
      <c r="I101" s="678">
        <f t="shared" si="25"/>
        <v>59142436.309813827</v>
      </c>
      <c r="J101" s="678">
        <f t="shared" si="25"/>
        <v>59142436.309813827</v>
      </c>
      <c r="K101" s="678">
        <f t="shared" si="25"/>
        <v>59142436.309813827</v>
      </c>
      <c r="L101" s="678">
        <f t="shared" si="25"/>
        <v>59142436.309813827</v>
      </c>
      <c r="M101" s="678">
        <f t="shared" si="25"/>
        <v>59142436.309813827</v>
      </c>
      <c r="N101" s="678">
        <f t="shared" si="25"/>
        <v>59142436.309813827</v>
      </c>
      <c r="O101" s="678">
        <f t="shared" si="25"/>
        <v>59142436.309813827</v>
      </c>
      <c r="P101" s="678">
        <f t="shared" si="25"/>
        <v>59142436.309813827</v>
      </c>
      <c r="Q101" s="678">
        <f t="shared" si="25"/>
        <v>59142436.309813827</v>
      </c>
      <c r="R101" s="678">
        <f t="shared" si="25"/>
        <v>59142436.309813827</v>
      </c>
      <c r="S101" s="678">
        <f t="shared" si="25"/>
        <v>59142436.309813827</v>
      </c>
      <c r="T101" s="678">
        <f t="shared" si="25"/>
        <v>59142436.309813827</v>
      </c>
      <c r="U101" s="678">
        <f t="shared" si="25"/>
        <v>59142436.309813827</v>
      </c>
      <c r="V101" s="678">
        <f t="shared" si="25"/>
        <v>59142436.309813827</v>
      </c>
      <c r="W101" s="678">
        <f t="shared" si="25"/>
        <v>59142436.309813827</v>
      </c>
      <c r="X101" s="678">
        <f t="shared" si="25"/>
        <v>59142436.309813827</v>
      </c>
      <c r="Y101" s="678">
        <f t="shared" si="25"/>
        <v>59142436.309813827</v>
      </c>
      <c r="Z101" s="678">
        <f t="shared" si="25"/>
        <v>59142436.309813827</v>
      </c>
      <c r="AA101" s="678">
        <f t="shared" si="25"/>
        <v>59142436.309813827</v>
      </c>
      <c r="AB101" s="678">
        <f t="shared" si="25"/>
        <v>59142436.309813827</v>
      </c>
    </row>
    <row r="102" spans="1:28" ht="24.95">
      <c r="A102" s="7" t="s">
        <v>280</v>
      </c>
      <c r="B102" s="12">
        <f>B101*GensetCapacityUtilFac</f>
        <v>32506489.085653242</v>
      </c>
      <c r="C102" s="14"/>
      <c r="D102" s="678">
        <f>$B$102</f>
        <v>32506489.085653242</v>
      </c>
      <c r="E102" s="678">
        <f t="shared" ref="E102:AB102" si="26">$B$102</f>
        <v>32506489.085653242</v>
      </c>
      <c r="F102" s="678">
        <f t="shared" si="26"/>
        <v>32506489.085653242</v>
      </c>
      <c r="G102" s="678">
        <f t="shared" si="26"/>
        <v>32506489.085653242</v>
      </c>
      <c r="H102" s="678">
        <f t="shared" si="26"/>
        <v>32506489.085653242</v>
      </c>
      <c r="I102" s="678">
        <f t="shared" si="26"/>
        <v>32506489.085653242</v>
      </c>
      <c r="J102" s="678">
        <f t="shared" si="26"/>
        <v>32506489.085653242</v>
      </c>
      <c r="K102" s="678">
        <f t="shared" si="26"/>
        <v>32506489.085653242</v>
      </c>
      <c r="L102" s="678">
        <f t="shared" si="26"/>
        <v>32506489.085653242</v>
      </c>
      <c r="M102" s="678">
        <f t="shared" si="26"/>
        <v>32506489.085653242</v>
      </c>
      <c r="N102" s="678">
        <f t="shared" si="26"/>
        <v>32506489.085653242</v>
      </c>
      <c r="O102" s="678">
        <f t="shared" si="26"/>
        <v>32506489.085653242</v>
      </c>
      <c r="P102" s="678">
        <f t="shared" si="26"/>
        <v>32506489.085653242</v>
      </c>
      <c r="Q102" s="678">
        <f t="shared" si="26"/>
        <v>32506489.085653242</v>
      </c>
      <c r="R102" s="678">
        <f t="shared" si="26"/>
        <v>32506489.085653242</v>
      </c>
      <c r="S102" s="678">
        <f t="shared" si="26"/>
        <v>32506489.085653242</v>
      </c>
      <c r="T102" s="678">
        <f t="shared" si="26"/>
        <v>32506489.085653242</v>
      </c>
      <c r="U102" s="678">
        <f t="shared" si="26"/>
        <v>32506489.085653242</v>
      </c>
      <c r="V102" s="678">
        <f t="shared" si="26"/>
        <v>32506489.085653242</v>
      </c>
      <c r="W102" s="678">
        <f t="shared" si="26"/>
        <v>32506489.085653242</v>
      </c>
      <c r="X102" s="678">
        <f t="shared" si="26"/>
        <v>32506489.085653242</v>
      </c>
      <c r="Y102" s="678">
        <f t="shared" si="26"/>
        <v>32506489.085653242</v>
      </c>
      <c r="Z102" s="678">
        <f t="shared" si="26"/>
        <v>32506489.085653242</v>
      </c>
      <c r="AA102" s="678">
        <f t="shared" si="26"/>
        <v>32506489.085653242</v>
      </c>
      <c r="AB102" s="678">
        <f t="shared" si="26"/>
        <v>32506489.085653242</v>
      </c>
    </row>
    <row r="103" spans="1:28">
      <c r="A103" s="5" t="s">
        <v>281</v>
      </c>
      <c r="B103" s="12">
        <f>B65*B48*ValUncertainty_and_Market_Adjustment_for_Kerosene</f>
        <v>63249497.234525435</v>
      </c>
      <c r="C103" s="14"/>
      <c r="D103" s="678">
        <f>$B$103</f>
        <v>63249497.234525435</v>
      </c>
      <c r="E103" s="678">
        <f t="shared" ref="E103:AB103" si="27">$B$103</f>
        <v>63249497.234525435</v>
      </c>
      <c r="F103" s="678">
        <f t="shared" si="27"/>
        <v>63249497.234525435</v>
      </c>
      <c r="G103" s="678">
        <f t="shared" si="27"/>
        <v>63249497.234525435</v>
      </c>
      <c r="H103" s="678">
        <f t="shared" si="27"/>
        <v>63249497.234525435</v>
      </c>
      <c r="I103" s="678">
        <f t="shared" si="27"/>
        <v>63249497.234525435</v>
      </c>
      <c r="J103" s="678">
        <f t="shared" si="27"/>
        <v>63249497.234525435</v>
      </c>
      <c r="K103" s="678">
        <f t="shared" si="27"/>
        <v>63249497.234525435</v>
      </c>
      <c r="L103" s="678">
        <f t="shared" si="27"/>
        <v>63249497.234525435</v>
      </c>
      <c r="M103" s="678">
        <f t="shared" si="27"/>
        <v>63249497.234525435</v>
      </c>
      <c r="N103" s="678">
        <f t="shared" si="27"/>
        <v>63249497.234525435</v>
      </c>
      <c r="O103" s="678">
        <f t="shared" si="27"/>
        <v>63249497.234525435</v>
      </c>
      <c r="P103" s="678">
        <f t="shared" si="27"/>
        <v>63249497.234525435</v>
      </c>
      <c r="Q103" s="678">
        <f t="shared" si="27"/>
        <v>63249497.234525435</v>
      </c>
      <c r="R103" s="678">
        <f t="shared" si="27"/>
        <v>63249497.234525435</v>
      </c>
      <c r="S103" s="678">
        <f t="shared" si="27"/>
        <v>63249497.234525435</v>
      </c>
      <c r="T103" s="678">
        <f t="shared" si="27"/>
        <v>63249497.234525435</v>
      </c>
      <c r="U103" s="678">
        <f t="shared" si="27"/>
        <v>63249497.234525435</v>
      </c>
      <c r="V103" s="678">
        <f t="shared" si="27"/>
        <v>63249497.234525435</v>
      </c>
      <c r="W103" s="678">
        <f t="shared" si="27"/>
        <v>63249497.234525435</v>
      </c>
      <c r="X103" s="678">
        <f t="shared" si="27"/>
        <v>63249497.234525435</v>
      </c>
      <c r="Y103" s="678">
        <f t="shared" si="27"/>
        <v>63249497.234525435</v>
      </c>
      <c r="Z103" s="678">
        <f t="shared" si="27"/>
        <v>63249497.234525435</v>
      </c>
      <c r="AA103" s="678">
        <f t="shared" si="27"/>
        <v>63249497.234525435</v>
      </c>
      <c r="AB103" s="678">
        <f t="shared" si="27"/>
        <v>63249497.234525435</v>
      </c>
    </row>
    <row r="104" spans="1:28">
      <c r="A104" s="846" t="s">
        <v>282</v>
      </c>
      <c r="B104" s="694">
        <f>B103*EvalFuelwood*EfficiencyValFuelwood*(1/B45)</f>
        <v>42166331.489683621</v>
      </c>
      <c r="C104" s="14"/>
      <c r="D104" s="678">
        <f>$B$104</f>
        <v>42166331.489683621</v>
      </c>
      <c r="E104" s="678">
        <f t="shared" ref="E104:AB104" si="28">$B$104</f>
        <v>42166331.489683621</v>
      </c>
      <c r="F104" s="678">
        <f t="shared" si="28"/>
        <v>42166331.489683621</v>
      </c>
      <c r="G104" s="678">
        <f t="shared" si="28"/>
        <v>42166331.489683621</v>
      </c>
      <c r="H104" s="678">
        <f t="shared" si="28"/>
        <v>42166331.489683621</v>
      </c>
      <c r="I104" s="678">
        <f t="shared" si="28"/>
        <v>42166331.489683621</v>
      </c>
      <c r="J104" s="678">
        <f t="shared" si="28"/>
        <v>42166331.489683621</v>
      </c>
      <c r="K104" s="678">
        <f t="shared" si="28"/>
        <v>42166331.489683621</v>
      </c>
      <c r="L104" s="678">
        <f t="shared" si="28"/>
        <v>42166331.489683621</v>
      </c>
      <c r="M104" s="678">
        <f t="shared" si="28"/>
        <v>42166331.489683621</v>
      </c>
      <c r="N104" s="678">
        <f t="shared" si="28"/>
        <v>42166331.489683621</v>
      </c>
      <c r="O104" s="678">
        <f t="shared" si="28"/>
        <v>42166331.489683621</v>
      </c>
      <c r="P104" s="678">
        <f t="shared" si="28"/>
        <v>42166331.489683621</v>
      </c>
      <c r="Q104" s="678">
        <f t="shared" si="28"/>
        <v>42166331.489683621</v>
      </c>
      <c r="R104" s="678">
        <f t="shared" si="28"/>
        <v>42166331.489683621</v>
      </c>
      <c r="S104" s="678">
        <f t="shared" si="28"/>
        <v>42166331.489683621</v>
      </c>
      <c r="T104" s="678">
        <f t="shared" si="28"/>
        <v>42166331.489683621</v>
      </c>
      <c r="U104" s="678">
        <f t="shared" si="28"/>
        <v>42166331.489683621</v>
      </c>
      <c r="V104" s="678">
        <f t="shared" si="28"/>
        <v>42166331.489683621</v>
      </c>
      <c r="W104" s="678">
        <f t="shared" si="28"/>
        <v>42166331.489683621</v>
      </c>
      <c r="X104" s="678">
        <f t="shared" si="28"/>
        <v>42166331.489683621</v>
      </c>
      <c r="Y104" s="678">
        <f t="shared" si="28"/>
        <v>42166331.489683621</v>
      </c>
      <c r="Z104" s="678">
        <f t="shared" si="28"/>
        <v>42166331.489683621</v>
      </c>
      <c r="AA104" s="678">
        <f t="shared" si="28"/>
        <v>42166331.489683621</v>
      </c>
      <c r="AB104" s="678">
        <f t="shared" si="28"/>
        <v>42166331.489683621</v>
      </c>
    </row>
    <row r="105" spans="1:28" ht="24.95">
      <c r="A105" s="7" t="s">
        <v>283</v>
      </c>
      <c r="B105" s="12">
        <f>B104*GensetCapacityUtilFac</f>
        <v>23175903.46077767</v>
      </c>
      <c r="C105" s="14"/>
      <c r="D105" s="678">
        <f>$B$105</f>
        <v>23175903.46077767</v>
      </c>
      <c r="E105" s="678">
        <f t="shared" ref="E105:AB105" si="29">$B$105</f>
        <v>23175903.46077767</v>
      </c>
      <c r="F105" s="678">
        <f t="shared" si="29"/>
        <v>23175903.46077767</v>
      </c>
      <c r="G105" s="678">
        <f t="shared" si="29"/>
        <v>23175903.46077767</v>
      </c>
      <c r="H105" s="678">
        <f t="shared" si="29"/>
        <v>23175903.46077767</v>
      </c>
      <c r="I105" s="678">
        <f t="shared" si="29"/>
        <v>23175903.46077767</v>
      </c>
      <c r="J105" s="678">
        <f t="shared" si="29"/>
        <v>23175903.46077767</v>
      </c>
      <c r="K105" s="678">
        <f t="shared" si="29"/>
        <v>23175903.46077767</v>
      </c>
      <c r="L105" s="678">
        <f t="shared" si="29"/>
        <v>23175903.46077767</v>
      </c>
      <c r="M105" s="678">
        <f t="shared" si="29"/>
        <v>23175903.46077767</v>
      </c>
      <c r="N105" s="678">
        <f t="shared" si="29"/>
        <v>23175903.46077767</v>
      </c>
      <c r="O105" s="678">
        <f t="shared" si="29"/>
        <v>23175903.46077767</v>
      </c>
      <c r="P105" s="678">
        <f t="shared" si="29"/>
        <v>23175903.46077767</v>
      </c>
      <c r="Q105" s="678">
        <f t="shared" si="29"/>
        <v>23175903.46077767</v>
      </c>
      <c r="R105" s="678">
        <f t="shared" si="29"/>
        <v>23175903.46077767</v>
      </c>
      <c r="S105" s="678">
        <f t="shared" si="29"/>
        <v>23175903.46077767</v>
      </c>
      <c r="T105" s="678">
        <f t="shared" si="29"/>
        <v>23175903.46077767</v>
      </c>
      <c r="U105" s="678">
        <f t="shared" si="29"/>
        <v>23175903.46077767</v>
      </c>
      <c r="V105" s="678">
        <f t="shared" si="29"/>
        <v>23175903.46077767</v>
      </c>
      <c r="W105" s="678">
        <f t="shared" si="29"/>
        <v>23175903.46077767</v>
      </c>
      <c r="X105" s="678">
        <f t="shared" si="29"/>
        <v>23175903.46077767</v>
      </c>
      <c r="Y105" s="678">
        <f t="shared" si="29"/>
        <v>23175903.46077767</v>
      </c>
      <c r="Z105" s="678">
        <f t="shared" si="29"/>
        <v>23175903.46077767</v>
      </c>
      <c r="AA105" s="678">
        <f t="shared" si="29"/>
        <v>23175903.46077767</v>
      </c>
      <c r="AB105" s="678">
        <f t="shared" si="29"/>
        <v>23175903.46077767</v>
      </c>
    </row>
    <row r="106" spans="1:28">
      <c r="A106" s="7"/>
      <c r="B106" s="12"/>
      <c r="C106" s="14"/>
      <c r="D106" s="678"/>
      <c r="E106" s="678"/>
      <c r="F106" s="678"/>
      <c r="G106" s="678"/>
      <c r="H106" s="678"/>
      <c r="I106" s="678"/>
      <c r="J106" s="678"/>
      <c r="K106" s="678"/>
      <c r="L106" s="678"/>
      <c r="M106" s="678"/>
      <c r="N106" s="678"/>
      <c r="O106" s="678"/>
      <c r="P106" s="678"/>
      <c r="Q106" s="678"/>
      <c r="R106" s="678"/>
      <c r="S106" s="678"/>
      <c r="T106" s="678"/>
      <c r="U106" s="678"/>
      <c r="V106" s="678"/>
      <c r="W106" s="678"/>
      <c r="X106" s="678"/>
      <c r="Y106" s="678"/>
      <c r="Z106" s="678"/>
      <c r="AA106" s="678"/>
      <c r="AB106" s="678"/>
    </row>
    <row r="107" spans="1:28">
      <c r="A107" s="7"/>
      <c r="B107" s="12"/>
      <c r="C107" s="14"/>
      <c r="D107" s="678"/>
      <c r="E107" s="678"/>
      <c r="F107" s="678"/>
      <c r="G107" s="678"/>
      <c r="H107" s="678"/>
      <c r="I107" s="678"/>
      <c r="J107" s="678"/>
      <c r="K107" s="678"/>
      <c r="L107" s="678"/>
      <c r="M107" s="678"/>
      <c r="N107" s="678"/>
      <c r="O107" s="678"/>
      <c r="P107" s="678"/>
      <c r="Q107" s="678"/>
      <c r="R107" s="678"/>
      <c r="S107" s="678"/>
      <c r="T107" s="678"/>
      <c r="U107" s="678"/>
      <c r="V107" s="678"/>
      <c r="W107" s="678"/>
      <c r="X107" s="678"/>
      <c r="Y107" s="678"/>
      <c r="Z107" s="678"/>
      <c r="AA107" s="678"/>
      <c r="AB107" s="678"/>
    </row>
    <row r="108" spans="1:28" ht="21">
      <c r="A108" s="705" t="s">
        <v>284</v>
      </c>
      <c r="B108" s="706" t="s">
        <v>162</v>
      </c>
      <c r="C108" s="14"/>
      <c r="D108" s="678"/>
      <c r="E108" s="678"/>
      <c r="F108" s="678"/>
      <c r="G108" s="678"/>
      <c r="H108" s="678"/>
      <c r="I108" s="678"/>
      <c r="J108" s="678"/>
      <c r="K108" s="678"/>
      <c r="L108" s="678"/>
      <c r="M108" s="678"/>
      <c r="N108" s="678"/>
      <c r="O108" s="678"/>
      <c r="P108" s="678"/>
      <c r="Q108" s="678"/>
      <c r="R108" s="678"/>
      <c r="S108" s="678"/>
      <c r="T108" s="678"/>
      <c r="U108" s="678"/>
      <c r="V108" s="678"/>
      <c r="W108" s="678"/>
      <c r="X108" s="678"/>
      <c r="Y108" s="678"/>
      <c r="Z108" s="678"/>
      <c r="AA108" s="678"/>
      <c r="AB108" s="678"/>
    </row>
    <row r="109" spans="1:28" ht="24.95">
      <c r="A109" s="7" t="s">
        <v>88</v>
      </c>
      <c r="B109" s="12">
        <f>B95</f>
        <v>1655154.7493111512</v>
      </c>
      <c r="C109" s="14"/>
      <c r="D109" s="678"/>
      <c r="E109" s="678"/>
      <c r="F109" s="678"/>
      <c r="G109" s="678"/>
      <c r="H109" s="678"/>
      <c r="I109" s="678"/>
      <c r="J109" s="678"/>
      <c r="K109" s="678"/>
      <c r="L109" s="678"/>
      <c r="M109" s="678"/>
      <c r="N109" s="678"/>
      <c r="O109" s="678"/>
      <c r="P109" s="678"/>
      <c r="Q109" s="678"/>
      <c r="R109" s="678"/>
      <c r="S109" s="678"/>
      <c r="T109" s="678"/>
      <c r="U109" s="678"/>
      <c r="V109" s="678"/>
      <c r="W109" s="678"/>
      <c r="X109" s="678"/>
      <c r="Y109" s="678"/>
      <c r="Z109" s="678"/>
      <c r="AA109" s="678"/>
      <c r="AB109" s="678"/>
    </row>
    <row r="110" spans="1:28" ht="37.5">
      <c r="A110" s="7" t="s">
        <v>89</v>
      </c>
      <c r="B110" s="12">
        <f>SUM(D96:AB96)</f>
        <v>14539402.024942685</v>
      </c>
      <c r="C110" s="14"/>
      <c r="D110" s="678"/>
      <c r="E110" s="678"/>
      <c r="F110" s="678"/>
      <c r="G110" s="678"/>
      <c r="H110" s="678"/>
      <c r="I110" s="678"/>
      <c r="J110" s="678"/>
      <c r="K110" s="678"/>
      <c r="L110" s="678"/>
      <c r="M110" s="678"/>
      <c r="N110" s="678"/>
      <c r="O110" s="678"/>
      <c r="P110" s="678"/>
      <c r="Q110" s="678"/>
      <c r="R110" s="678"/>
      <c r="S110" s="678"/>
      <c r="T110" s="678"/>
      <c r="U110" s="678"/>
      <c r="V110" s="678"/>
      <c r="W110" s="678"/>
      <c r="X110" s="678"/>
      <c r="Y110" s="678"/>
      <c r="Z110" s="678"/>
      <c r="AA110" s="678"/>
      <c r="AB110" s="678"/>
    </row>
    <row r="111" spans="1:28" ht="37.5">
      <c r="A111" s="7" t="s">
        <v>90</v>
      </c>
      <c r="B111" s="12">
        <f>SUM(D97:AB97)</f>
        <v>9826826.5844366029</v>
      </c>
      <c r="C111" s="14"/>
      <c r="D111" s="678"/>
      <c r="E111" s="678"/>
      <c r="F111" s="678"/>
      <c r="G111" s="678"/>
      <c r="H111" s="678"/>
      <c r="I111" s="678"/>
      <c r="J111" s="678"/>
      <c r="K111" s="678"/>
      <c r="L111" s="678"/>
      <c r="M111" s="678"/>
      <c r="N111" s="678"/>
      <c r="O111" s="678"/>
      <c r="P111" s="678"/>
      <c r="Q111" s="678"/>
      <c r="R111" s="678"/>
      <c r="S111" s="678"/>
      <c r="T111" s="678"/>
      <c r="U111" s="678"/>
      <c r="V111" s="678"/>
      <c r="W111" s="678"/>
      <c r="X111" s="678"/>
      <c r="Y111" s="678"/>
      <c r="Z111" s="678"/>
      <c r="AA111" s="678"/>
      <c r="AB111" s="678"/>
    </row>
    <row r="112" spans="1:28" ht="15" thickBot="1">
      <c r="A112" s="7"/>
      <c r="B112" s="12"/>
      <c r="C112" s="14"/>
      <c r="D112" s="678"/>
      <c r="E112" s="678"/>
      <c r="F112" s="678"/>
      <c r="G112" s="678"/>
      <c r="H112" s="678"/>
      <c r="I112" s="678"/>
      <c r="J112" s="678"/>
      <c r="K112" s="678"/>
      <c r="L112" s="678"/>
      <c r="M112" s="678"/>
      <c r="N112" s="678"/>
      <c r="O112" s="678"/>
      <c r="P112" s="678"/>
      <c r="Q112" s="678"/>
      <c r="R112" s="678"/>
      <c r="S112" s="678"/>
      <c r="T112" s="678"/>
      <c r="U112" s="678"/>
      <c r="V112" s="678"/>
      <c r="W112" s="678"/>
      <c r="X112" s="678"/>
      <c r="Y112" s="678"/>
      <c r="Z112" s="678"/>
      <c r="AA112" s="678"/>
      <c r="AB112" s="678"/>
    </row>
    <row r="113" spans="1:28" ht="15" thickBot="1">
      <c r="A113" s="679" t="s">
        <v>91</v>
      </c>
      <c r="B113" s="688">
        <f>IRR(D88:AB88)</f>
        <v>3.1482882767005504E-2</v>
      </c>
      <c r="C113" s="680"/>
      <c r="D113" s="678"/>
      <c r="E113" s="678"/>
      <c r="F113" s="678"/>
      <c r="G113" s="678"/>
      <c r="H113" s="678"/>
      <c r="I113" s="678"/>
      <c r="J113" s="678"/>
      <c r="K113" s="678"/>
      <c r="L113" s="678"/>
      <c r="M113" s="678"/>
      <c r="N113" s="678"/>
      <c r="O113" s="678"/>
      <c r="P113" s="678"/>
      <c r="Q113" s="678"/>
      <c r="R113" s="678"/>
      <c r="S113" s="678"/>
      <c r="T113" s="678"/>
      <c r="U113" s="678"/>
      <c r="V113" s="678"/>
      <c r="W113" s="678"/>
      <c r="X113" s="678"/>
      <c r="Y113" s="678"/>
      <c r="Z113" s="678"/>
      <c r="AA113" s="678"/>
      <c r="AB113" s="678"/>
    </row>
    <row r="114" spans="1:28" ht="15" thickBot="1">
      <c r="A114" s="682" t="s">
        <v>92</v>
      </c>
      <c r="B114" s="683">
        <f>NPV(Cost_of_borrowing_from_GCF,D88:AB88)</f>
        <v>2162520.5670540775</v>
      </c>
      <c r="C114" s="680"/>
      <c r="D114" s="678"/>
      <c r="E114" s="678"/>
      <c r="F114" s="678"/>
      <c r="G114" s="678"/>
      <c r="H114" s="678"/>
      <c r="I114" s="678"/>
      <c r="J114" s="678"/>
      <c r="K114" s="678"/>
      <c r="L114" s="678"/>
      <c r="M114" s="678"/>
      <c r="N114" s="678"/>
      <c r="O114" s="678"/>
      <c r="P114" s="678"/>
      <c r="Q114" s="678"/>
      <c r="R114" s="678"/>
      <c r="S114" s="678"/>
      <c r="T114" s="678"/>
      <c r="U114" s="678"/>
      <c r="V114" s="678"/>
      <c r="W114" s="678"/>
      <c r="X114" s="678"/>
      <c r="Y114" s="678"/>
      <c r="Z114" s="678"/>
      <c r="AA114" s="678"/>
      <c r="AB114" s="678"/>
    </row>
    <row r="115" spans="1:28" ht="15" thickBot="1">
      <c r="A115" s="682" t="s">
        <v>93</v>
      </c>
      <c r="B115" s="683">
        <f>NPV(SocDiscountRate,D88:AB88)</f>
        <v>-3310059.1189407455</v>
      </c>
      <c r="C115" s="681"/>
      <c r="D115" s="678"/>
      <c r="E115" s="678"/>
      <c r="F115" s="678"/>
      <c r="G115" s="678"/>
      <c r="H115" s="678"/>
      <c r="I115" s="678"/>
      <c r="J115" s="678"/>
      <c r="K115" s="678"/>
      <c r="L115" s="678"/>
      <c r="M115" s="678"/>
      <c r="N115" s="678"/>
      <c r="O115" s="678"/>
      <c r="P115" s="678"/>
      <c r="Q115" s="678"/>
      <c r="R115" s="678"/>
      <c r="S115" s="678"/>
      <c r="T115" s="678"/>
      <c r="U115" s="678"/>
      <c r="V115" s="678"/>
      <c r="W115" s="678"/>
      <c r="X115" s="678"/>
      <c r="Y115" s="678"/>
      <c r="Z115" s="678"/>
      <c r="AA115" s="678"/>
      <c r="AB115" s="678"/>
    </row>
    <row r="116" spans="1:28">
      <c r="A116" s="682" t="s">
        <v>94</v>
      </c>
      <c r="B116" s="683">
        <f>NPV(EscoDiscountRate,D88:AB88)</f>
        <v>-4079516.359805122</v>
      </c>
      <c r="C116" s="681"/>
      <c r="D116" s="678"/>
      <c r="E116" s="678"/>
      <c r="F116" s="678"/>
      <c r="G116" s="678"/>
      <c r="H116" s="678"/>
      <c r="I116" s="678"/>
      <c r="J116" s="678"/>
      <c r="K116" s="678"/>
      <c r="L116" s="678"/>
      <c r="M116" s="678"/>
      <c r="N116" s="678"/>
      <c r="O116" s="678"/>
      <c r="P116" s="678"/>
      <c r="Q116" s="678"/>
      <c r="R116" s="678"/>
      <c r="S116" s="678"/>
      <c r="T116" s="678"/>
      <c r="U116" s="678"/>
      <c r="V116" s="678"/>
      <c r="W116" s="678"/>
      <c r="X116" s="678"/>
      <c r="Y116" s="678"/>
      <c r="Z116" s="678"/>
      <c r="AA116" s="678"/>
      <c r="AB116" s="678"/>
    </row>
    <row r="117" spans="1:28">
      <c r="A117" s="7"/>
      <c r="B117" s="12"/>
      <c r="C117" s="14"/>
      <c r="D117" s="678"/>
      <c r="E117" s="678"/>
      <c r="F117" s="678"/>
      <c r="G117" s="678"/>
      <c r="H117" s="678"/>
      <c r="I117" s="678"/>
      <c r="J117" s="678"/>
      <c r="K117" s="678"/>
      <c r="L117" s="678"/>
      <c r="M117" s="678"/>
      <c r="N117" s="678"/>
      <c r="O117" s="678"/>
      <c r="P117" s="678"/>
      <c r="Q117" s="678"/>
      <c r="R117" s="678"/>
      <c r="S117" s="678"/>
      <c r="T117" s="678"/>
      <c r="U117" s="678"/>
      <c r="V117" s="678"/>
      <c r="W117" s="678"/>
      <c r="X117" s="678"/>
      <c r="Y117" s="678"/>
      <c r="Z117" s="678"/>
      <c r="AA117" s="678"/>
      <c r="AB117" s="678"/>
    </row>
    <row r="118" spans="1:28">
      <c r="A118" s="7"/>
      <c r="B118" s="12"/>
      <c r="C118" s="14"/>
      <c r="D118" s="678"/>
      <c r="E118" s="678"/>
      <c r="F118" s="678"/>
      <c r="G118" s="678"/>
      <c r="H118" s="678"/>
      <c r="I118" s="678"/>
      <c r="J118" s="678"/>
      <c r="K118" s="678"/>
      <c r="L118" s="678"/>
      <c r="M118" s="678"/>
      <c r="N118" s="678"/>
      <c r="O118" s="678"/>
      <c r="P118" s="678"/>
      <c r="Q118" s="678"/>
      <c r="R118" s="678"/>
      <c r="S118" s="678"/>
      <c r="T118" s="678"/>
      <c r="U118" s="678"/>
      <c r="V118" s="678"/>
      <c r="W118" s="678"/>
      <c r="X118" s="678"/>
      <c r="Y118" s="678"/>
      <c r="Z118" s="678"/>
      <c r="AA118" s="678"/>
      <c r="AB118" s="678"/>
    </row>
    <row r="119" spans="1:28">
      <c r="C119" s="14"/>
      <c r="D119" s="678"/>
      <c r="E119" s="678"/>
      <c r="F119" s="678"/>
      <c r="G119" s="678"/>
      <c r="H119" s="678"/>
      <c r="I119" s="678"/>
      <c r="J119" s="678"/>
      <c r="K119" s="678"/>
      <c r="L119" s="678"/>
      <c r="M119" s="678"/>
      <c r="N119" s="678"/>
      <c r="O119" s="678"/>
      <c r="P119" s="678"/>
      <c r="Q119" s="678"/>
      <c r="R119" s="678"/>
      <c r="S119" s="678"/>
      <c r="T119" s="678"/>
      <c r="U119" s="678"/>
      <c r="V119" s="678"/>
      <c r="W119" s="678"/>
      <c r="X119" s="678"/>
      <c r="Y119" s="678"/>
      <c r="Z119" s="678"/>
      <c r="AA119" s="678"/>
      <c r="AB119" s="678"/>
    </row>
    <row r="120" spans="1:28">
      <c r="C120" s="14"/>
      <c r="D120" s="678"/>
      <c r="E120" s="678"/>
      <c r="F120" s="678"/>
      <c r="G120" s="678"/>
      <c r="H120" s="678"/>
      <c r="I120" s="678"/>
      <c r="J120" s="678"/>
      <c r="K120" s="678"/>
      <c r="L120" s="678"/>
      <c r="M120" s="678"/>
      <c r="N120" s="678"/>
      <c r="O120" s="678"/>
      <c r="P120" s="678"/>
      <c r="Q120" s="678"/>
      <c r="R120" s="678"/>
      <c r="S120" s="678"/>
      <c r="T120" s="678"/>
      <c r="U120" s="678"/>
      <c r="V120" s="678"/>
      <c r="W120" s="678"/>
      <c r="X120" s="678"/>
      <c r="Y120" s="678"/>
      <c r="Z120" s="678"/>
      <c r="AA120" s="678"/>
      <c r="AB120" s="678"/>
    </row>
    <row r="121" spans="1:28">
      <c r="C121" s="14"/>
      <c r="D121" s="678"/>
      <c r="E121" s="678"/>
      <c r="F121" s="678"/>
      <c r="G121" s="678"/>
      <c r="H121" s="678"/>
      <c r="I121" s="678"/>
      <c r="J121" s="678"/>
      <c r="K121" s="678"/>
      <c r="L121" s="678"/>
      <c r="M121" s="678"/>
      <c r="N121" s="678"/>
      <c r="O121" s="678"/>
      <c r="P121" s="678"/>
      <c r="Q121" s="678"/>
      <c r="R121" s="678"/>
      <c r="S121" s="678"/>
      <c r="T121" s="678"/>
      <c r="U121" s="678"/>
      <c r="V121" s="678"/>
      <c r="W121" s="678"/>
      <c r="X121" s="678"/>
      <c r="Y121" s="678"/>
      <c r="Z121" s="678"/>
      <c r="AA121" s="678"/>
      <c r="AB121" s="678"/>
    </row>
    <row r="122" spans="1:28">
      <c r="C122" s="14"/>
      <c r="D122" s="678"/>
      <c r="E122" s="678"/>
      <c r="F122" s="678"/>
      <c r="G122" s="678"/>
      <c r="H122" s="678"/>
      <c r="I122" s="678"/>
      <c r="J122" s="678"/>
      <c r="K122" s="678"/>
      <c r="L122" s="678"/>
      <c r="M122" s="678"/>
      <c r="N122" s="678"/>
      <c r="O122" s="678"/>
      <c r="P122" s="678"/>
      <c r="Q122" s="678"/>
      <c r="R122" s="678"/>
      <c r="S122" s="678"/>
      <c r="T122" s="678"/>
      <c r="U122" s="678"/>
      <c r="V122" s="678"/>
      <c r="W122" s="678"/>
      <c r="X122" s="678"/>
      <c r="Y122" s="678"/>
      <c r="Z122" s="678"/>
      <c r="AA122" s="678"/>
      <c r="AB122" s="678"/>
    </row>
    <row r="123" spans="1:28">
      <c r="A123" s="7"/>
      <c r="B123" s="12"/>
      <c r="C123" s="14"/>
      <c r="D123" s="678"/>
      <c r="E123" s="678"/>
      <c r="F123" s="678"/>
      <c r="G123" s="678"/>
      <c r="H123" s="678"/>
      <c r="I123" s="678"/>
      <c r="J123" s="678"/>
      <c r="K123" s="678"/>
      <c r="L123" s="678"/>
      <c r="M123" s="678"/>
      <c r="N123" s="678"/>
      <c r="O123" s="678"/>
      <c r="P123" s="678"/>
      <c r="Q123" s="678"/>
      <c r="R123" s="678"/>
      <c r="S123" s="678"/>
      <c r="T123" s="678"/>
      <c r="U123" s="678"/>
      <c r="V123" s="678"/>
      <c r="W123" s="678"/>
      <c r="X123" s="678"/>
      <c r="Y123" s="678"/>
      <c r="Z123" s="678"/>
      <c r="AA123" s="678"/>
      <c r="AB123" s="678"/>
    </row>
    <row r="124" spans="1:28">
      <c r="A124" s="7"/>
      <c r="B124" s="12"/>
      <c r="C124" s="14"/>
      <c r="D124" s="678"/>
      <c r="E124" s="678"/>
      <c r="F124" s="678"/>
      <c r="G124" s="678"/>
      <c r="H124" s="678"/>
      <c r="I124" s="678"/>
      <c r="J124" s="678"/>
      <c r="K124" s="678"/>
      <c r="L124" s="678"/>
      <c r="M124" s="678"/>
      <c r="N124" s="678"/>
      <c r="O124" s="678"/>
      <c r="P124" s="678"/>
      <c r="Q124" s="678"/>
      <c r="R124" s="678"/>
      <c r="S124" s="678"/>
      <c r="T124" s="678"/>
      <c r="U124" s="678"/>
      <c r="V124" s="678"/>
      <c r="W124" s="678"/>
      <c r="X124" s="678"/>
      <c r="Y124" s="678"/>
      <c r="Z124" s="678"/>
      <c r="AA124" s="678"/>
      <c r="AB124" s="678"/>
    </row>
    <row r="125" spans="1:28">
      <c r="A125" s="7"/>
      <c r="B125" s="12"/>
      <c r="C125" s="14"/>
      <c r="D125" s="11"/>
      <c r="E125" s="11"/>
      <c r="F125" s="11"/>
      <c r="H125" s="6"/>
      <c r="I125" s="6"/>
      <c r="J125" s="6"/>
      <c r="K125" s="6"/>
      <c r="L125" s="6"/>
      <c r="M125" s="6"/>
      <c r="N125" s="6"/>
    </row>
    <row r="130" spans="1:2">
      <c r="A130" s="11" t="s">
        <v>285</v>
      </c>
    </row>
    <row r="131" spans="1:2" ht="29.1">
      <c r="A131" s="849" t="s">
        <v>286</v>
      </c>
    </row>
    <row r="132" spans="1:2">
      <c r="A132" s="846" t="s">
        <v>287</v>
      </c>
    </row>
    <row r="133" spans="1:2">
      <c r="A133" s="846" t="s">
        <v>288</v>
      </c>
    </row>
    <row r="134" spans="1:2" ht="57.95">
      <c r="A134" s="660" t="s">
        <v>289</v>
      </c>
    </row>
    <row r="135" spans="1:2">
      <c r="A135" s="846" t="s">
        <v>290</v>
      </c>
    </row>
    <row r="136" spans="1:2">
      <c r="A136" s="15" t="s">
        <v>291</v>
      </c>
      <c r="B136" s="846" t="s">
        <v>292</v>
      </c>
    </row>
  </sheetData>
  <mergeCells count="1">
    <mergeCell ref="A3:A4"/>
  </mergeCells>
  <phoneticPr fontId="79" type="noConversion"/>
  <hyperlinks>
    <hyperlink ref="A136" r:id="rId1" display="https://ghgprotocol.org/calculation-tools" xr:uid="{CB77D1C8-8CB2-4D89-9E5B-71435BDB20B1}"/>
  </hyperlinks>
  <pageMargins left="0.7" right="0.7" top="0.75" bottom="0.75" header="0.3" footer="0.3"/>
  <pageSetup paperSize="9"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F6ECCF-FD18-40B7-BACD-F571144C6F15}">
  <sheetPr codeName="Sheet17">
    <tabColor rgb="FF00B050"/>
  </sheetPr>
  <dimension ref="A1:AM173"/>
  <sheetViews>
    <sheetView showGridLines="0" topLeftCell="A132" zoomScaleNormal="100" workbookViewId="0">
      <selection activeCell="D163" sqref="D163:D165"/>
    </sheetView>
  </sheetViews>
  <sheetFormatPr defaultColWidth="8.85546875" defaultRowHeight="12.6"/>
  <cols>
    <col min="1" max="1" width="7.28515625" style="474" customWidth="1"/>
    <col min="2" max="2" width="41" style="474" customWidth="1"/>
    <col min="3" max="3" width="23" style="474" customWidth="1"/>
    <col min="4" max="4" width="29.140625" style="474" customWidth="1"/>
    <col min="5" max="5" width="30.5703125" style="474" customWidth="1"/>
    <col min="6" max="6" width="22" style="474" customWidth="1"/>
    <col min="7" max="7" width="17.42578125" style="474" customWidth="1"/>
    <col min="8" max="8" width="19.85546875" style="474" customWidth="1"/>
    <col min="9" max="9" width="19.140625" style="474" customWidth="1"/>
    <col min="10" max="10" width="20.5703125" style="474" customWidth="1"/>
    <col min="11" max="11" width="19.7109375" style="474" customWidth="1"/>
    <col min="12" max="12" width="14.5703125" style="474" bestFit="1" customWidth="1"/>
    <col min="13" max="13" width="14.85546875" style="474" bestFit="1" customWidth="1"/>
    <col min="14" max="14" width="17.140625" style="474" customWidth="1"/>
    <col min="15" max="15" width="16.42578125" style="474" bestFit="1" customWidth="1"/>
    <col min="16" max="16" width="17.140625" style="474" bestFit="1" customWidth="1"/>
    <col min="17" max="17" width="24.28515625" style="474" customWidth="1"/>
    <col min="18" max="18" width="18.28515625" style="475" bestFit="1" customWidth="1"/>
    <col min="19" max="19" width="18.5703125" style="474" bestFit="1" customWidth="1"/>
    <col min="20" max="20" width="19.28515625" style="474" bestFit="1" customWidth="1"/>
    <col min="21" max="21" width="20.42578125" style="474" bestFit="1" customWidth="1"/>
    <col min="22" max="22" width="20.85546875" style="474" bestFit="1" customWidth="1"/>
    <col min="23" max="23" width="21.42578125" style="474" bestFit="1" customWidth="1"/>
    <col min="24" max="25" width="22.28515625" style="474" bestFit="1" customWidth="1"/>
    <col min="26" max="27" width="23.85546875" style="474" bestFit="1" customWidth="1"/>
    <col min="28" max="29" width="24.85546875" style="474" bestFit="1" customWidth="1"/>
    <col min="30" max="34" width="11.28515625" style="474" bestFit="1" customWidth="1"/>
    <col min="35" max="39" width="12.28515625" style="474" bestFit="1" customWidth="1"/>
    <col min="40" max="40" width="12" style="474" bestFit="1" customWidth="1"/>
    <col min="41" max="256" width="8.85546875" style="474"/>
    <col min="257" max="257" width="7.28515625" style="474" customWidth="1"/>
    <col min="258" max="258" width="41" style="474" customWidth="1"/>
    <col min="259" max="259" width="16" style="474" customWidth="1"/>
    <col min="260" max="260" width="16.140625" style="474" bestFit="1" customWidth="1"/>
    <col min="261" max="261" width="11.85546875" style="474" customWidth="1"/>
    <col min="262" max="262" width="12.42578125" style="474" bestFit="1" customWidth="1"/>
    <col min="263" max="264" width="13" style="474" bestFit="1" customWidth="1"/>
    <col min="265" max="265" width="12.7109375" style="474" bestFit="1" customWidth="1"/>
    <col min="266" max="266" width="13.42578125" style="474" bestFit="1" customWidth="1"/>
    <col min="267" max="267" width="13.7109375" style="474" bestFit="1" customWidth="1"/>
    <col min="268" max="268" width="14.5703125" style="474" bestFit="1" customWidth="1"/>
    <col min="269" max="269" width="14.85546875" style="474" bestFit="1" customWidth="1"/>
    <col min="270" max="270" width="17.140625" style="474" customWidth="1"/>
    <col min="271" max="271" width="16.42578125" style="474" bestFit="1" customWidth="1"/>
    <col min="272" max="272" width="17.140625" style="474" bestFit="1" customWidth="1"/>
    <col min="273" max="273" width="24.28515625" style="474" customWidth="1"/>
    <col min="274" max="274" width="18.28515625" style="474" bestFit="1" customWidth="1"/>
    <col min="275" max="275" width="18.5703125" style="474" bestFit="1" customWidth="1"/>
    <col min="276" max="276" width="19.28515625" style="474" bestFit="1" customWidth="1"/>
    <col min="277" max="277" width="20.42578125" style="474" bestFit="1" customWidth="1"/>
    <col min="278" max="278" width="20.85546875" style="474" bestFit="1" customWidth="1"/>
    <col min="279" max="279" width="21.42578125" style="474" bestFit="1" customWidth="1"/>
    <col min="280" max="281" width="22.28515625" style="474" bestFit="1" customWidth="1"/>
    <col min="282" max="283" width="23.85546875" style="474" bestFit="1" customWidth="1"/>
    <col min="284" max="285" width="24.85546875" style="474" bestFit="1" customWidth="1"/>
    <col min="286" max="290" width="11.28515625" style="474" bestFit="1" customWidth="1"/>
    <col min="291" max="295" width="12.28515625" style="474" bestFit="1" customWidth="1"/>
    <col min="296" max="296" width="12" style="474" bestFit="1" customWidth="1"/>
    <col min="297" max="512" width="8.85546875" style="474"/>
    <col min="513" max="513" width="7.28515625" style="474" customWidth="1"/>
    <col min="514" max="514" width="41" style="474" customWidth="1"/>
    <col min="515" max="515" width="16" style="474" customWidth="1"/>
    <col min="516" max="516" width="16.140625" style="474" bestFit="1" customWidth="1"/>
    <col min="517" max="517" width="11.85546875" style="474" customWidth="1"/>
    <col min="518" max="518" width="12.42578125" style="474" bestFit="1" customWidth="1"/>
    <col min="519" max="520" width="13" style="474" bestFit="1" customWidth="1"/>
    <col min="521" max="521" width="12.7109375" style="474" bestFit="1" customWidth="1"/>
    <col min="522" max="522" width="13.42578125" style="474" bestFit="1" customWidth="1"/>
    <col min="523" max="523" width="13.7109375" style="474" bestFit="1" customWidth="1"/>
    <col min="524" max="524" width="14.5703125" style="474" bestFit="1" customWidth="1"/>
    <col min="525" max="525" width="14.85546875" style="474" bestFit="1" customWidth="1"/>
    <col min="526" max="526" width="17.140625" style="474" customWidth="1"/>
    <col min="527" max="527" width="16.42578125" style="474" bestFit="1" customWidth="1"/>
    <col min="528" max="528" width="17.140625" style="474" bestFit="1" customWidth="1"/>
    <col min="529" max="529" width="24.28515625" style="474" customWidth="1"/>
    <col min="530" max="530" width="18.28515625" style="474" bestFit="1" customWidth="1"/>
    <col min="531" max="531" width="18.5703125" style="474" bestFit="1" customWidth="1"/>
    <col min="532" max="532" width="19.28515625" style="474" bestFit="1" customWidth="1"/>
    <col min="533" max="533" width="20.42578125" style="474" bestFit="1" customWidth="1"/>
    <col min="534" max="534" width="20.85546875" style="474" bestFit="1" customWidth="1"/>
    <col min="535" max="535" width="21.42578125" style="474" bestFit="1" customWidth="1"/>
    <col min="536" max="537" width="22.28515625" style="474" bestFit="1" customWidth="1"/>
    <col min="538" max="539" width="23.85546875" style="474" bestFit="1" customWidth="1"/>
    <col min="540" max="541" width="24.85546875" style="474" bestFit="1" customWidth="1"/>
    <col min="542" max="546" width="11.28515625" style="474" bestFit="1" customWidth="1"/>
    <col min="547" max="551" width="12.28515625" style="474" bestFit="1" customWidth="1"/>
    <col min="552" max="552" width="12" style="474" bestFit="1" customWidth="1"/>
    <col min="553" max="768" width="8.85546875" style="474"/>
    <col min="769" max="769" width="7.28515625" style="474" customWidth="1"/>
    <col min="770" max="770" width="41" style="474" customWidth="1"/>
    <col min="771" max="771" width="16" style="474" customWidth="1"/>
    <col min="772" max="772" width="16.140625" style="474" bestFit="1" customWidth="1"/>
    <col min="773" max="773" width="11.85546875" style="474" customWidth="1"/>
    <col min="774" max="774" width="12.42578125" style="474" bestFit="1" customWidth="1"/>
    <col min="775" max="776" width="13" style="474" bestFit="1" customWidth="1"/>
    <col min="777" max="777" width="12.7109375" style="474" bestFit="1" customWidth="1"/>
    <col min="778" max="778" width="13.42578125" style="474" bestFit="1" customWidth="1"/>
    <col min="779" max="779" width="13.7109375" style="474" bestFit="1" customWidth="1"/>
    <col min="780" max="780" width="14.5703125" style="474" bestFit="1" customWidth="1"/>
    <col min="781" max="781" width="14.85546875" style="474" bestFit="1" customWidth="1"/>
    <col min="782" max="782" width="17.140625" style="474" customWidth="1"/>
    <col min="783" max="783" width="16.42578125" style="474" bestFit="1" customWidth="1"/>
    <col min="784" max="784" width="17.140625" style="474" bestFit="1" customWidth="1"/>
    <col min="785" max="785" width="24.28515625" style="474" customWidth="1"/>
    <col min="786" max="786" width="18.28515625" style="474" bestFit="1" customWidth="1"/>
    <col min="787" max="787" width="18.5703125" style="474" bestFit="1" customWidth="1"/>
    <col min="788" max="788" width="19.28515625" style="474" bestFit="1" customWidth="1"/>
    <col min="789" max="789" width="20.42578125" style="474" bestFit="1" customWidth="1"/>
    <col min="790" max="790" width="20.85546875" style="474" bestFit="1" customWidth="1"/>
    <col min="791" max="791" width="21.42578125" style="474" bestFit="1" customWidth="1"/>
    <col min="792" max="793" width="22.28515625" style="474" bestFit="1" customWidth="1"/>
    <col min="794" max="795" width="23.85546875" style="474" bestFit="1" customWidth="1"/>
    <col min="796" max="797" width="24.85546875" style="474" bestFit="1" customWidth="1"/>
    <col min="798" max="802" width="11.28515625" style="474" bestFit="1" customWidth="1"/>
    <col min="803" max="807" width="12.28515625" style="474" bestFit="1" customWidth="1"/>
    <col min="808" max="808" width="12" style="474" bestFit="1" customWidth="1"/>
    <col min="809" max="1024" width="8.85546875" style="474"/>
    <col min="1025" max="1025" width="7.28515625" style="474" customWidth="1"/>
    <col min="1026" max="1026" width="41" style="474" customWidth="1"/>
    <col min="1027" max="1027" width="16" style="474" customWidth="1"/>
    <col min="1028" max="1028" width="16.140625" style="474" bestFit="1" customWidth="1"/>
    <col min="1029" max="1029" width="11.85546875" style="474" customWidth="1"/>
    <col min="1030" max="1030" width="12.42578125" style="474" bestFit="1" customWidth="1"/>
    <col min="1031" max="1032" width="13" style="474" bestFit="1" customWidth="1"/>
    <col min="1033" max="1033" width="12.7109375" style="474" bestFit="1" customWidth="1"/>
    <col min="1034" max="1034" width="13.42578125" style="474" bestFit="1" customWidth="1"/>
    <col min="1035" max="1035" width="13.7109375" style="474" bestFit="1" customWidth="1"/>
    <col min="1036" max="1036" width="14.5703125" style="474" bestFit="1" customWidth="1"/>
    <col min="1037" max="1037" width="14.85546875" style="474" bestFit="1" customWidth="1"/>
    <col min="1038" max="1038" width="17.140625" style="474" customWidth="1"/>
    <col min="1039" max="1039" width="16.42578125" style="474" bestFit="1" customWidth="1"/>
    <col min="1040" max="1040" width="17.140625" style="474" bestFit="1" customWidth="1"/>
    <col min="1041" max="1041" width="24.28515625" style="474" customWidth="1"/>
    <col min="1042" max="1042" width="18.28515625" style="474" bestFit="1" customWidth="1"/>
    <col min="1043" max="1043" width="18.5703125" style="474" bestFit="1" customWidth="1"/>
    <col min="1044" max="1044" width="19.28515625" style="474" bestFit="1" customWidth="1"/>
    <col min="1045" max="1045" width="20.42578125" style="474" bestFit="1" customWidth="1"/>
    <col min="1046" max="1046" width="20.85546875" style="474" bestFit="1" customWidth="1"/>
    <col min="1047" max="1047" width="21.42578125" style="474" bestFit="1" customWidth="1"/>
    <col min="1048" max="1049" width="22.28515625" style="474" bestFit="1" customWidth="1"/>
    <col min="1050" max="1051" width="23.85546875" style="474" bestFit="1" customWidth="1"/>
    <col min="1052" max="1053" width="24.85546875" style="474" bestFit="1" customWidth="1"/>
    <col min="1054" max="1058" width="11.28515625" style="474" bestFit="1" customWidth="1"/>
    <col min="1059" max="1063" width="12.28515625" style="474" bestFit="1" customWidth="1"/>
    <col min="1064" max="1064" width="12" style="474" bestFit="1" customWidth="1"/>
    <col min="1065" max="1280" width="8.85546875" style="474"/>
    <col min="1281" max="1281" width="7.28515625" style="474" customWidth="1"/>
    <col min="1282" max="1282" width="41" style="474" customWidth="1"/>
    <col min="1283" max="1283" width="16" style="474" customWidth="1"/>
    <col min="1284" max="1284" width="16.140625" style="474" bestFit="1" customWidth="1"/>
    <col min="1285" max="1285" width="11.85546875" style="474" customWidth="1"/>
    <col min="1286" max="1286" width="12.42578125" style="474" bestFit="1" customWidth="1"/>
    <col min="1287" max="1288" width="13" style="474" bestFit="1" customWidth="1"/>
    <col min="1289" max="1289" width="12.7109375" style="474" bestFit="1" customWidth="1"/>
    <col min="1290" max="1290" width="13.42578125" style="474" bestFit="1" customWidth="1"/>
    <col min="1291" max="1291" width="13.7109375" style="474" bestFit="1" customWidth="1"/>
    <col min="1292" max="1292" width="14.5703125" style="474" bestFit="1" customWidth="1"/>
    <col min="1293" max="1293" width="14.85546875" style="474" bestFit="1" customWidth="1"/>
    <col min="1294" max="1294" width="17.140625" style="474" customWidth="1"/>
    <col min="1295" max="1295" width="16.42578125" style="474" bestFit="1" customWidth="1"/>
    <col min="1296" max="1296" width="17.140625" style="474" bestFit="1" customWidth="1"/>
    <col min="1297" max="1297" width="24.28515625" style="474" customWidth="1"/>
    <col min="1298" max="1298" width="18.28515625" style="474" bestFit="1" customWidth="1"/>
    <col min="1299" max="1299" width="18.5703125" style="474" bestFit="1" customWidth="1"/>
    <col min="1300" max="1300" width="19.28515625" style="474" bestFit="1" customWidth="1"/>
    <col min="1301" max="1301" width="20.42578125" style="474" bestFit="1" customWidth="1"/>
    <col min="1302" max="1302" width="20.85546875" style="474" bestFit="1" customWidth="1"/>
    <col min="1303" max="1303" width="21.42578125" style="474" bestFit="1" customWidth="1"/>
    <col min="1304" max="1305" width="22.28515625" style="474" bestFit="1" customWidth="1"/>
    <col min="1306" max="1307" width="23.85546875" style="474" bestFit="1" customWidth="1"/>
    <col min="1308" max="1309" width="24.85546875" style="474" bestFit="1" customWidth="1"/>
    <col min="1310" max="1314" width="11.28515625" style="474" bestFit="1" customWidth="1"/>
    <col min="1315" max="1319" width="12.28515625" style="474" bestFit="1" customWidth="1"/>
    <col min="1320" max="1320" width="12" style="474" bestFit="1" customWidth="1"/>
    <col min="1321" max="1536" width="8.85546875" style="474"/>
    <col min="1537" max="1537" width="7.28515625" style="474" customWidth="1"/>
    <col min="1538" max="1538" width="41" style="474" customWidth="1"/>
    <col min="1539" max="1539" width="16" style="474" customWidth="1"/>
    <col min="1540" max="1540" width="16.140625" style="474" bestFit="1" customWidth="1"/>
    <col min="1541" max="1541" width="11.85546875" style="474" customWidth="1"/>
    <col min="1542" max="1542" width="12.42578125" style="474" bestFit="1" customWidth="1"/>
    <col min="1543" max="1544" width="13" style="474" bestFit="1" customWidth="1"/>
    <col min="1545" max="1545" width="12.7109375" style="474" bestFit="1" customWidth="1"/>
    <col min="1546" max="1546" width="13.42578125" style="474" bestFit="1" customWidth="1"/>
    <col min="1547" max="1547" width="13.7109375" style="474" bestFit="1" customWidth="1"/>
    <col min="1548" max="1548" width="14.5703125" style="474" bestFit="1" customWidth="1"/>
    <col min="1549" max="1549" width="14.85546875" style="474" bestFit="1" customWidth="1"/>
    <col min="1550" max="1550" width="17.140625" style="474" customWidth="1"/>
    <col min="1551" max="1551" width="16.42578125" style="474" bestFit="1" customWidth="1"/>
    <col min="1552" max="1552" width="17.140625" style="474" bestFit="1" customWidth="1"/>
    <col min="1553" max="1553" width="24.28515625" style="474" customWidth="1"/>
    <col min="1554" max="1554" width="18.28515625" style="474" bestFit="1" customWidth="1"/>
    <col min="1555" max="1555" width="18.5703125" style="474" bestFit="1" customWidth="1"/>
    <col min="1556" max="1556" width="19.28515625" style="474" bestFit="1" customWidth="1"/>
    <col min="1557" max="1557" width="20.42578125" style="474" bestFit="1" customWidth="1"/>
    <col min="1558" max="1558" width="20.85546875" style="474" bestFit="1" customWidth="1"/>
    <col min="1559" max="1559" width="21.42578125" style="474" bestFit="1" customWidth="1"/>
    <col min="1560" max="1561" width="22.28515625" style="474" bestFit="1" customWidth="1"/>
    <col min="1562" max="1563" width="23.85546875" style="474" bestFit="1" customWidth="1"/>
    <col min="1564" max="1565" width="24.85546875" style="474" bestFit="1" customWidth="1"/>
    <col min="1566" max="1570" width="11.28515625" style="474" bestFit="1" customWidth="1"/>
    <col min="1571" max="1575" width="12.28515625" style="474" bestFit="1" customWidth="1"/>
    <col min="1576" max="1576" width="12" style="474" bestFit="1" customWidth="1"/>
    <col min="1577" max="1792" width="8.85546875" style="474"/>
    <col min="1793" max="1793" width="7.28515625" style="474" customWidth="1"/>
    <col min="1794" max="1794" width="41" style="474" customWidth="1"/>
    <col min="1795" max="1795" width="16" style="474" customWidth="1"/>
    <col min="1796" max="1796" width="16.140625" style="474" bestFit="1" customWidth="1"/>
    <col min="1797" max="1797" width="11.85546875" style="474" customWidth="1"/>
    <col min="1798" max="1798" width="12.42578125" style="474" bestFit="1" customWidth="1"/>
    <col min="1799" max="1800" width="13" style="474" bestFit="1" customWidth="1"/>
    <col min="1801" max="1801" width="12.7109375" style="474" bestFit="1" customWidth="1"/>
    <col min="1802" max="1802" width="13.42578125" style="474" bestFit="1" customWidth="1"/>
    <col min="1803" max="1803" width="13.7109375" style="474" bestFit="1" customWidth="1"/>
    <col min="1804" max="1804" width="14.5703125" style="474" bestFit="1" customWidth="1"/>
    <col min="1805" max="1805" width="14.85546875" style="474" bestFit="1" customWidth="1"/>
    <col min="1806" max="1806" width="17.140625" style="474" customWidth="1"/>
    <col min="1807" max="1807" width="16.42578125" style="474" bestFit="1" customWidth="1"/>
    <col min="1808" max="1808" width="17.140625" style="474" bestFit="1" customWidth="1"/>
    <col min="1809" max="1809" width="24.28515625" style="474" customWidth="1"/>
    <col min="1810" max="1810" width="18.28515625" style="474" bestFit="1" customWidth="1"/>
    <col min="1811" max="1811" width="18.5703125" style="474" bestFit="1" customWidth="1"/>
    <col min="1812" max="1812" width="19.28515625" style="474" bestFit="1" customWidth="1"/>
    <col min="1813" max="1813" width="20.42578125" style="474" bestFit="1" customWidth="1"/>
    <col min="1814" max="1814" width="20.85546875" style="474" bestFit="1" customWidth="1"/>
    <col min="1815" max="1815" width="21.42578125" style="474" bestFit="1" customWidth="1"/>
    <col min="1816" max="1817" width="22.28515625" style="474" bestFit="1" customWidth="1"/>
    <col min="1818" max="1819" width="23.85546875" style="474" bestFit="1" customWidth="1"/>
    <col min="1820" max="1821" width="24.85546875" style="474" bestFit="1" customWidth="1"/>
    <col min="1822" max="1826" width="11.28515625" style="474" bestFit="1" customWidth="1"/>
    <col min="1827" max="1831" width="12.28515625" style="474" bestFit="1" customWidth="1"/>
    <col min="1832" max="1832" width="12" style="474" bestFit="1" customWidth="1"/>
    <col min="1833" max="2048" width="8.85546875" style="474"/>
    <col min="2049" max="2049" width="7.28515625" style="474" customWidth="1"/>
    <col min="2050" max="2050" width="41" style="474" customWidth="1"/>
    <col min="2051" max="2051" width="16" style="474" customWidth="1"/>
    <col min="2052" max="2052" width="16.140625" style="474" bestFit="1" customWidth="1"/>
    <col min="2053" max="2053" width="11.85546875" style="474" customWidth="1"/>
    <col min="2054" max="2054" width="12.42578125" style="474" bestFit="1" customWidth="1"/>
    <col min="2055" max="2056" width="13" style="474" bestFit="1" customWidth="1"/>
    <col min="2057" max="2057" width="12.7109375" style="474" bestFit="1" customWidth="1"/>
    <col min="2058" max="2058" width="13.42578125" style="474" bestFit="1" customWidth="1"/>
    <col min="2059" max="2059" width="13.7109375" style="474" bestFit="1" customWidth="1"/>
    <col min="2060" max="2060" width="14.5703125" style="474" bestFit="1" customWidth="1"/>
    <col min="2061" max="2061" width="14.85546875" style="474" bestFit="1" customWidth="1"/>
    <col min="2062" max="2062" width="17.140625" style="474" customWidth="1"/>
    <col min="2063" max="2063" width="16.42578125" style="474" bestFit="1" customWidth="1"/>
    <col min="2064" max="2064" width="17.140625" style="474" bestFit="1" customWidth="1"/>
    <col min="2065" max="2065" width="24.28515625" style="474" customWidth="1"/>
    <col min="2066" max="2066" width="18.28515625" style="474" bestFit="1" customWidth="1"/>
    <col min="2067" max="2067" width="18.5703125" style="474" bestFit="1" customWidth="1"/>
    <col min="2068" max="2068" width="19.28515625" style="474" bestFit="1" customWidth="1"/>
    <col min="2069" max="2069" width="20.42578125" style="474" bestFit="1" customWidth="1"/>
    <col min="2070" max="2070" width="20.85546875" style="474" bestFit="1" customWidth="1"/>
    <col min="2071" max="2071" width="21.42578125" style="474" bestFit="1" customWidth="1"/>
    <col min="2072" max="2073" width="22.28515625" style="474" bestFit="1" customWidth="1"/>
    <col min="2074" max="2075" width="23.85546875" style="474" bestFit="1" customWidth="1"/>
    <col min="2076" max="2077" width="24.85546875" style="474" bestFit="1" customWidth="1"/>
    <col min="2078" max="2082" width="11.28515625" style="474" bestFit="1" customWidth="1"/>
    <col min="2083" max="2087" width="12.28515625" style="474" bestFit="1" customWidth="1"/>
    <col min="2088" max="2088" width="12" style="474" bestFit="1" customWidth="1"/>
    <col min="2089" max="2304" width="8.85546875" style="474"/>
    <col min="2305" max="2305" width="7.28515625" style="474" customWidth="1"/>
    <col min="2306" max="2306" width="41" style="474" customWidth="1"/>
    <col min="2307" max="2307" width="16" style="474" customWidth="1"/>
    <col min="2308" max="2308" width="16.140625" style="474" bestFit="1" customWidth="1"/>
    <col min="2309" max="2309" width="11.85546875" style="474" customWidth="1"/>
    <col min="2310" max="2310" width="12.42578125" style="474" bestFit="1" customWidth="1"/>
    <col min="2311" max="2312" width="13" style="474" bestFit="1" customWidth="1"/>
    <col min="2313" max="2313" width="12.7109375" style="474" bestFit="1" customWidth="1"/>
    <col min="2314" max="2314" width="13.42578125" style="474" bestFit="1" customWidth="1"/>
    <col min="2315" max="2315" width="13.7109375" style="474" bestFit="1" customWidth="1"/>
    <col min="2316" max="2316" width="14.5703125" style="474" bestFit="1" customWidth="1"/>
    <col min="2317" max="2317" width="14.85546875" style="474" bestFit="1" customWidth="1"/>
    <col min="2318" max="2318" width="17.140625" style="474" customWidth="1"/>
    <col min="2319" max="2319" width="16.42578125" style="474" bestFit="1" customWidth="1"/>
    <col min="2320" max="2320" width="17.140625" style="474" bestFit="1" customWidth="1"/>
    <col min="2321" max="2321" width="24.28515625" style="474" customWidth="1"/>
    <col min="2322" max="2322" width="18.28515625" style="474" bestFit="1" customWidth="1"/>
    <col min="2323" max="2323" width="18.5703125" style="474" bestFit="1" customWidth="1"/>
    <col min="2324" max="2324" width="19.28515625" style="474" bestFit="1" customWidth="1"/>
    <col min="2325" max="2325" width="20.42578125" style="474" bestFit="1" customWidth="1"/>
    <col min="2326" max="2326" width="20.85546875" style="474" bestFit="1" customWidth="1"/>
    <col min="2327" max="2327" width="21.42578125" style="474" bestFit="1" customWidth="1"/>
    <col min="2328" max="2329" width="22.28515625" style="474" bestFit="1" customWidth="1"/>
    <col min="2330" max="2331" width="23.85546875" style="474" bestFit="1" customWidth="1"/>
    <col min="2332" max="2333" width="24.85546875" style="474" bestFit="1" customWidth="1"/>
    <col min="2334" max="2338" width="11.28515625" style="474" bestFit="1" customWidth="1"/>
    <col min="2339" max="2343" width="12.28515625" style="474" bestFit="1" customWidth="1"/>
    <col min="2344" max="2344" width="12" style="474" bestFit="1" customWidth="1"/>
    <col min="2345" max="2560" width="8.85546875" style="474"/>
    <col min="2561" max="2561" width="7.28515625" style="474" customWidth="1"/>
    <col min="2562" max="2562" width="41" style="474" customWidth="1"/>
    <col min="2563" max="2563" width="16" style="474" customWidth="1"/>
    <col min="2564" max="2564" width="16.140625" style="474" bestFit="1" customWidth="1"/>
    <col min="2565" max="2565" width="11.85546875" style="474" customWidth="1"/>
    <col min="2566" max="2566" width="12.42578125" style="474" bestFit="1" customWidth="1"/>
    <col min="2567" max="2568" width="13" style="474" bestFit="1" customWidth="1"/>
    <col min="2569" max="2569" width="12.7109375" style="474" bestFit="1" customWidth="1"/>
    <col min="2570" max="2570" width="13.42578125" style="474" bestFit="1" customWidth="1"/>
    <col min="2571" max="2571" width="13.7109375" style="474" bestFit="1" customWidth="1"/>
    <col min="2572" max="2572" width="14.5703125" style="474" bestFit="1" customWidth="1"/>
    <col min="2573" max="2573" width="14.85546875" style="474" bestFit="1" customWidth="1"/>
    <col min="2574" max="2574" width="17.140625" style="474" customWidth="1"/>
    <col min="2575" max="2575" width="16.42578125" style="474" bestFit="1" customWidth="1"/>
    <col min="2576" max="2576" width="17.140625" style="474" bestFit="1" customWidth="1"/>
    <col min="2577" max="2577" width="24.28515625" style="474" customWidth="1"/>
    <col min="2578" max="2578" width="18.28515625" style="474" bestFit="1" customWidth="1"/>
    <col min="2579" max="2579" width="18.5703125" style="474" bestFit="1" customWidth="1"/>
    <col min="2580" max="2580" width="19.28515625" style="474" bestFit="1" customWidth="1"/>
    <col min="2581" max="2581" width="20.42578125" style="474" bestFit="1" customWidth="1"/>
    <col min="2582" max="2582" width="20.85546875" style="474" bestFit="1" customWidth="1"/>
    <col min="2583" max="2583" width="21.42578125" style="474" bestFit="1" customWidth="1"/>
    <col min="2584" max="2585" width="22.28515625" style="474" bestFit="1" customWidth="1"/>
    <col min="2586" max="2587" width="23.85546875" style="474" bestFit="1" customWidth="1"/>
    <col min="2588" max="2589" width="24.85546875" style="474" bestFit="1" customWidth="1"/>
    <col min="2590" max="2594" width="11.28515625" style="474" bestFit="1" customWidth="1"/>
    <col min="2595" max="2599" width="12.28515625" style="474" bestFit="1" customWidth="1"/>
    <col min="2600" max="2600" width="12" style="474" bestFit="1" customWidth="1"/>
    <col min="2601" max="2816" width="8.85546875" style="474"/>
    <col min="2817" max="2817" width="7.28515625" style="474" customWidth="1"/>
    <col min="2818" max="2818" width="41" style="474" customWidth="1"/>
    <col min="2819" max="2819" width="16" style="474" customWidth="1"/>
    <col min="2820" max="2820" width="16.140625" style="474" bestFit="1" customWidth="1"/>
    <col min="2821" max="2821" width="11.85546875" style="474" customWidth="1"/>
    <col min="2822" max="2822" width="12.42578125" style="474" bestFit="1" customWidth="1"/>
    <col min="2823" max="2824" width="13" style="474" bestFit="1" customWidth="1"/>
    <col min="2825" max="2825" width="12.7109375" style="474" bestFit="1" customWidth="1"/>
    <col min="2826" max="2826" width="13.42578125" style="474" bestFit="1" customWidth="1"/>
    <col min="2827" max="2827" width="13.7109375" style="474" bestFit="1" customWidth="1"/>
    <col min="2828" max="2828" width="14.5703125" style="474" bestFit="1" customWidth="1"/>
    <col min="2829" max="2829" width="14.85546875" style="474" bestFit="1" customWidth="1"/>
    <col min="2830" max="2830" width="17.140625" style="474" customWidth="1"/>
    <col min="2831" max="2831" width="16.42578125" style="474" bestFit="1" customWidth="1"/>
    <col min="2832" max="2832" width="17.140625" style="474" bestFit="1" customWidth="1"/>
    <col min="2833" max="2833" width="24.28515625" style="474" customWidth="1"/>
    <col min="2834" max="2834" width="18.28515625" style="474" bestFit="1" customWidth="1"/>
    <col min="2835" max="2835" width="18.5703125" style="474" bestFit="1" customWidth="1"/>
    <col min="2836" max="2836" width="19.28515625" style="474" bestFit="1" customWidth="1"/>
    <col min="2837" max="2837" width="20.42578125" style="474" bestFit="1" customWidth="1"/>
    <col min="2838" max="2838" width="20.85546875" style="474" bestFit="1" customWidth="1"/>
    <col min="2839" max="2839" width="21.42578125" style="474" bestFit="1" customWidth="1"/>
    <col min="2840" max="2841" width="22.28515625" style="474" bestFit="1" customWidth="1"/>
    <col min="2842" max="2843" width="23.85546875" style="474" bestFit="1" customWidth="1"/>
    <col min="2844" max="2845" width="24.85546875" style="474" bestFit="1" customWidth="1"/>
    <col min="2846" max="2850" width="11.28515625" style="474" bestFit="1" customWidth="1"/>
    <col min="2851" max="2855" width="12.28515625" style="474" bestFit="1" customWidth="1"/>
    <col min="2856" max="2856" width="12" style="474" bestFit="1" customWidth="1"/>
    <col min="2857" max="3072" width="8.85546875" style="474"/>
    <col min="3073" max="3073" width="7.28515625" style="474" customWidth="1"/>
    <col min="3074" max="3074" width="41" style="474" customWidth="1"/>
    <col min="3075" max="3075" width="16" style="474" customWidth="1"/>
    <col min="3076" max="3076" width="16.140625" style="474" bestFit="1" customWidth="1"/>
    <col min="3077" max="3077" width="11.85546875" style="474" customWidth="1"/>
    <col min="3078" max="3078" width="12.42578125" style="474" bestFit="1" customWidth="1"/>
    <col min="3079" max="3080" width="13" style="474" bestFit="1" customWidth="1"/>
    <col min="3081" max="3081" width="12.7109375" style="474" bestFit="1" customWidth="1"/>
    <col min="3082" max="3082" width="13.42578125" style="474" bestFit="1" customWidth="1"/>
    <col min="3083" max="3083" width="13.7109375" style="474" bestFit="1" customWidth="1"/>
    <col min="3084" max="3084" width="14.5703125" style="474" bestFit="1" customWidth="1"/>
    <col min="3085" max="3085" width="14.85546875" style="474" bestFit="1" customWidth="1"/>
    <col min="3086" max="3086" width="17.140625" style="474" customWidth="1"/>
    <col min="3087" max="3087" width="16.42578125" style="474" bestFit="1" customWidth="1"/>
    <col min="3088" max="3088" width="17.140625" style="474" bestFit="1" customWidth="1"/>
    <col min="3089" max="3089" width="24.28515625" style="474" customWidth="1"/>
    <col min="3090" max="3090" width="18.28515625" style="474" bestFit="1" customWidth="1"/>
    <col min="3091" max="3091" width="18.5703125" style="474" bestFit="1" customWidth="1"/>
    <col min="3092" max="3092" width="19.28515625" style="474" bestFit="1" customWidth="1"/>
    <col min="3093" max="3093" width="20.42578125" style="474" bestFit="1" customWidth="1"/>
    <col min="3094" max="3094" width="20.85546875" style="474" bestFit="1" customWidth="1"/>
    <col min="3095" max="3095" width="21.42578125" style="474" bestFit="1" customWidth="1"/>
    <col min="3096" max="3097" width="22.28515625" style="474" bestFit="1" customWidth="1"/>
    <col min="3098" max="3099" width="23.85546875" style="474" bestFit="1" customWidth="1"/>
    <col min="3100" max="3101" width="24.85546875" style="474" bestFit="1" customWidth="1"/>
    <col min="3102" max="3106" width="11.28515625" style="474" bestFit="1" customWidth="1"/>
    <col min="3107" max="3111" width="12.28515625" style="474" bestFit="1" customWidth="1"/>
    <col min="3112" max="3112" width="12" style="474" bestFit="1" customWidth="1"/>
    <col min="3113" max="3328" width="8.85546875" style="474"/>
    <col min="3329" max="3329" width="7.28515625" style="474" customWidth="1"/>
    <col min="3330" max="3330" width="41" style="474" customWidth="1"/>
    <col min="3331" max="3331" width="16" style="474" customWidth="1"/>
    <col min="3332" max="3332" width="16.140625" style="474" bestFit="1" customWidth="1"/>
    <col min="3333" max="3333" width="11.85546875" style="474" customWidth="1"/>
    <col min="3334" max="3334" width="12.42578125" style="474" bestFit="1" customWidth="1"/>
    <col min="3335" max="3336" width="13" style="474" bestFit="1" customWidth="1"/>
    <col min="3337" max="3337" width="12.7109375" style="474" bestFit="1" customWidth="1"/>
    <col min="3338" max="3338" width="13.42578125" style="474" bestFit="1" customWidth="1"/>
    <col min="3339" max="3339" width="13.7109375" style="474" bestFit="1" customWidth="1"/>
    <col min="3340" max="3340" width="14.5703125" style="474" bestFit="1" customWidth="1"/>
    <col min="3341" max="3341" width="14.85546875" style="474" bestFit="1" customWidth="1"/>
    <col min="3342" max="3342" width="17.140625" style="474" customWidth="1"/>
    <col min="3343" max="3343" width="16.42578125" style="474" bestFit="1" customWidth="1"/>
    <col min="3344" max="3344" width="17.140625" style="474" bestFit="1" customWidth="1"/>
    <col min="3345" max="3345" width="24.28515625" style="474" customWidth="1"/>
    <col min="3346" max="3346" width="18.28515625" style="474" bestFit="1" customWidth="1"/>
    <col min="3347" max="3347" width="18.5703125" style="474" bestFit="1" customWidth="1"/>
    <col min="3348" max="3348" width="19.28515625" style="474" bestFit="1" customWidth="1"/>
    <col min="3349" max="3349" width="20.42578125" style="474" bestFit="1" customWidth="1"/>
    <col min="3350" max="3350" width="20.85546875" style="474" bestFit="1" customWidth="1"/>
    <col min="3351" max="3351" width="21.42578125" style="474" bestFit="1" customWidth="1"/>
    <col min="3352" max="3353" width="22.28515625" style="474" bestFit="1" customWidth="1"/>
    <col min="3354" max="3355" width="23.85546875" style="474" bestFit="1" customWidth="1"/>
    <col min="3356" max="3357" width="24.85546875" style="474" bestFit="1" customWidth="1"/>
    <col min="3358" max="3362" width="11.28515625" style="474" bestFit="1" customWidth="1"/>
    <col min="3363" max="3367" width="12.28515625" style="474" bestFit="1" customWidth="1"/>
    <col min="3368" max="3368" width="12" style="474" bestFit="1" customWidth="1"/>
    <col min="3369" max="3584" width="8.85546875" style="474"/>
    <col min="3585" max="3585" width="7.28515625" style="474" customWidth="1"/>
    <col min="3586" max="3586" width="41" style="474" customWidth="1"/>
    <col min="3587" max="3587" width="16" style="474" customWidth="1"/>
    <col min="3588" max="3588" width="16.140625" style="474" bestFit="1" customWidth="1"/>
    <col min="3589" max="3589" width="11.85546875" style="474" customWidth="1"/>
    <col min="3590" max="3590" width="12.42578125" style="474" bestFit="1" customWidth="1"/>
    <col min="3591" max="3592" width="13" style="474" bestFit="1" customWidth="1"/>
    <col min="3593" max="3593" width="12.7109375" style="474" bestFit="1" customWidth="1"/>
    <col min="3594" max="3594" width="13.42578125" style="474" bestFit="1" customWidth="1"/>
    <col min="3595" max="3595" width="13.7109375" style="474" bestFit="1" customWidth="1"/>
    <col min="3596" max="3596" width="14.5703125" style="474" bestFit="1" customWidth="1"/>
    <col min="3597" max="3597" width="14.85546875" style="474" bestFit="1" customWidth="1"/>
    <col min="3598" max="3598" width="17.140625" style="474" customWidth="1"/>
    <col min="3599" max="3599" width="16.42578125" style="474" bestFit="1" customWidth="1"/>
    <col min="3600" max="3600" width="17.140625" style="474" bestFit="1" customWidth="1"/>
    <col min="3601" max="3601" width="24.28515625" style="474" customWidth="1"/>
    <col min="3602" max="3602" width="18.28515625" style="474" bestFit="1" customWidth="1"/>
    <col min="3603" max="3603" width="18.5703125" style="474" bestFit="1" customWidth="1"/>
    <col min="3604" max="3604" width="19.28515625" style="474" bestFit="1" customWidth="1"/>
    <col min="3605" max="3605" width="20.42578125" style="474" bestFit="1" customWidth="1"/>
    <col min="3606" max="3606" width="20.85546875" style="474" bestFit="1" customWidth="1"/>
    <col min="3607" max="3607" width="21.42578125" style="474" bestFit="1" customWidth="1"/>
    <col min="3608" max="3609" width="22.28515625" style="474" bestFit="1" customWidth="1"/>
    <col min="3610" max="3611" width="23.85546875" style="474" bestFit="1" customWidth="1"/>
    <col min="3612" max="3613" width="24.85546875" style="474" bestFit="1" customWidth="1"/>
    <col min="3614" max="3618" width="11.28515625" style="474" bestFit="1" customWidth="1"/>
    <col min="3619" max="3623" width="12.28515625" style="474" bestFit="1" customWidth="1"/>
    <col min="3624" max="3624" width="12" style="474" bestFit="1" customWidth="1"/>
    <col min="3625" max="3840" width="8.85546875" style="474"/>
    <col min="3841" max="3841" width="7.28515625" style="474" customWidth="1"/>
    <col min="3842" max="3842" width="41" style="474" customWidth="1"/>
    <col min="3843" max="3843" width="16" style="474" customWidth="1"/>
    <col min="3844" max="3844" width="16.140625" style="474" bestFit="1" customWidth="1"/>
    <col min="3845" max="3845" width="11.85546875" style="474" customWidth="1"/>
    <col min="3846" max="3846" width="12.42578125" style="474" bestFit="1" customWidth="1"/>
    <col min="3847" max="3848" width="13" style="474" bestFit="1" customWidth="1"/>
    <col min="3849" max="3849" width="12.7109375" style="474" bestFit="1" customWidth="1"/>
    <col min="3850" max="3850" width="13.42578125" style="474" bestFit="1" customWidth="1"/>
    <col min="3851" max="3851" width="13.7109375" style="474" bestFit="1" customWidth="1"/>
    <col min="3852" max="3852" width="14.5703125" style="474" bestFit="1" customWidth="1"/>
    <col min="3853" max="3853" width="14.85546875" style="474" bestFit="1" customWidth="1"/>
    <col min="3854" max="3854" width="17.140625" style="474" customWidth="1"/>
    <col min="3855" max="3855" width="16.42578125" style="474" bestFit="1" customWidth="1"/>
    <col min="3856" max="3856" width="17.140625" style="474" bestFit="1" customWidth="1"/>
    <col min="3857" max="3857" width="24.28515625" style="474" customWidth="1"/>
    <col min="3858" max="3858" width="18.28515625" style="474" bestFit="1" customWidth="1"/>
    <col min="3859" max="3859" width="18.5703125" style="474" bestFit="1" customWidth="1"/>
    <col min="3860" max="3860" width="19.28515625" style="474" bestFit="1" customWidth="1"/>
    <col min="3861" max="3861" width="20.42578125" style="474" bestFit="1" customWidth="1"/>
    <col min="3862" max="3862" width="20.85546875" style="474" bestFit="1" customWidth="1"/>
    <col min="3863" max="3863" width="21.42578125" style="474" bestFit="1" customWidth="1"/>
    <col min="3864" max="3865" width="22.28515625" style="474" bestFit="1" customWidth="1"/>
    <col min="3866" max="3867" width="23.85546875" style="474" bestFit="1" customWidth="1"/>
    <col min="3868" max="3869" width="24.85546875" style="474" bestFit="1" customWidth="1"/>
    <col min="3870" max="3874" width="11.28515625" style="474" bestFit="1" customWidth="1"/>
    <col min="3875" max="3879" width="12.28515625" style="474" bestFit="1" customWidth="1"/>
    <col min="3880" max="3880" width="12" style="474" bestFit="1" customWidth="1"/>
    <col min="3881" max="4096" width="8.85546875" style="474"/>
    <col min="4097" max="4097" width="7.28515625" style="474" customWidth="1"/>
    <col min="4098" max="4098" width="41" style="474" customWidth="1"/>
    <col min="4099" max="4099" width="16" style="474" customWidth="1"/>
    <col min="4100" max="4100" width="16.140625" style="474" bestFit="1" customWidth="1"/>
    <col min="4101" max="4101" width="11.85546875" style="474" customWidth="1"/>
    <col min="4102" max="4102" width="12.42578125" style="474" bestFit="1" customWidth="1"/>
    <col min="4103" max="4104" width="13" style="474" bestFit="1" customWidth="1"/>
    <col min="4105" max="4105" width="12.7109375" style="474" bestFit="1" customWidth="1"/>
    <col min="4106" max="4106" width="13.42578125" style="474" bestFit="1" customWidth="1"/>
    <col min="4107" max="4107" width="13.7109375" style="474" bestFit="1" customWidth="1"/>
    <col min="4108" max="4108" width="14.5703125" style="474" bestFit="1" customWidth="1"/>
    <col min="4109" max="4109" width="14.85546875" style="474" bestFit="1" customWidth="1"/>
    <col min="4110" max="4110" width="17.140625" style="474" customWidth="1"/>
    <col min="4111" max="4111" width="16.42578125" style="474" bestFit="1" customWidth="1"/>
    <col min="4112" max="4112" width="17.140625" style="474" bestFit="1" customWidth="1"/>
    <col min="4113" max="4113" width="24.28515625" style="474" customWidth="1"/>
    <col min="4114" max="4114" width="18.28515625" style="474" bestFit="1" customWidth="1"/>
    <col min="4115" max="4115" width="18.5703125" style="474" bestFit="1" customWidth="1"/>
    <col min="4116" max="4116" width="19.28515625" style="474" bestFit="1" customWidth="1"/>
    <col min="4117" max="4117" width="20.42578125" style="474" bestFit="1" customWidth="1"/>
    <col min="4118" max="4118" width="20.85546875" style="474" bestFit="1" customWidth="1"/>
    <col min="4119" max="4119" width="21.42578125" style="474" bestFit="1" customWidth="1"/>
    <col min="4120" max="4121" width="22.28515625" style="474" bestFit="1" customWidth="1"/>
    <col min="4122" max="4123" width="23.85546875" style="474" bestFit="1" customWidth="1"/>
    <col min="4124" max="4125" width="24.85546875" style="474" bestFit="1" customWidth="1"/>
    <col min="4126" max="4130" width="11.28515625" style="474" bestFit="1" customWidth="1"/>
    <col min="4131" max="4135" width="12.28515625" style="474" bestFit="1" customWidth="1"/>
    <col min="4136" max="4136" width="12" style="474" bestFit="1" customWidth="1"/>
    <col min="4137" max="4352" width="8.85546875" style="474"/>
    <col min="4353" max="4353" width="7.28515625" style="474" customWidth="1"/>
    <col min="4354" max="4354" width="41" style="474" customWidth="1"/>
    <col min="4355" max="4355" width="16" style="474" customWidth="1"/>
    <col min="4356" max="4356" width="16.140625" style="474" bestFit="1" customWidth="1"/>
    <col min="4357" max="4357" width="11.85546875" style="474" customWidth="1"/>
    <col min="4358" max="4358" width="12.42578125" style="474" bestFit="1" customWidth="1"/>
    <col min="4359" max="4360" width="13" style="474" bestFit="1" customWidth="1"/>
    <col min="4361" max="4361" width="12.7109375" style="474" bestFit="1" customWidth="1"/>
    <col min="4362" max="4362" width="13.42578125" style="474" bestFit="1" customWidth="1"/>
    <col min="4363" max="4363" width="13.7109375" style="474" bestFit="1" customWidth="1"/>
    <col min="4364" max="4364" width="14.5703125" style="474" bestFit="1" customWidth="1"/>
    <col min="4365" max="4365" width="14.85546875" style="474" bestFit="1" customWidth="1"/>
    <col min="4366" max="4366" width="17.140625" style="474" customWidth="1"/>
    <col min="4367" max="4367" width="16.42578125" style="474" bestFit="1" customWidth="1"/>
    <col min="4368" max="4368" width="17.140625" style="474" bestFit="1" customWidth="1"/>
    <col min="4369" max="4369" width="24.28515625" style="474" customWidth="1"/>
    <col min="4370" max="4370" width="18.28515625" style="474" bestFit="1" customWidth="1"/>
    <col min="4371" max="4371" width="18.5703125" style="474" bestFit="1" customWidth="1"/>
    <col min="4372" max="4372" width="19.28515625" style="474" bestFit="1" customWidth="1"/>
    <col min="4373" max="4373" width="20.42578125" style="474" bestFit="1" customWidth="1"/>
    <col min="4374" max="4374" width="20.85546875" style="474" bestFit="1" customWidth="1"/>
    <col min="4375" max="4375" width="21.42578125" style="474" bestFit="1" customWidth="1"/>
    <col min="4376" max="4377" width="22.28515625" style="474" bestFit="1" customWidth="1"/>
    <col min="4378" max="4379" width="23.85546875" style="474" bestFit="1" customWidth="1"/>
    <col min="4380" max="4381" width="24.85546875" style="474" bestFit="1" customWidth="1"/>
    <col min="4382" max="4386" width="11.28515625" style="474" bestFit="1" customWidth="1"/>
    <col min="4387" max="4391" width="12.28515625" style="474" bestFit="1" customWidth="1"/>
    <col min="4392" max="4392" width="12" style="474" bestFit="1" customWidth="1"/>
    <col min="4393" max="4608" width="8.85546875" style="474"/>
    <col min="4609" max="4609" width="7.28515625" style="474" customWidth="1"/>
    <col min="4610" max="4610" width="41" style="474" customWidth="1"/>
    <col min="4611" max="4611" width="16" style="474" customWidth="1"/>
    <col min="4612" max="4612" width="16.140625" style="474" bestFit="1" customWidth="1"/>
    <col min="4613" max="4613" width="11.85546875" style="474" customWidth="1"/>
    <col min="4614" max="4614" width="12.42578125" style="474" bestFit="1" customWidth="1"/>
    <col min="4615" max="4616" width="13" style="474" bestFit="1" customWidth="1"/>
    <col min="4617" max="4617" width="12.7109375" style="474" bestFit="1" customWidth="1"/>
    <col min="4618" max="4618" width="13.42578125" style="474" bestFit="1" customWidth="1"/>
    <col min="4619" max="4619" width="13.7109375" style="474" bestFit="1" customWidth="1"/>
    <col min="4620" max="4620" width="14.5703125" style="474" bestFit="1" customWidth="1"/>
    <col min="4621" max="4621" width="14.85546875" style="474" bestFit="1" customWidth="1"/>
    <col min="4622" max="4622" width="17.140625" style="474" customWidth="1"/>
    <col min="4623" max="4623" width="16.42578125" style="474" bestFit="1" customWidth="1"/>
    <col min="4624" max="4624" width="17.140625" style="474" bestFit="1" customWidth="1"/>
    <col min="4625" max="4625" width="24.28515625" style="474" customWidth="1"/>
    <col min="4626" max="4626" width="18.28515625" style="474" bestFit="1" customWidth="1"/>
    <col min="4627" max="4627" width="18.5703125" style="474" bestFit="1" customWidth="1"/>
    <col min="4628" max="4628" width="19.28515625" style="474" bestFit="1" customWidth="1"/>
    <col min="4629" max="4629" width="20.42578125" style="474" bestFit="1" customWidth="1"/>
    <col min="4630" max="4630" width="20.85546875" style="474" bestFit="1" customWidth="1"/>
    <col min="4631" max="4631" width="21.42578125" style="474" bestFit="1" customWidth="1"/>
    <col min="4632" max="4633" width="22.28515625" style="474" bestFit="1" customWidth="1"/>
    <col min="4634" max="4635" width="23.85546875" style="474" bestFit="1" customWidth="1"/>
    <col min="4636" max="4637" width="24.85546875" style="474" bestFit="1" customWidth="1"/>
    <col min="4638" max="4642" width="11.28515625" style="474" bestFit="1" customWidth="1"/>
    <col min="4643" max="4647" width="12.28515625" style="474" bestFit="1" customWidth="1"/>
    <col min="4648" max="4648" width="12" style="474" bestFit="1" customWidth="1"/>
    <col min="4649" max="4864" width="8.85546875" style="474"/>
    <col min="4865" max="4865" width="7.28515625" style="474" customWidth="1"/>
    <col min="4866" max="4866" width="41" style="474" customWidth="1"/>
    <col min="4867" max="4867" width="16" style="474" customWidth="1"/>
    <col min="4868" max="4868" width="16.140625" style="474" bestFit="1" customWidth="1"/>
    <col min="4869" max="4869" width="11.85546875" style="474" customWidth="1"/>
    <col min="4870" max="4870" width="12.42578125" style="474" bestFit="1" customWidth="1"/>
    <col min="4871" max="4872" width="13" style="474" bestFit="1" customWidth="1"/>
    <col min="4873" max="4873" width="12.7109375" style="474" bestFit="1" customWidth="1"/>
    <col min="4874" max="4874" width="13.42578125" style="474" bestFit="1" customWidth="1"/>
    <col min="4875" max="4875" width="13.7109375" style="474" bestFit="1" customWidth="1"/>
    <col min="4876" max="4876" width="14.5703125" style="474" bestFit="1" customWidth="1"/>
    <col min="4877" max="4877" width="14.85546875" style="474" bestFit="1" customWidth="1"/>
    <col min="4878" max="4878" width="17.140625" style="474" customWidth="1"/>
    <col min="4879" max="4879" width="16.42578125" style="474" bestFit="1" customWidth="1"/>
    <col min="4880" max="4880" width="17.140625" style="474" bestFit="1" customWidth="1"/>
    <col min="4881" max="4881" width="24.28515625" style="474" customWidth="1"/>
    <col min="4882" max="4882" width="18.28515625" style="474" bestFit="1" customWidth="1"/>
    <col min="4883" max="4883" width="18.5703125" style="474" bestFit="1" customWidth="1"/>
    <col min="4884" max="4884" width="19.28515625" style="474" bestFit="1" customWidth="1"/>
    <col min="4885" max="4885" width="20.42578125" style="474" bestFit="1" customWidth="1"/>
    <col min="4886" max="4886" width="20.85546875" style="474" bestFit="1" customWidth="1"/>
    <col min="4887" max="4887" width="21.42578125" style="474" bestFit="1" customWidth="1"/>
    <col min="4888" max="4889" width="22.28515625" style="474" bestFit="1" customWidth="1"/>
    <col min="4890" max="4891" width="23.85546875" style="474" bestFit="1" customWidth="1"/>
    <col min="4892" max="4893" width="24.85546875" style="474" bestFit="1" customWidth="1"/>
    <col min="4894" max="4898" width="11.28515625" style="474" bestFit="1" customWidth="1"/>
    <col min="4899" max="4903" width="12.28515625" style="474" bestFit="1" customWidth="1"/>
    <col min="4904" max="4904" width="12" style="474" bestFit="1" customWidth="1"/>
    <col min="4905" max="5120" width="8.85546875" style="474"/>
    <col min="5121" max="5121" width="7.28515625" style="474" customWidth="1"/>
    <col min="5122" max="5122" width="41" style="474" customWidth="1"/>
    <col min="5123" max="5123" width="16" style="474" customWidth="1"/>
    <col min="5124" max="5124" width="16.140625" style="474" bestFit="1" customWidth="1"/>
    <col min="5125" max="5125" width="11.85546875" style="474" customWidth="1"/>
    <col min="5126" max="5126" width="12.42578125" style="474" bestFit="1" customWidth="1"/>
    <col min="5127" max="5128" width="13" style="474" bestFit="1" customWidth="1"/>
    <col min="5129" max="5129" width="12.7109375" style="474" bestFit="1" customWidth="1"/>
    <col min="5130" max="5130" width="13.42578125" style="474" bestFit="1" customWidth="1"/>
    <col min="5131" max="5131" width="13.7109375" style="474" bestFit="1" customWidth="1"/>
    <col min="5132" max="5132" width="14.5703125" style="474" bestFit="1" customWidth="1"/>
    <col min="5133" max="5133" width="14.85546875" style="474" bestFit="1" customWidth="1"/>
    <col min="5134" max="5134" width="17.140625" style="474" customWidth="1"/>
    <col min="5135" max="5135" width="16.42578125" style="474" bestFit="1" customWidth="1"/>
    <col min="5136" max="5136" width="17.140625" style="474" bestFit="1" customWidth="1"/>
    <col min="5137" max="5137" width="24.28515625" style="474" customWidth="1"/>
    <col min="5138" max="5138" width="18.28515625" style="474" bestFit="1" customWidth="1"/>
    <col min="5139" max="5139" width="18.5703125" style="474" bestFit="1" customWidth="1"/>
    <col min="5140" max="5140" width="19.28515625" style="474" bestFit="1" customWidth="1"/>
    <col min="5141" max="5141" width="20.42578125" style="474" bestFit="1" customWidth="1"/>
    <col min="5142" max="5142" width="20.85546875" style="474" bestFit="1" customWidth="1"/>
    <col min="5143" max="5143" width="21.42578125" style="474" bestFit="1" customWidth="1"/>
    <col min="5144" max="5145" width="22.28515625" style="474" bestFit="1" customWidth="1"/>
    <col min="5146" max="5147" width="23.85546875" style="474" bestFit="1" customWidth="1"/>
    <col min="5148" max="5149" width="24.85546875" style="474" bestFit="1" customWidth="1"/>
    <col min="5150" max="5154" width="11.28515625" style="474" bestFit="1" customWidth="1"/>
    <col min="5155" max="5159" width="12.28515625" style="474" bestFit="1" customWidth="1"/>
    <col min="5160" max="5160" width="12" style="474" bestFit="1" customWidth="1"/>
    <col min="5161" max="5376" width="8.85546875" style="474"/>
    <col min="5377" max="5377" width="7.28515625" style="474" customWidth="1"/>
    <col min="5378" max="5378" width="41" style="474" customWidth="1"/>
    <col min="5379" max="5379" width="16" style="474" customWidth="1"/>
    <col min="5380" max="5380" width="16.140625" style="474" bestFit="1" customWidth="1"/>
    <col min="5381" max="5381" width="11.85546875" style="474" customWidth="1"/>
    <col min="5382" max="5382" width="12.42578125" style="474" bestFit="1" customWidth="1"/>
    <col min="5383" max="5384" width="13" style="474" bestFit="1" customWidth="1"/>
    <col min="5385" max="5385" width="12.7109375" style="474" bestFit="1" customWidth="1"/>
    <col min="5386" max="5386" width="13.42578125" style="474" bestFit="1" customWidth="1"/>
    <col min="5387" max="5387" width="13.7109375" style="474" bestFit="1" customWidth="1"/>
    <col min="5388" max="5388" width="14.5703125" style="474" bestFit="1" customWidth="1"/>
    <col min="5389" max="5389" width="14.85546875" style="474" bestFit="1" customWidth="1"/>
    <col min="5390" max="5390" width="17.140625" style="474" customWidth="1"/>
    <col min="5391" max="5391" width="16.42578125" style="474" bestFit="1" customWidth="1"/>
    <col min="5392" max="5392" width="17.140625" style="474" bestFit="1" customWidth="1"/>
    <col min="5393" max="5393" width="24.28515625" style="474" customWidth="1"/>
    <col min="5394" max="5394" width="18.28515625" style="474" bestFit="1" customWidth="1"/>
    <col min="5395" max="5395" width="18.5703125" style="474" bestFit="1" customWidth="1"/>
    <col min="5396" max="5396" width="19.28515625" style="474" bestFit="1" customWidth="1"/>
    <col min="5397" max="5397" width="20.42578125" style="474" bestFit="1" customWidth="1"/>
    <col min="5398" max="5398" width="20.85546875" style="474" bestFit="1" customWidth="1"/>
    <col min="5399" max="5399" width="21.42578125" style="474" bestFit="1" customWidth="1"/>
    <col min="5400" max="5401" width="22.28515625" style="474" bestFit="1" customWidth="1"/>
    <col min="5402" max="5403" width="23.85546875" style="474" bestFit="1" customWidth="1"/>
    <col min="5404" max="5405" width="24.85546875" style="474" bestFit="1" customWidth="1"/>
    <col min="5406" max="5410" width="11.28515625" style="474" bestFit="1" customWidth="1"/>
    <col min="5411" max="5415" width="12.28515625" style="474" bestFit="1" customWidth="1"/>
    <col min="5416" max="5416" width="12" style="474" bestFit="1" customWidth="1"/>
    <col min="5417" max="5632" width="8.85546875" style="474"/>
    <col min="5633" max="5633" width="7.28515625" style="474" customWidth="1"/>
    <col min="5634" max="5634" width="41" style="474" customWidth="1"/>
    <col min="5635" max="5635" width="16" style="474" customWidth="1"/>
    <col min="5636" max="5636" width="16.140625" style="474" bestFit="1" customWidth="1"/>
    <col min="5637" max="5637" width="11.85546875" style="474" customWidth="1"/>
    <col min="5638" max="5638" width="12.42578125" style="474" bestFit="1" customWidth="1"/>
    <col min="5639" max="5640" width="13" style="474" bestFit="1" customWidth="1"/>
    <col min="5641" max="5641" width="12.7109375" style="474" bestFit="1" customWidth="1"/>
    <col min="5642" max="5642" width="13.42578125" style="474" bestFit="1" customWidth="1"/>
    <col min="5643" max="5643" width="13.7109375" style="474" bestFit="1" customWidth="1"/>
    <col min="5644" max="5644" width="14.5703125" style="474" bestFit="1" customWidth="1"/>
    <col min="5645" max="5645" width="14.85546875" style="474" bestFit="1" customWidth="1"/>
    <col min="5646" max="5646" width="17.140625" style="474" customWidth="1"/>
    <col min="5647" max="5647" width="16.42578125" style="474" bestFit="1" customWidth="1"/>
    <col min="5648" max="5648" width="17.140625" style="474" bestFit="1" customWidth="1"/>
    <col min="5649" max="5649" width="24.28515625" style="474" customWidth="1"/>
    <col min="5650" max="5650" width="18.28515625" style="474" bestFit="1" customWidth="1"/>
    <col min="5651" max="5651" width="18.5703125" style="474" bestFit="1" customWidth="1"/>
    <col min="5652" max="5652" width="19.28515625" style="474" bestFit="1" customWidth="1"/>
    <col min="5653" max="5653" width="20.42578125" style="474" bestFit="1" customWidth="1"/>
    <col min="5654" max="5654" width="20.85546875" style="474" bestFit="1" customWidth="1"/>
    <col min="5655" max="5655" width="21.42578125" style="474" bestFit="1" customWidth="1"/>
    <col min="5656" max="5657" width="22.28515625" style="474" bestFit="1" customWidth="1"/>
    <col min="5658" max="5659" width="23.85546875" style="474" bestFit="1" customWidth="1"/>
    <col min="5660" max="5661" width="24.85546875" style="474" bestFit="1" customWidth="1"/>
    <col min="5662" max="5666" width="11.28515625" style="474" bestFit="1" customWidth="1"/>
    <col min="5667" max="5671" width="12.28515625" style="474" bestFit="1" customWidth="1"/>
    <col min="5672" max="5672" width="12" style="474" bestFit="1" customWidth="1"/>
    <col min="5673" max="5888" width="8.85546875" style="474"/>
    <col min="5889" max="5889" width="7.28515625" style="474" customWidth="1"/>
    <col min="5890" max="5890" width="41" style="474" customWidth="1"/>
    <col min="5891" max="5891" width="16" style="474" customWidth="1"/>
    <col min="5892" max="5892" width="16.140625" style="474" bestFit="1" customWidth="1"/>
    <col min="5893" max="5893" width="11.85546875" style="474" customWidth="1"/>
    <col min="5894" max="5894" width="12.42578125" style="474" bestFit="1" customWidth="1"/>
    <col min="5895" max="5896" width="13" style="474" bestFit="1" customWidth="1"/>
    <col min="5897" max="5897" width="12.7109375" style="474" bestFit="1" customWidth="1"/>
    <col min="5898" max="5898" width="13.42578125" style="474" bestFit="1" customWidth="1"/>
    <col min="5899" max="5899" width="13.7109375" style="474" bestFit="1" customWidth="1"/>
    <col min="5900" max="5900" width="14.5703125" style="474" bestFit="1" customWidth="1"/>
    <col min="5901" max="5901" width="14.85546875" style="474" bestFit="1" customWidth="1"/>
    <col min="5902" max="5902" width="17.140625" style="474" customWidth="1"/>
    <col min="5903" max="5903" width="16.42578125" style="474" bestFit="1" customWidth="1"/>
    <col min="5904" max="5904" width="17.140625" style="474" bestFit="1" customWidth="1"/>
    <col min="5905" max="5905" width="24.28515625" style="474" customWidth="1"/>
    <col min="5906" max="5906" width="18.28515625" style="474" bestFit="1" customWidth="1"/>
    <col min="5907" max="5907" width="18.5703125" style="474" bestFit="1" customWidth="1"/>
    <col min="5908" max="5908" width="19.28515625" style="474" bestFit="1" customWidth="1"/>
    <col min="5909" max="5909" width="20.42578125" style="474" bestFit="1" customWidth="1"/>
    <col min="5910" max="5910" width="20.85546875" style="474" bestFit="1" customWidth="1"/>
    <col min="5911" max="5911" width="21.42578125" style="474" bestFit="1" customWidth="1"/>
    <col min="5912" max="5913" width="22.28515625" style="474" bestFit="1" customWidth="1"/>
    <col min="5914" max="5915" width="23.85546875" style="474" bestFit="1" customWidth="1"/>
    <col min="5916" max="5917" width="24.85546875" style="474" bestFit="1" customWidth="1"/>
    <col min="5918" max="5922" width="11.28515625" style="474" bestFit="1" customWidth="1"/>
    <col min="5923" max="5927" width="12.28515625" style="474" bestFit="1" customWidth="1"/>
    <col min="5928" max="5928" width="12" style="474" bestFit="1" customWidth="1"/>
    <col min="5929" max="6144" width="8.85546875" style="474"/>
    <col min="6145" max="6145" width="7.28515625" style="474" customWidth="1"/>
    <col min="6146" max="6146" width="41" style="474" customWidth="1"/>
    <col min="6147" max="6147" width="16" style="474" customWidth="1"/>
    <col min="6148" max="6148" width="16.140625" style="474" bestFit="1" customWidth="1"/>
    <col min="6149" max="6149" width="11.85546875" style="474" customWidth="1"/>
    <col min="6150" max="6150" width="12.42578125" style="474" bestFit="1" customWidth="1"/>
    <col min="6151" max="6152" width="13" style="474" bestFit="1" customWidth="1"/>
    <col min="6153" max="6153" width="12.7109375" style="474" bestFit="1" customWidth="1"/>
    <col min="6154" max="6154" width="13.42578125" style="474" bestFit="1" customWidth="1"/>
    <col min="6155" max="6155" width="13.7109375" style="474" bestFit="1" customWidth="1"/>
    <col min="6156" max="6156" width="14.5703125" style="474" bestFit="1" customWidth="1"/>
    <col min="6157" max="6157" width="14.85546875" style="474" bestFit="1" customWidth="1"/>
    <col min="6158" max="6158" width="17.140625" style="474" customWidth="1"/>
    <col min="6159" max="6159" width="16.42578125" style="474" bestFit="1" customWidth="1"/>
    <col min="6160" max="6160" width="17.140625" style="474" bestFit="1" customWidth="1"/>
    <col min="6161" max="6161" width="24.28515625" style="474" customWidth="1"/>
    <col min="6162" max="6162" width="18.28515625" style="474" bestFit="1" customWidth="1"/>
    <col min="6163" max="6163" width="18.5703125" style="474" bestFit="1" customWidth="1"/>
    <col min="6164" max="6164" width="19.28515625" style="474" bestFit="1" customWidth="1"/>
    <col min="6165" max="6165" width="20.42578125" style="474" bestFit="1" customWidth="1"/>
    <col min="6166" max="6166" width="20.85546875" style="474" bestFit="1" customWidth="1"/>
    <col min="6167" max="6167" width="21.42578125" style="474" bestFit="1" customWidth="1"/>
    <col min="6168" max="6169" width="22.28515625" style="474" bestFit="1" customWidth="1"/>
    <col min="6170" max="6171" width="23.85546875" style="474" bestFit="1" customWidth="1"/>
    <col min="6172" max="6173" width="24.85546875" style="474" bestFit="1" customWidth="1"/>
    <col min="6174" max="6178" width="11.28515625" style="474" bestFit="1" customWidth="1"/>
    <col min="6179" max="6183" width="12.28515625" style="474" bestFit="1" customWidth="1"/>
    <col min="6184" max="6184" width="12" style="474" bestFit="1" customWidth="1"/>
    <col min="6185" max="6400" width="8.85546875" style="474"/>
    <col min="6401" max="6401" width="7.28515625" style="474" customWidth="1"/>
    <col min="6402" max="6402" width="41" style="474" customWidth="1"/>
    <col min="6403" max="6403" width="16" style="474" customWidth="1"/>
    <col min="6404" max="6404" width="16.140625" style="474" bestFit="1" customWidth="1"/>
    <col min="6405" max="6405" width="11.85546875" style="474" customWidth="1"/>
    <col min="6406" max="6406" width="12.42578125" style="474" bestFit="1" customWidth="1"/>
    <col min="6407" max="6408" width="13" style="474" bestFit="1" customWidth="1"/>
    <col min="6409" max="6409" width="12.7109375" style="474" bestFit="1" customWidth="1"/>
    <col min="6410" max="6410" width="13.42578125" style="474" bestFit="1" customWidth="1"/>
    <col min="6411" max="6411" width="13.7109375" style="474" bestFit="1" customWidth="1"/>
    <col min="6412" max="6412" width="14.5703125" style="474" bestFit="1" customWidth="1"/>
    <col min="6413" max="6413" width="14.85546875" style="474" bestFit="1" customWidth="1"/>
    <col min="6414" max="6414" width="17.140625" style="474" customWidth="1"/>
    <col min="6415" max="6415" width="16.42578125" style="474" bestFit="1" customWidth="1"/>
    <col min="6416" max="6416" width="17.140625" style="474" bestFit="1" customWidth="1"/>
    <col min="6417" max="6417" width="24.28515625" style="474" customWidth="1"/>
    <col min="6418" max="6418" width="18.28515625" style="474" bestFit="1" customWidth="1"/>
    <col min="6419" max="6419" width="18.5703125" style="474" bestFit="1" customWidth="1"/>
    <col min="6420" max="6420" width="19.28515625" style="474" bestFit="1" customWidth="1"/>
    <col min="6421" max="6421" width="20.42578125" style="474" bestFit="1" customWidth="1"/>
    <col min="6422" max="6422" width="20.85546875" style="474" bestFit="1" customWidth="1"/>
    <col min="6423" max="6423" width="21.42578125" style="474" bestFit="1" customWidth="1"/>
    <col min="6424" max="6425" width="22.28515625" style="474" bestFit="1" customWidth="1"/>
    <col min="6426" max="6427" width="23.85546875" style="474" bestFit="1" customWidth="1"/>
    <col min="6428" max="6429" width="24.85546875" style="474" bestFit="1" customWidth="1"/>
    <col min="6430" max="6434" width="11.28515625" style="474" bestFit="1" customWidth="1"/>
    <col min="6435" max="6439" width="12.28515625" style="474" bestFit="1" customWidth="1"/>
    <col min="6440" max="6440" width="12" style="474" bestFit="1" customWidth="1"/>
    <col min="6441" max="6656" width="8.85546875" style="474"/>
    <col min="6657" max="6657" width="7.28515625" style="474" customWidth="1"/>
    <col min="6658" max="6658" width="41" style="474" customWidth="1"/>
    <col min="6659" max="6659" width="16" style="474" customWidth="1"/>
    <col min="6660" max="6660" width="16.140625" style="474" bestFit="1" customWidth="1"/>
    <col min="6661" max="6661" width="11.85546875" style="474" customWidth="1"/>
    <col min="6662" max="6662" width="12.42578125" style="474" bestFit="1" customWidth="1"/>
    <col min="6663" max="6664" width="13" style="474" bestFit="1" customWidth="1"/>
    <col min="6665" max="6665" width="12.7109375" style="474" bestFit="1" customWidth="1"/>
    <col min="6666" max="6666" width="13.42578125" style="474" bestFit="1" customWidth="1"/>
    <col min="6667" max="6667" width="13.7109375" style="474" bestFit="1" customWidth="1"/>
    <col min="6668" max="6668" width="14.5703125" style="474" bestFit="1" customWidth="1"/>
    <col min="6669" max="6669" width="14.85546875" style="474" bestFit="1" customWidth="1"/>
    <col min="6670" max="6670" width="17.140625" style="474" customWidth="1"/>
    <col min="6671" max="6671" width="16.42578125" style="474" bestFit="1" customWidth="1"/>
    <col min="6672" max="6672" width="17.140625" style="474" bestFit="1" customWidth="1"/>
    <col min="6673" max="6673" width="24.28515625" style="474" customWidth="1"/>
    <col min="6674" max="6674" width="18.28515625" style="474" bestFit="1" customWidth="1"/>
    <col min="6675" max="6675" width="18.5703125" style="474" bestFit="1" customWidth="1"/>
    <col min="6676" max="6676" width="19.28515625" style="474" bestFit="1" customWidth="1"/>
    <col min="6677" max="6677" width="20.42578125" style="474" bestFit="1" customWidth="1"/>
    <col min="6678" max="6678" width="20.85546875" style="474" bestFit="1" customWidth="1"/>
    <col min="6679" max="6679" width="21.42578125" style="474" bestFit="1" customWidth="1"/>
    <col min="6680" max="6681" width="22.28515625" style="474" bestFit="1" customWidth="1"/>
    <col min="6682" max="6683" width="23.85546875" style="474" bestFit="1" customWidth="1"/>
    <col min="6684" max="6685" width="24.85546875" style="474" bestFit="1" customWidth="1"/>
    <col min="6686" max="6690" width="11.28515625" style="474" bestFit="1" customWidth="1"/>
    <col min="6691" max="6695" width="12.28515625" style="474" bestFit="1" customWidth="1"/>
    <col min="6696" max="6696" width="12" style="474" bestFit="1" customWidth="1"/>
    <col min="6697" max="6912" width="8.85546875" style="474"/>
    <col min="6913" max="6913" width="7.28515625" style="474" customWidth="1"/>
    <col min="6914" max="6914" width="41" style="474" customWidth="1"/>
    <col min="6915" max="6915" width="16" style="474" customWidth="1"/>
    <col min="6916" max="6916" width="16.140625" style="474" bestFit="1" customWidth="1"/>
    <col min="6917" max="6917" width="11.85546875" style="474" customWidth="1"/>
    <col min="6918" max="6918" width="12.42578125" style="474" bestFit="1" customWidth="1"/>
    <col min="6919" max="6920" width="13" style="474" bestFit="1" customWidth="1"/>
    <col min="6921" max="6921" width="12.7109375" style="474" bestFit="1" customWidth="1"/>
    <col min="6922" max="6922" width="13.42578125" style="474" bestFit="1" customWidth="1"/>
    <col min="6923" max="6923" width="13.7109375" style="474" bestFit="1" customWidth="1"/>
    <col min="6924" max="6924" width="14.5703125" style="474" bestFit="1" customWidth="1"/>
    <col min="6925" max="6925" width="14.85546875" style="474" bestFit="1" customWidth="1"/>
    <col min="6926" max="6926" width="17.140625" style="474" customWidth="1"/>
    <col min="6927" max="6927" width="16.42578125" style="474" bestFit="1" customWidth="1"/>
    <col min="6928" max="6928" width="17.140625" style="474" bestFit="1" customWidth="1"/>
    <col min="6929" max="6929" width="24.28515625" style="474" customWidth="1"/>
    <col min="6930" max="6930" width="18.28515625" style="474" bestFit="1" customWidth="1"/>
    <col min="6931" max="6931" width="18.5703125" style="474" bestFit="1" customWidth="1"/>
    <col min="6932" max="6932" width="19.28515625" style="474" bestFit="1" customWidth="1"/>
    <col min="6933" max="6933" width="20.42578125" style="474" bestFit="1" customWidth="1"/>
    <col min="6934" max="6934" width="20.85546875" style="474" bestFit="1" customWidth="1"/>
    <col min="6935" max="6935" width="21.42578125" style="474" bestFit="1" customWidth="1"/>
    <col min="6936" max="6937" width="22.28515625" style="474" bestFit="1" customWidth="1"/>
    <col min="6938" max="6939" width="23.85546875" style="474" bestFit="1" customWidth="1"/>
    <col min="6940" max="6941" width="24.85546875" style="474" bestFit="1" customWidth="1"/>
    <col min="6942" max="6946" width="11.28515625" style="474" bestFit="1" customWidth="1"/>
    <col min="6947" max="6951" width="12.28515625" style="474" bestFit="1" customWidth="1"/>
    <col min="6952" max="6952" width="12" style="474" bestFit="1" customWidth="1"/>
    <col min="6953" max="7168" width="8.85546875" style="474"/>
    <col min="7169" max="7169" width="7.28515625" style="474" customWidth="1"/>
    <col min="7170" max="7170" width="41" style="474" customWidth="1"/>
    <col min="7171" max="7171" width="16" style="474" customWidth="1"/>
    <col min="7172" max="7172" width="16.140625" style="474" bestFit="1" customWidth="1"/>
    <col min="7173" max="7173" width="11.85546875" style="474" customWidth="1"/>
    <col min="7174" max="7174" width="12.42578125" style="474" bestFit="1" customWidth="1"/>
    <col min="7175" max="7176" width="13" style="474" bestFit="1" customWidth="1"/>
    <col min="7177" max="7177" width="12.7109375" style="474" bestFit="1" customWidth="1"/>
    <col min="7178" max="7178" width="13.42578125" style="474" bestFit="1" customWidth="1"/>
    <col min="7179" max="7179" width="13.7109375" style="474" bestFit="1" customWidth="1"/>
    <col min="7180" max="7180" width="14.5703125" style="474" bestFit="1" customWidth="1"/>
    <col min="7181" max="7181" width="14.85546875" style="474" bestFit="1" customWidth="1"/>
    <col min="7182" max="7182" width="17.140625" style="474" customWidth="1"/>
    <col min="7183" max="7183" width="16.42578125" style="474" bestFit="1" customWidth="1"/>
    <col min="7184" max="7184" width="17.140625" style="474" bestFit="1" customWidth="1"/>
    <col min="7185" max="7185" width="24.28515625" style="474" customWidth="1"/>
    <col min="7186" max="7186" width="18.28515625" style="474" bestFit="1" customWidth="1"/>
    <col min="7187" max="7187" width="18.5703125" style="474" bestFit="1" customWidth="1"/>
    <col min="7188" max="7188" width="19.28515625" style="474" bestFit="1" customWidth="1"/>
    <col min="7189" max="7189" width="20.42578125" style="474" bestFit="1" customWidth="1"/>
    <col min="7190" max="7190" width="20.85546875" style="474" bestFit="1" customWidth="1"/>
    <col min="7191" max="7191" width="21.42578125" style="474" bestFit="1" customWidth="1"/>
    <col min="7192" max="7193" width="22.28515625" style="474" bestFit="1" customWidth="1"/>
    <col min="7194" max="7195" width="23.85546875" style="474" bestFit="1" customWidth="1"/>
    <col min="7196" max="7197" width="24.85546875" style="474" bestFit="1" customWidth="1"/>
    <col min="7198" max="7202" width="11.28515625" style="474" bestFit="1" customWidth="1"/>
    <col min="7203" max="7207" width="12.28515625" style="474" bestFit="1" customWidth="1"/>
    <col min="7208" max="7208" width="12" style="474" bestFit="1" customWidth="1"/>
    <col min="7209" max="7424" width="8.85546875" style="474"/>
    <col min="7425" max="7425" width="7.28515625" style="474" customWidth="1"/>
    <col min="7426" max="7426" width="41" style="474" customWidth="1"/>
    <col min="7427" max="7427" width="16" style="474" customWidth="1"/>
    <col min="7428" max="7428" width="16.140625" style="474" bestFit="1" customWidth="1"/>
    <col min="7429" max="7429" width="11.85546875" style="474" customWidth="1"/>
    <col min="7430" max="7430" width="12.42578125" style="474" bestFit="1" customWidth="1"/>
    <col min="7431" max="7432" width="13" style="474" bestFit="1" customWidth="1"/>
    <col min="7433" max="7433" width="12.7109375" style="474" bestFit="1" customWidth="1"/>
    <col min="7434" max="7434" width="13.42578125" style="474" bestFit="1" customWidth="1"/>
    <col min="7435" max="7435" width="13.7109375" style="474" bestFit="1" customWidth="1"/>
    <col min="7436" max="7436" width="14.5703125" style="474" bestFit="1" customWidth="1"/>
    <col min="7437" max="7437" width="14.85546875" style="474" bestFit="1" customWidth="1"/>
    <col min="7438" max="7438" width="17.140625" style="474" customWidth="1"/>
    <col min="7439" max="7439" width="16.42578125" style="474" bestFit="1" customWidth="1"/>
    <col min="7440" max="7440" width="17.140625" style="474" bestFit="1" customWidth="1"/>
    <col min="7441" max="7441" width="24.28515625" style="474" customWidth="1"/>
    <col min="7442" max="7442" width="18.28515625" style="474" bestFit="1" customWidth="1"/>
    <col min="7443" max="7443" width="18.5703125" style="474" bestFit="1" customWidth="1"/>
    <col min="7444" max="7444" width="19.28515625" style="474" bestFit="1" customWidth="1"/>
    <col min="7445" max="7445" width="20.42578125" style="474" bestFit="1" customWidth="1"/>
    <col min="7446" max="7446" width="20.85546875" style="474" bestFit="1" customWidth="1"/>
    <col min="7447" max="7447" width="21.42578125" style="474" bestFit="1" customWidth="1"/>
    <col min="7448" max="7449" width="22.28515625" style="474" bestFit="1" customWidth="1"/>
    <col min="7450" max="7451" width="23.85546875" style="474" bestFit="1" customWidth="1"/>
    <col min="7452" max="7453" width="24.85546875" style="474" bestFit="1" customWidth="1"/>
    <col min="7454" max="7458" width="11.28515625" style="474" bestFit="1" customWidth="1"/>
    <col min="7459" max="7463" width="12.28515625" style="474" bestFit="1" customWidth="1"/>
    <col min="7464" max="7464" width="12" style="474" bestFit="1" customWidth="1"/>
    <col min="7465" max="7680" width="8.85546875" style="474"/>
    <col min="7681" max="7681" width="7.28515625" style="474" customWidth="1"/>
    <col min="7682" max="7682" width="41" style="474" customWidth="1"/>
    <col min="7683" max="7683" width="16" style="474" customWidth="1"/>
    <col min="7684" max="7684" width="16.140625" style="474" bestFit="1" customWidth="1"/>
    <col min="7685" max="7685" width="11.85546875" style="474" customWidth="1"/>
    <col min="7686" max="7686" width="12.42578125" style="474" bestFit="1" customWidth="1"/>
    <col min="7687" max="7688" width="13" style="474" bestFit="1" customWidth="1"/>
    <col min="7689" max="7689" width="12.7109375" style="474" bestFit="1" customWidth="1"/>
    <col min="7690" max="7690" width="13.42578125" style="474" bestFit="1" customWidth="1"/>
    <col min="7691" max="7691" width="13.7109375" style="474" bestFit="1" customWidth="1"/>
    <col min="7692" max="7692" width="14.5703125" style="474" bestFit="1" customWidth="1"/>
    <col min="7693" max="7693" width="14.85546875" style="474" bestFit="1" customWidth="1"/>
    <col min="7694" max="7694" width="17.140625" style="474" customWidth="1"/>
    <col min="7695" max="7695" width="16.42578125" style="474" bestFit="1" customWidth="1"/>
    <col min="7696" max="7696" width="17.140625" style="474" bestFit="1" customWidth="1"/>
    <col min="7697" max="7697" width="24.28515625" style="474" customWidth="1"/>
    <col min="7698" max="7698" width="18.28515625" style="474" bestFit="1" customWidth="1"/>
    <col min="7699" max="7699" width="18.5703125" style="474" bestFit="1" customWidth="1"/>
    <col min="7700" max="7700" width="19.28515625" style="474" bestFit="1" customWidth="1"/>
    <col min="7701" max="7701" width="20.42578125" style="474" bestFit="1" customWidth="1"/>
    <col min="7702" max="7702" width="20.85546875" style="474" bestFit="1" customWidth="1"/>
    <col min="7703" max="7703" width="21.42578125" style="474" bestFit="1" customWidth="1"/>
    <col min="7704" max="7705" width="22.28515625" style="474" bestFit="1" customWidth="1"/>
    <col min="7706" max="7707" width="23.85546875" style="474" bestFit="1" customWidth="1"/>
    <col min="7708" max="7709" width="24.85546875" style="474" bestFit="1" customWidth="1"/>
    <col min="7710" max="7714" width="11.28515625" style="474" bestFit="1" customWidth="1"/>
    <col min="7715" max="7719" width="12.28515625" style="474" bestFit="1" customWidth="1"/>
    <col min="7720" max="7720" width="12" style="474" bestFit="1" customWidth="1"/>
    <col min="7721" max="7936" width="8.85546875" style="474"/>
    <col min="7937" max="7937" width="7.28515625" style="474" customWidth="1"/>
    <col min="7938" max="7938" width="41" style="474" customWidth="1"/>
    <col min="7939" max="7939" width="16" style="474" customWidth="1"/>
    <col min="7940" max="7940" width="16.140625" style="474" bestFit="1" customWidth="1"/>
    <col min="7941" max="7941" width="11.85546875" style="474" customWidth="1"/>
    <col min="7942" max="7942" width="12.42578125" style="474" bestFit="1" customWidth="1"/>
    <col min="7943" max="7944" width="13" style="474" bestFit="1" customWidth="1"/>
    <col min="7945" max="7945" width="12.7109375" style="474" bestFit="1" customWidth="1"/>
    <col min="7946" max="7946" width="13.42578125" style="474" bestFit="1" customWidth="1"/>
    <col min="7947" max="7947" width="13.7109375" style="474" bestFit="1" customWidth="1"/>
    <col min="7948" max="7948" width="14.5703125" style="474" bestFit="1" customWidth="1"/>
    <col min="7949" max="7949" width="14.85546875" style="474" bestFit="1" customWidth="1"/>
    <col min="7950" max="7950" width="17.140625" style="474" customWidth="1"/>
    <col min="7951" max="7951" width="16.42578125" style="474" bestFit="1" customWidth="1"/>
    <col min="7952" max="7952" width="17.140625" style="474" bestFit="1" customWidth="1"/>
    <col min="7953" max="7953" width="24.28515625" style="474" customWidth="1"/>
    <col min="7954" max="7954" width="18.28515625" style="474" bestFit="1" customWidth="1"/>
    <col min="7955" max="7955" width="18.5703125" style="474" bestFit="1" customWidth="1"/>
    <col min="7956" max="7956" width="19.28515625" style="474" bestFit="1" customWidth="1"/>
    <col min="7957" max="7957" width="20.42578125" style="474" bestFit="1" customWidth="1"/>
    <col min="7958" max="7958" width="20.85546875" style="474" bestFit="1" customWidth="1"/>
    <col min="7959" max="7959" width="21.42578125" style="474" bestFit="1" customWidth="1"/>
    <col min="7960" max="7961" width="22.28515625" style="474" bestFit="1" customWidth="1"/>
    <col min="7962" max="7963" width="23.85546875" style="474" bestFit="1" customWidth="1"/>
    <col min="7964" max="7965" width="24.85546875" style="474" bestFit="1" customWidth="1"/>
    <col min="7966" max="7970" width="11.28515625" style="474" bestFit="1" customWidth="1"/>
    <col min="7971" max="7975" width="12.28515625" style="474" bestFit="1" customWidth="1"/>
    <col min="7976" max="7976" width="12" style="474" bestFit="1" customWidth="1"/>
    <col min="7977" max="8192" width="8.85546875" style="474"/>
    <col min="8193" max="8193" width="7.28515625" style="474" customWidth="1"/>
    <col min="8194" max="8194" width="41" style="474" customWidth="1"/>
    <col min="8195" max="8195" width="16" style="474" customWidth="1"/>
    <col min="8196" max="8196" width="16.140625" style="474" bestFit="1" customWidth="1"/>
    <col min="8197" max="8197" width="11.85546875" style="474" customWidth="1"/>
    <col min="8198" max="8198" width="12.42578125" style="474" bestFit="1" customWidth="1"/>
    <col min="8199" max="8200" width="13" style="474" bestFit="1" customWidth="1"/>
    <col min="8201" max="8201" width="12.7109375" style="474" bestFit="1" customWidth="1"/>
    <col min="8202" max="8202" width="13.42578125" style="474" bestFit="1" customWidth="1"/>
    <col min="8203" max="8203" width="13.7109375" style="474" bestFit="1" customWidth="1"/>
    <col min="8204" max="8204" width="14.5703125" style="474" bestFit="1" customWidth="1"/>
    <col min="8205" max="8205" width="14.85546875" style="474" bestFit="1" customWidth="1"/>
    <col min="8206" max="8206" width="17.140625" style="474" customWidth="1"/>
    <col min="8207" max="8207" width="16.42578125" style="474" bestFit="1" customWidth="1"/>
    <col min="8208" max="8208" width="17.140625" style="474" bestFit="1" customWidth="1"/>
    <col min="8209" max="8209" width="24.28515625" style="474" customWidth="1"/>
    <col min="8210" max="8210" width="18.28515625" style="474" bestFit="1" customWidth="1"/>
    <col min="8211" max="8211" width="18.5703125" style="474" bestFit="1" customWidth="1"/>
    <col min="8212" max="8212" width="19.28515625" style="474" bestFit="1" customWidth="1"/>
    <col min="8213" max="8213" width="20.42578125" style="474" bestFit="1" customWidth="1"/>
    <col min="8214" max="8214" width="20.85546875" style="474" bestFit="1" customWidth="1"/>
    <col min="8215" max="8215" width="21.42578125" style="474" bestFit="1" customWidth="1"/>
    <col min="8216" max="8217" width="22.28515625" style="474" bestFit="1" customWidth="1"/>
    <col min="8218" max="8219" width="23.85546875" style="474" bestFit="1" customWidth="1"/>
    <col min="8220" max="8221" width="24.85546875" style="474" bestFit="1" customWidth="1"/>
    <col min="8222" max="8226" width="11.28515625" style="474" bestFit="1" customWidth="1"/>
    <col min="8227" max="8231" width="12.28515625" style="474" bestFit="1" customWidth="1"/>
    <col min="8232" max="8232" width="12" style="474" bestFit="1" customWidth="1"/>
    <col min="8233" max="8448" width="8.85546875" style="474"/>
    <col min="8449" max="8449" width="7.28515625" style="474" customWidth="1"/>
    <col min="8450" max="8450" width="41" style="474" customWidth="1"/>
    <col min="8451" max="8451" width="16" style="474" customWidth="1"/>
    <col min="8452" max="8452" width="16.140625" style="474" bestFit="1" customWidth="1"/>
    <col min="8453" max="8453" width="11.85546875" style="474" customWidth="1"/>
    <col min="8454" max="8454" width="12.42578125" style="474" bestFit="1" customWidth="1"/>
    <col min="8455" max="8456" width="13" style="474" bestFit="1" customWidth="1"/>
    <col min="8457" max="8457" width="12.7109375" style="474" bestFit="1" customWidth="1"/>
    <col min="8458" max="8458" width="13.42578125" style="474" bestFit="1" customWidth="1"/>
    <col min="8459" max="8459" width="13.7109375" style="474" bestFit="1" customWidth="1"/>
    <col min="8460" max="8460" width="14.5703125" style="474" bestFit="1" customWidth="1"/>
    <col min="8461" max="8461" width="14.85546875" style="474" bestFit="1" customWidth="1"/>
    <col min="8462" max="8462" width="17.140625" style="474" customWidth="1"/>
    <col min="8463" max="8463" width="16.42578125" style="474" bestFit="1" customWidth="1"/>
    <col min="8464" max="8464" width="17.140625" style="474" bestFit="1" customWidth="1"/>
    <col min="8465" max="8465" width="24.28515625" style="474" customWidth="1"/>
    <col min="8466" max="8466" width="18.28515625" style="474" bestFit="1" customWidth="1"/>
    <col min="8467" max="8467" width="18.5703125" style="474" bestFit="1" customWidth="1"/>
    <col min="8468" max="8468" width="19.28515625" style="474" bestFit="1" customWidth="1"/>
    <col min="8469" max="8469" width="20.42578125" style="474" bestFit="1" customWidth="1"/>
    <col min="8470" max="8470" width="20.85546875" style="474" bestFit="1" customWidth="1"/>
    <col min="8471" max="8471" width="21.42578125" style="474" bestFit="1" customWidth="1"/>
    <col min="8472" max="8473" width="22.28515625" style="474" bestFit="1" customWidth="1"/>
    <col min="8474" max="8475" width="23.85546875" style="474" bestFit="1" customWidth="1"/>
    <col min="8476" max="8477" width="24.85546875" style="474" bestFit="1" customWidth="1"/>
    <col min="8478" max="8482" width="11.28515625" style="474" bestFit="1" customWidth="1"/>
    <col min="8483" max="8487" width="12.28515625" style="474" bestFit="1" customWidth="1"/>
    <col min="8488" max="8488" width="12" style="474" bestFit="1" customWidth="1"/>
    <col min="8489" max="8704" width="8.85546875" style="474"/>
    <col min="8705" max="8705" width="7.28515625" style="474" customWidth="1"/>
    <col min="8706" max="8706" width="41" style="474" customWidth="1"/>
    <col min="8707" max="8707" width="16" style="474" customWidth="1"/>
    <col min="8708" max="8708" width="16.140625" style="474" bestFit="1" customWidth="1"/>
    <col min="8709" max="8709" width="11.85546875" style="474" customWidth="1"/>
    <col min="8710" max="8710" width="12.42578125" style="474" bestFit="1" customWidth="1"/>
    <col min="8711" max="8712" width="13" style="474" bestFit="1" customWidth="1"/>
    <col min="8713" max="8713" width="12.7109375" style="474" bestFit="1" customWidth="1"/>
    <col min="8714" max="8714" width="13.42578125" style="474" bestFit="1" customWidth="1"/>
    <col min="8715" max="8715" width="13.7109375" style="474" bestFit="1" customWidth="1"/>
    <col min="8716" max="8716" width="14.5703125" style="474" bestFit="1" customWidth="1"/>
    <col min="8717" max="8717" width="14.85546875" style="474" bestFit="1" customWidth="1"/>
    <col min="8718" max="8718" width="17.140625" style="474" customWidth="1"/>
    <col min="8719" max="8719" width="16.42578125" style="474" bestFit="1" customWidth="1"/>
    <col min="8720" max="8720" width="17.140625" style="474" bestFit="1" customWidth="1"/>
    <col min="8721" max="8721" width="24.28515625" style="474" customWidth="1"/>
    <col min="8722" max="8722" width="18.28515625" style="474" bestFit="1" customWidth="1"/>
    <col min="8723" max="8723" width="18.5703125" style="474" bestFit="1" customWidth="1"/>
    <col min="8724" max="8724" width="19.28515625" style="474" bestFit="1" customWidth="1"/>
    <col min="8725" max="8725" width="20.42578125" style="474" bestFit="1" customWidth="1"/>
    <col min="8726" max="8726" width="20.85546875" style="474" bestFit="1" customWidth="1"/>
    <col min="8727" max="8727" width="21.42578125" style="474" bestFit="1" customWidth="1"/>
    <col min="8728" max="8729" width="22.28515625" style="474" bestFit="1" customWidth="1"/>
    <col min="8730" max="8731" width="23.85546875" style="474" bestFit="1" customWidth="1"/>
    <col min="8732" max="8733" width="24.85546875" style="474" bestFit="1" customWidth="1"/>
    <col min="8734" max="8738" width="11.28515625" style="474" bestFit="1" customWidth="1"/>
    <col min="8739" max="8743" width="12.28515625" style="474" bestFit="1" customWidth="1"/>
    <col min="8744" max="8744" width="12" style="474" bestFit="1" customWidth="1"/>
    <col min="8745" max="8960" width="8.85546875" style="474"/>
    <col min="8961" max="8961" width="7.28515625" style="474" customWidth="1"/>
    <col min="8962" max="8962" width="41" style="474" customWidth="1"/>
    <col min="8963" max="8963" width="16" style="474" customWidth="1"/>
    <col min="8964" max="8964" width="16.140625" style="474" bestFit="1" customWidth="1"/>
    <col min="8965" max="8965" width="11.85546875" style="474" customWidth="1"/>
    <col min="8966" max="8966" width="12.42578125" style="474" bestFit="1" customWidth="1"/>
    <col min="8967" max="8968" width="13" style="474" bestFit="1" customWidth="1"/>
    <col min="8969" max="8969" width="12.7109375" style="474" bestFit="1" customWidth="1"/>
    <col min="8970" max="8970" width="13.42578125" style="474" bestFit="1" customWidth="1"/>
    <col min="8971" max="8971" width="13.7109375" style="474" bestFit="1" customWidth="1"/>
    <col min="8972" max="8972" width="14.5703125" style="474" bestFit="1" customWidth="1"/>
    <col min="8973" max="8973" width="14.85546875" style="474" bestFit="1" customWidth="1"/>
    <col min="8974" max="8974" width="17.140625" style="474" customWidth="1"/>
    <col min="8975" max="8975" width="16.42578125" style="474" bestFit="1" customWidth="1"/>
    <col min="8976" max="8976" width="17.140625" style="474" bestFit="1" customWidth="1"/>
    <col min="8977" max="8977" width="24.28515625" style="474" customWidth="1"/>
    <col min="8978" max="8978" width="18.28515625" style="474" bestFit="1" customWidth="1"/>
    <col min="8979" max="8979" width="18.5703125" style="474" bestFit="1" customWidth="1"/>
    <col min="8980" max="8980" width="19.28515625" style="474" bestFit="1" customWidth="1"/>
    <col min="8981" max="8981" width="20.42578125" style="474" bestFit="1" customWidth="1"/>
    <col min="8982" max="8982" width="20.85546875" style="474" bestFit="1" customWidth="1"/>
    <col min="8983" max="8983" width="21.42578125" style="474" bestFit="1" customWidth="1"/>
    <col min="8984" max="8985" width="22.28515625" style="474" bestFit="1" customWidth="1"/>
    <col min="8986" max="8987" width="23.85546875" style="474" bestFit="1" customWidth="1"/>
    <col min="8988" max="8989" width="24.85546875" style="474" bestFit="1" customWidth="1"/>
    <col min="8990" max="8994" width="11.28515625" style="474" bestFit="1" customWidth="1"/>
    <col min="8995" max="8999" width="12.28515625" style="474" bestFit="1" customWidth="1"/>
    <col min="9000" max="9000" width="12" style="474" bestFit="1" customWidth="1"/>
    <col min="9001" max="9216" width="8.85546875" style="474"/>
    <col min="9217" max="9217" width="7.28515625" style="474" customWidth="1"/>
    <col min="9218" max="9218" width="41" style="474" customWidth="1"/>
    <col min="9219" max="9219" width="16" style="474" customWidth="1"/>
    <col min="9220" max="9220" width="16.140625" style="474" bestFit="1" customWidth="1"/>
    <col min="9221" max="9221" width="11.85546875" style="474" customWidth="1"/>
    <col min="9222" max="9222" width="12.42578125" style="474" bestFit="1" customWidth="1"/>
    <col min="9223" max="9224" width="13" style="474" bestFit="1" customWidth="1"/>
    <col min="9225" max="9225" width="12.7109375" style="474" bestFit="1" customWidth="1"/>
    <col min="9226" max="9226" width="13.42578125" style="474" bestFit="1" customWidth="1"/>
    <col min="9227" max="9227" width="13.7109375" style="474" bestFit="1" customWidth="1"/>
    <col min="9228" max="9228" width="14.5703125" style="474" bestFit="1" customWidth="1"/>
    <col min="9229" max="9229" width="14.85546875" style="474" bestFit="1" customWidth="1"/>
    <col min="9230" max="9230" width="17.140625" style="474" customWidth="1"/>
    <col min="9231" max="9231" width="16.42578125" style="474" bestFit="1" customWidth="1"/>
    <col min="9232" max="9232" width="17.140625" style="474" bestFit="1" customWidth="1"/>
    <col min="9233" max="9233" width="24.28515625" style="474" customWidth="1"/>
    <col min="9234" max="9234" width="18.28515625" style="474" bestFit="1" customWidth="1"/>
    <col min="9235" max="9235" width="18.5703125" style="474" bestFit="1" customWidth="1"/>
    <col min="9236" max="9236" width="19.28515625" style="474" bestFit="1" customWidth="1"/>
    <col min="9237" max="9237" width="20.42578125" style="474" bestFit="1" customWidth="1"/>
    <col min="9238" max="9238" width="20.85546875" style="474" bestFit="1" customWidth="1"/>
    <col min="9239" max="9239" width="21.42578125" style="474" bestFit="1" customWidth="1"/>
    <col min="9240" max="9241" width="22.28515625" style="474" bestFit="1" customWidth="1"/>
    <col min="9242" max="9243" width="23.85546875" style="474" bestFit="1" customWidth="1"/>
    <col min="9244" max="9245" width="24.85546875" style="474" bestFit="1" customWidth="1"/>
    <col min="9246" max="9250" width="11.28515625" style="474" bestFit="1" customWidth="1"/>
    <col min="9251" max="9255" width="12.28515625" style="474" bestFit="1" customWidth="1"/>
    <col min="9256" max="9256" width="12" style="474" bestFit="1" customWidth="1"/>
    <col min="9257" max="9472" width="8.85546875" style="474"/>
    <col min="9473" max="9473" width="7.28515625" style="474" customWidth="1"/>
    <col min="9474" max="9474" width="41" style="474" customWidth="1"/>
    <col min="9475" max="9475" width="16" style="474" customWidth="1"/>
    <col min="9476" max="9476" width="16.140625" style="474" bestFit="1" customWidth="1"/>
    <col min="9477" max="9477" width="11.85546875" style="474" customWidth="1"/>
    <col min="9478" max="9478" width="12.42578125" style="474" bestFit="1" customWidth="1"/>
    <col min="9479" max="9480" width="13" style="474" bestFit="1" customWidth="1"/>
    <col min="9481" max="9481" width="12.7109375" style="474" bestFit="1" customWidth="1"/>
    <col min="9482" max="9482" width="13.42578125" style="474" bestFit="1" customWidth="1"/>
    <col min="9483" max="9483" width="13.7109375" style="474" bestFit="1" customWidth="1"/>
    <col min="9484" max="9484" width="14.5703125" style="474" bestFit="1" customWidth="1"/>
    <col min="9485" max="9485" width="14.85546875" style="474" bestFit="1" customWidth="1"/>
    <col min="9486" max="9486" width="17.140625" style="474" customWidth="1"/>
    <col min="9487" max="9487" width="16.42578125" style="474" bestFit="1" customWidth="1"/>
    <col min="9488" max="9488" width="17.140625" style="474" bestFit="1" customWidth="1"/>
    <col min="9489" max="9489" width="24.28515625" style="474" customWidth="1"/>
    <col min="9490" max="9490" width="18.28515625" style="474" bestFit="1" customWidth="1"/>
    <col min="9491" max="9491" width="18.5703125" style="474" bestFit="1" customWidth="1"/>
    <col min="9492" max="9492" width="19.28515625" style="474" bestFit="1" customWidth="1"/>
    <col min="9493" max="9493" width="20.42578125" style="474" bestFit="1" customWidth="1"/>
    <col min="9494" max="9494" width="20.85546875" style="474" bestFit="1" customWidth="1"/>
    <col min="9495" max="9495" width="21.42578125" style="474" bestFit="1" customWidth="1"/>
    <col min="9496" max="9497" width="22.28515625" style="474" bestFit="1" customWidth="1"/>
    <col min="9498" max="9499" width="23.85546875" style="474" bestFit="1" customWidth="1"/>
    <col min="9500" max="9501" width="24.85546875" style="474" bestFit="1" customWidth="1"/>
    <col min="9502" max="9506" width="11.28515625" style="474" bestFit="1" customWidth="1"/>
    <col min="9507" max="9511" width="12.28515625" style="474" bestFit="1" customWidth="1"/>
    <col min="9512" max="9512" width="12" style="474" bestFit="1" customWidth="1"/>
    <col min="9513" max="9728" width="8.85546875" style="474"/>
    <col min="9729" max="9729" width="7.28515625" style="474" customWidth="1"/>
    <col min="9730" max="9730" width="41" style="474" customWidth="1"/>
    <col min="9731" max="9731" width="16" style="474" customWidth="1"/>
    <col min="9732" max="9732" width="16.140625" style="474" bestFit="1" customWidth="1"/>
    <col min="9733" max="9733" width="11.85546875" style="474" customWidth="1"/>
    <col min="9734" max="9734" width="12.42578125" style="474" bestFit="1" customWidth="1"/>
    <col min="9735" max="9736" width="13" style="474" bestFit="1" customWidth="1"/>
    <col min="9737" max="9737" width="12.7109375" style="474" bestFit="1" customWidth="1"/>
    <col min="9738" max="9738" width="13.42578125" style="474" bestFit="1" customWidth="1"/>
    <col min="9739" max="9739" width="13.7109375" style="474" bestFit="1" customWidth="1"/>
    <col min="9740" max="9740" width="14.5703125" style="474" bestFit="1" customWidth="1"/>
    <col min="9741" max="9741" width="14.85546875" style="474" bestFit="1" customWidth="1"/>
    <col min="9742" max="9742" width="17.140625" style="474" customWidth="1"/>
    <col min="9743" max="9743" width="16.42578125" style="474" bestFit="1" customWidth="1"/>
    <col min="9744" max="9744" width="17.140625" style="474" bestFit="1" customWidth="1"/>
    <col min="9745" max="9745" width="24.28515625" style="474" customWidth="1"/>
    <col min="9746" max="9746" width="18.28515625" style="474" bestFit="1" customWidth="1"/>
    <col min="9747" max="9747" width="18.5703125" style="474" bestFit="1" customWidth="1"/>
    <col min="9748" max="9748" width="19.28515625" style="474" bestFit="1" customWidth="1"/>
    <col min="9749" max="9749" width="20.42578125" style="474" bestFit="1" customWidth="1"/>
    <col min="9750" max="9750" width="20.85546875" style="474" bestFit="1" customWidth="1"/>
    <col min="9751" max="9751" width="21.42578125" style="474" bestFit="1" customWidth="1"/>
    <col min="9752" max="9753" width="22.28515625" style="474" bestFit="1" customWidth="1"/>
    <col min="9754" max="9755" width="23.85546875" style="474" bestFit="1" customWidth="1"/>
    <col min="9756" max="9757" width="24.85546875" style="474" bestFit="1" customWidth="1"/>
    <col min="9758" max="9762" width="11.28515625" style="474" bestFit="1" customWidth="1"/>
    <col min="9763" max="9767" width="12.28515625" style="474" bestFit="1" customWidth="1"/>
    <col min="9768" max="9768" width="12" style="474" bestFit="1" customWidth="1"/>
    <col min="9769" max="9984" width="8.85546875" style="474"/>
    <col min="9985" max="9985" width="7.28515625" style="474" customWidth="1"/>
    <col min="9986" max="9986" width="41" style="474" customWidth="1"/>
    <col min="9987" max="9987" width="16" style="474" customWidth="1"/>
    <col min="9988" max="9988" width="16.140625" style="474" bestFit="1" customWidth="1"/>
    <col min="9989" max="9989" width="11.85546875" style="474" customWidth="1"/>
    <col min="9990" max="9990" width="12.42578125" style="474" bestFit="1" customWidth="1"/>
    <col min="9991" max="9992" width="13" style="474" bestFit="1" customWidth="1"/>
    <col min="9993" max="9993" width="12.7109375" style="474" bestFit="1" customWidth="1"/>
    <col min="9994" max="9994" width="13.42578125" style="474" bestFit="1" customWidth="1"/>
    <col min="9995" max="9995" width="13.7109375" style="474" bestFit="1" customWidth="1"/>
    <col min="9996" max="9996" width="14.5703125" style="474" bestFit="1" customWidth="1"/>
    <col min="9997" max="9997" width="14.85546875" style="474" bestFit="1" customWidth="1"/>
    <col min="9998" max="9998" width="17.140625" style="474" customWidth="1"/>
    <col min="9999" max="9999" width="16.42578125" style="474" bestFit="1" customWidth="1"/>
    <col min="10000" max="10000" width="17.140625" style="474" bestFit="1" customWidth="1"/>
    <col min="10001" max="10001" width="24.28515625" style="474" customWidth="1"/>
    <col min="10002" max="10002" width="18.28515625" style="474" bestFit="1" customWidth="1"/>
    <col min="10003" max="10003" width="18.5703125" style="474" bestFit="1" customWidth="1"/>
    <col min="10004" max="10004" width="19.28515625" style="474" bestFit="1" customWidth="1"/>
    <col min="10005" max="10005" width="20.42578125" style="474" bestFit="1" customWidth="1"/>
    <col min="10006" max="10006" width="20.85546875" style="474" bestFit="1" customWidth="1"/>
    <col min="10007" max="10007" width="21.42578125" style="474" bestFit="1" customWidth="1"/>
    <col min="10008" max="10009" width="22.28515625" style="474" bestFit="1" customWidth="1"/>
    <col min="10010" max="10011" width="23.85546875" style="474" bestFit="1" customWidth="1"/>
    <col min="10012" max="10013" width="24.85546875" style="474" bestFit="1" customWidth="1"/>
    <col min="10014" max="10018" width="11.28515625" style="474" bestFit="1" customWidth="1"/>
    <col min="10019" max="10023" width="12.28515625" style="474" bestFit="1" customWidth="1"/>
    <col min="10024" max="10024" width="12" style="474" bestFit="1" customWidth="1"/>
    <col min="10025" max="10240" width="8.85546875" style="474"/>
    <col min="10241" max="10241" width="7.28515625" style="474" customWidth="1"/>
    <col min="10242" max="10242" width="41" style="474" customWidth="1"/>
    <col min="10243" max="10243" width="16" style="474" customWidth="1"/>
    <col min="10244" max="10244" width="16.140625" style="474" bestFit="1" customWidth="1"/>
    <col min="10245" max="10245" width="11.85546875" style="474" customWidth="1"/>
    <col min="10246" max="10246" width="12.42578125" style="474" bestFit="1" customWidth="1"/>
    <col min="10247" max="10248" width="13" style="474" bestFit="1" customWidth="1"/>
    <col min="10249" max="10249" width="12.7109375" style="474" bestFit="1" customWidth="1"/>
    <col min="10250" max="10250" width="13.42578125" style="474" bestFit="1" customWidth="1"/>
    <col min="10251" max="10251" width="13.7109375" style="474" bestFit="1" customWidth="1"/>
    <col min="10252" max="10252" width="14.5703125" style="474" bestFit="1" customWidth="1"/>
    <col min="10253" max="10253" width="14.85546875" style="474" bestFit="1" customWidth="1"/>
    <col min="10254" max="10254" width="17.140625" style="474" customWidth="1"/>
    <col min="10255" max="10255" width="16.42578125" style="474" bestFit="1" customWidth="1"/>
    <col min="10256" max="10256" width="17.140625" style="474" bestFit="1" customWidth="1"/>
    <col min="10257" max="10257" width="24.28515625" style="474" customWidth="1"/>
    <col min="10258" max="10258" width="18.28515625" style="474" bestFit="1" customWidth="1"/>
    <col min="10259" max="10259" width="18.5703125" style="474" bestFit="1" customWidth="1"/>
    <col min="10260" max="10260" width="19.28515625" style="474" bestFit="1" customWidth="1"/>
    <col min="10261" max="10261" width="20.42578125" style="474" bestFit="1" customWidth="1"/>
    <col min="10262" max="10262" width="20.85546875" style="474" bestFit="1" customWidth="1"/>
    <col min="10263" max="10263" width="21.42578125" style="474" bestFit="1" customWidth="1"/>
    <col min="10264" max="10265" width="22.28515625" style="474" bestFit="1" customWidth="1"/>
    <col min="10266" max="10267" width="23.85546875" style="474" bestFit="1" customWidth="1"/>
    <col min="10268" max="10269" width="24.85546875" style="474" bestFit="1" customWidth="1"/>
    <col min="10270" max="10274" width="11.28515625" style="474" bestFit="1" customWidth="1"/>
    <col min="10275" max="10279" width="12.28515625" style="474" bestFit="1" customWidth="1"/>
    <col min="10280" max="10280" width="12" style="474" bestFit="1" customWidth="1"/>
    <col min="10281" max="10496" width="8.85546875" style="474"/>
    <col min="10497" max="10497" width="7.28515625" style="474" customWidth="1"/>
    <col min="10498" max="10498" width="41" style="474" customWidth="1"/>
    <col min="10499" max="10499" width="16" style="474" customWidth="1"/>
    <col min="10500" max="10500" width="16.140625" style="474" bestFit="1" customWidth="1"/>
    <col min="10501" max="10501" width="11.85546875" style="474" customWidth="1"/>
    <col min="10502" max="10502" width="12.42578125" style="474" bestFit="1" customWidth="1"/>
    <col min="10503" max="10504" width="13" style="474" bestFit="1" customWidth="1"/>
    <col min="10505" max="10505" width="12.7109375" style="474" bestFit="1" customWidth="1"/>
    <col min="10506" max="10506" width="13.42578125" style="474" bestFit="1" customWidth="1"/>
    <col min="10507" max="10507" width="13.7109375" style="474" bestFit="1" customWidth="1"/>
    <col min="10508" max="10508" width="14.5703125" style="474" bestFit="1" customWidth="1"/>
    <col min="10509" max="10509" width="14.85546875" style="474" bestFit="1" customWidth="1"/>
    <col min="10510" max="10510" width="17.140625" style="474" customWidth="1"/>
    <col min="10511" max="10511" width="16.42578125" style="474" bestFit="1" customWidth="1"/>
    <col min="10512" max="10512" width="17.140625" style="474" bestFit="1" customWidth="1"/>
    <col min="10513" max="10513" width="24.28515625" style="474" customWidth="1"/>
    <col min="10514" max="10514" width="18.28515625" style="474" bestFit="1" customWidth="1"/>
    <col min="10515" max="10515" width="18.5703125" style="474" bestFit="1" customWidth="1"/>
    <col min="10516" max="10516" width="19.28515625" style="474" bestFit="1" customWidth="1"/>
    <col min="10517" max="10517" width="20.42578125" style="474" bestFit="1" customWidth="1"/>
    <col min="10518" max="10518" width="20.85546875" style="474" bestFit="1" customWidth="1"/>
    <col min="10519" max="10519" width="21.42578125" style="474" bestFit="1" customWidth="1"/>
    <col min="10520" max="10521" width="22.28515625" style="474" bestFit="1" customWidth="1"/>
    <col min="10522" max="10523" width="23.85546875" style="474" bestFit="1" customWidth="1"/>
    <col min="10524" max="10525" width="24.85546875" style="474" bestFit="1" customWidth="1"/>
    <col min="10526" max="10530" width="11.28515625" style="474" bestFit="1" customWidth="1"/>
    <col min="10531" max="10535" width="12.28515625" style="474" bestFit="1" customWidth="1"/>
    <col min="10536" max="10536" width="12" style="474" bestFit="1" customWidth="1"/>
    <col min="10537" max="10752" width="8.85546875" style="474"/>
    <col min="10753" max="10753" width="7.28515625" style="474" customWidth="1"/>
    <col min="10754" max="10754" width="41" style="474" customWidth="1"/>
    <col min="10755" max="10755" width="16" style="474" customWidth="1"/>
    <col min="10756" max="10756" width="16.140625" style="474" bestFit="1" customWidth="1"/>
    <col min="10757" max="10757" width="11.85546875" style="474" customWidth="1"/>
    <col min="10758" max="10758" width="12.42578125" style="474" bestFit="1" customWidth="1"/>
    <col min="10759" max="10760" width="13" style="474" bestFit="1" customWidth="1"/>
    <col min="10761" max="10761" width="12.7109375" style="474" bestFit="1" customWidth="1"/>
    <col min="10762" max="10762" width="13.42578125" style="474" bestFit="1" customWidth="1"/>
    <col min="10763" max="10763" width="13.7109375" style="474" bestFit="1" customWidth="1"/>
    <col min="10764" max="10764" width="14.5703125" style="474" bestFit="1" customWidth="1"/>
    <col min="10765" max="10765" width="14.85546875" style="474" bestFit="1" customWidth="1"/>
    <col min="10766" max="10766" width="17.140625" style="474" customWidth="1"/>
    <col min="10767" max="10767" width="16.42578125" style="474" bestFit="1" customWidth="1"/>
    <col min="10768" max="10768" width="17.140625" style="474" bestFit="1" customWidth="1"/>
    <col min="10769" max="10769" width="24.28515625" style="474" customWidth="1"/>
    <col min="10770" max="10770" width="18.28515625" style="474" bestFit="1" customWidth="1"/>
    <col min="10771" max="10771" width="18.5703125" style="474" bestFit="1" customWidth="1"/>
    <col min="10772" max="10772" width="19.28515625" style="474" bestFit="1" customWidth="1"/>
    <col min="10773" max="10773" width="20.42578125" style="474" bestFit="1" customWidth="1"/>
    <col min="10774" max="10774" width="20.85546875" style="474" bestFit="1" customWidth="1"/>
    <col min="10775" max="10775" width="21.42578125" style="474" bestFit="1" customWidth="1"/>
    <col min="10776" max="10777" width="22.28515625" style="474" bestFit="1" customWidth="1"/>
    <col min="10778" max="10779" width="23.85546875" style="474" bestFit="1" customWidth="1"/>
    <col min="10780" max="10781" width="24.85546875" style="474" bestFit="1" customWidth="1"/>
    <col min="10782" max="10786" width="11.28515625" style="474" bestFit="1" customWidth="1"/>
    <col min="10787" max="10791" width="12.28515625" style="474" bestFit="1" customWidth="1"/>
    <col min="10792" max="10792" width="12" style="474" bestFit="1" customWidth="1"/>
    <col min="10793" max="11008" width="8.85546875" style="474"/>
    <col min="11009" max="11009" width="7.28515625" style="474" customWidth="1"/>
    <col min="11010" max="11010" width="41" style="474" customWidth="1"/>
    <col min="11011" max="11011" width="16" style="474" customWidth="1"/>
    <col min="11012" max="11012" width="16.140625" style="474" bestFit="1" customWidth="1"/>
    <col min="11013" max="11013" width="11.85546875" style="474" customWidth="1"/>
    <col min="11014" max="11014" width="12.42578125" style="474" bestFit="1" customWidth="1"/>
    <col min="11015" max="11016" width="13" style="474" bestFit="1" customWidth="1"/>
    <col min="11017" max="11017" width="12.7109375" style="474" bestFit="1" customWidth="1"/>
    <col min="11018" max="11018" width="13.42578125" style="474" bestFit="1" customWidth="1"/>
    <col min="11019" max="11019" width="13.7109375" style="474" bestFit="1" customWidth="1"/>
    <col min="11020" max="11020" width="14.5703125" style="474" bestFit="1" customWidth="1"/>
    <col min="11021" max="11021" width="14.85546875" style="474" bestFit="1" customWidth="1"/>
    <col min="11022" max="11022" width="17.140625" style="474" customWidth="1"/>
    <col min="11023" max="11023" width="16.42578125" style="474" bestFit="1" customWidth="1"/>
    <col min="11024" max="11024" width="17.140625" style="474" bestFit="1" customWidth="1"/>
    <col min="11025" max="11025" width="24.28515625" style="474" customWidth="1"/>
    <col min="11026" max="11026" width="18.28515625" style="474" bestFit="1" customWidth="1"/>
    <col min="11027" max="11027" width="18.5703125" style="474" bestFit="1" customWidth="1"/>
    <col min="11028" max="11028" width="19.28515625" style="474" bestFit="1" customWidth="1"/>
    <col min="11029" max="11029" width="20.42578125" style="474" bestFit="1" customWidth="1"/>
    <col min="11030" max="11030" width="20.85546875" style="474" bestFit="1" customWidth="1"/>
    <col min="11031" max="11031" width="21.42578125" style="474" bestFit="1" customWidth="1"/>
    <col min="11032" max="11033" width="22.28515625" style="474" bestFit="1" customWidth="1"/>
    <col min="11034" max="11035" width="23.85546875" style="474" bestFit="1" customWidth="1"/>
    <col min="11036" max="11037" width="24.85546875" style="474" bestFit="1" customWidth="1"/>
    <col min="11038" max="11042" width="11.28515625" style="474" bestFit="1" customWidth="1"/>
    <col min="11043" max="11047" width="12.28515625" style="474" bestFit="1" customWidth="1"/>
    <col min="11048" max="11048" width="12" style="474" bestFit="1" customWidth="1"/>
    <col min="11049" max="11264" width="8.85546875" style="474"/>
    <col min="11265" max="11265" width="7.28515625" style="474" customWidth="1"/>
    <col min="11266" max="11266" width="41" style="474" customWidth="1"/>
    <col min="11267" max="11267" width="16" style="474" customWidth="1"/>
    <col min="11268" max="11268" width="16.140625" style="474" bestFit="1" customWidth="1"/>
    <col min="11269" max="11269" width="11.85546875" style="474" customWidth="1"/>
    <col min="11270" max="11270" width="12.42578125" style="474" bestFit="1" customWidth="1"/>
    <col min="11271" max="11272" width="13" style="474" bestFit="1" customWidth="1"/>
    <col min="11273" max="11273" width="12.7109375" style="474" bestFit="1" customWidth="1"/>
    <col min="11274" max="11274" width="13.42578125" style="474" bestFit="1" customWidth="1"/>
    <col min="11275" max="11275" width="13.7109375" style="474" bestFit="1" customWidth="1"/>
    <col min="11276" max="11276" width="14.5703125" style="474" bestFit="1" customWidth="1"/>
    <col min="11277" max="11277" width="14.85546875" style="474" bestFit="1" customWidth="1"/>
    <col min="11278" max="11278" width="17.140625" style="474" customWidth="1"/>
    <col min="11279" max="11279" width="16.42578125" style="474" bestFit="1" customWidth="1"/>
    <col min="11280" max="11280" width="17.140625" style="474" bestFit="1" customWidth="1"/>
    <col min="11281" max="11281" width="24.28515625" style="474" customWidth="1"/>
    <col min="11282" max="11282" width="18.28515625" style="474" bestFit="1" customWidth="1"/>
    <col min="11283" max="11283" width="18.5703125" style="474" bestFit="1" customWidth="1"/>
    <col min="11284" max="11284" width="19.28515625" style="474" bestFit="1" customWidth="1"/>
    <col min="11285" max="11285" width="20.42578125" style="474" bestFit="1" customWidth="1"/>
    <col min="11286" max="11286" width="20.85546875" style="474" bestFit="1" customWidth="1"/>
    <col min="11287" max="11287" width="21.42578125" style="474" bestFit="1" customWidth="1"/>
    <col min="11288" max="11289" width="22.28515625" style="474" bestFit="1" customWidth="1"/>
    <col min="11290" max="11291" width="23.85546875" style="474" bestFit="1" customWidth="1"/>
    <col min="11292" max="11293" width="24.85546875" style="474" bestFit="1" customWidth="1"/>
    <col min="11294" max="11298" width="11.28515625" style="474" bestFit="1" customWidth="1"/>
    <col min="11299" max="11303" width="12.28515625" style="474" bestFit="1" customWidth="1"/>
    <col min="11304" max="11304" width="12" style="474" bestFit="1" customWidth="1"/>
    <col min="11305" max="11520" width="8.85546875" style="474"/>
    <col min="11521" max="11521" width="7.28515625" style="474" customWidth="1"/>
    <col min="11522" max="11522" width="41" style="474" customWidth="1"/>
    <col min="11523" max="11523" width="16" style="474" customWidth="1"/>
    <col min="11524" max="11524" width="16.140625" style="474" bestFit="1" customWidth="1"/>
    <col min="11525" max="11525" width="11.85546875" style="474" customWidth="1"/>
    <col min="11526" max="11526" width="12.42578125" style="474" bestFit="1" customWidth="1"/>
    <col min="11527" max="11528" width="13" style="474" bestFit="1" customWidth="1"/>
    <col min="11529" max="11529" width="12.7109375" style="474" bestFit="1" customWidth="1"/>
    <col min="11530" max="11530" width="13.42578125" style="474" bestFit="1" customWidth="1"/>
    <col min="11531" max="11531" width="13.7109375" style="474" bestFit="1" customWidth="1"/>
    <col min="11532" max="11532" width="14.5703125" style="474" bestFit="1" customWidth="1"/>
    <col min="11533" max="11533" width="14.85546875" style="474" bestFit="1" customWidth="1"/>
    <col min="11534" max="11534" width="17.140625" style="474" customWidth="1"/>
    <col min="11535" max="11535" width="16.42578125" style="474" bestFit="1" customWidth="1"/>
    <col min="11536" max="11536" width="17.140625" style="474" bestFit="1" customWidth="1"/>
    <col min="11537" max="11537" width="24.28515625" style="474" customWidth="1"/>
    <col min="11538" max="11538" width="18.28515625" style="474" bestFit="1" customWidth="1"/>
    <col min="11539" max="11539" width="18.5703125" style="474" bestFit="1" customWidth="1"/>
    <col min="11540" max="11540" width="19.28515625" style="474" bestFit="1" customWidth="1"/>
    <col min="11541" max="11541" width="20.42578125" style="474" bestFit="1" customWidth="1"/>
    <col min="11542" max="11542" width="20.85546875" style="474" bestFit="1" customWidth="1"/>
    <col min="11543" max="11543" width="21.42578125" style="474" bestFit="1" customWidth="1"/>
    <col min="11544" max="11545" width="22.28515625" style="474" bestFit="1" customWidth="1"/>
    <col min="11546" max="11547" width="23.85546875" style="474" bestFit="1" customWidth="1"/>
    <col min="11548" max="11549" width="24.85546875" style="474" bestFit="1" customWidth="1"/>
    <col min="11550" max="11554" width="11.28515625" style="474" bestFit="1" customWidth="1"/>
    <col min="11555" max="11559" width="12.28515625" style="474" bestFit="1" customWidth="1"/>
    <col min="11560" max="11560" width="12" style="474" bestFit="1" customWidth="1"/>
    <col min="11561" max="11776" width="8.85546875" style="474"/>
    <col min="11777" max="11777" width="7.28515625" style="474" customWidth="1"/>
    <col min="11778" max="11778" width="41" style="474" customWidth="1"/>
    <col min="11779" max="11779" width="16" style="474" customWidth="1"/>
    <col min="11780" max="11780" width="16.140625" style="474" bestFit="1" customWidth="1"/>
    <col min="11781" max="11781" width="11.85546875" style="474" customWidth="1"/>
    <col min="11782" max="11782" width="12.42578125" style="474" bestFit="1" customWidth="1"/>
    <col min="11783" max="11784" width="13" style="474" bestFit="1" customWidth="1"/>
    <col min="11785" max="11785" width="12.7109375" style="474" bestFit="1" customWidth="1"/>
    <col min="11786" max="11786" width="13.42578125" style="474" bestFit="1" customWidth="1"/>
    <col min="11787" max="11787" width="13.7109375" style="474" bestFit="1" customWidth="1"/>
    <col min="11788" max="11788" width="14.5703125" style="474" bestFit="1" customWidth="1"/>
    <col min="11789" max="11789" width="14.85546875" style="474" bestFit="1" customWidth="1"/>
    <col min="11790" max="11790" width="17.140625" style="474" customWidth="1"/>
    <col min="11791" max="11791" width="16.42578125" style="474" bestFit="1" customWidth="1"/>
    <col min="11792" max="11792" width="17.140625" style="474" bestFit="1" customWidth="1"/>
    <col min="11793" max="11793" width="24.28515625" style="474" customWidth="1"/>
    <col min="11794" max="11794" width="18.28515625" style="474" bestFit="1" customWidth="1"/>
    <col min="11795" max="11795" width="18.5703125" style="474" bestFit="1" customWidth="1"/>
    <col min="11796" max="11796" width="19.28515625" style="474" bestFit="1" customWidth="1"/>
    <col min="11797" max="11797" width="20.42578125" style="474" bestFit="1" customWidth="1"/>
    <col min="11798" max="11798" width="20.85546875" style="474" bestFit="1" customWidth="1"/>
    <col min="11799" max="11799" width="21.42578125" style="474" bestFit="1" customWidth="1"/>
    <col min="11800" max="11801" width="22.28515625" style="474" bestFit="1" customWidth="1"/>
    <col min="11802" max="11803" width="23.85546875" style="474" bestFit="1" customWidth="1"/>
    <col min="11804" max="11805" width="24.85546875" style="474" bestFit="1" customWidth="1"/>
    <col min="11806" max="11810" width="11.28515625" style="474" bestFit="1" customWidth="1"/>
    <col min="11811" max="11815" width="12.28515625" style="474" bestFit="1" customWidth="1"/>
    <col min="11816" max="11816" width="12" style="474" bestFit="1" customWidth="1"/>
    <col min="11817" max="12032" width="8.85546875" style="474"/>
    <col min="12033" max="12033" width="7.28515625" style="474" customWidth="1"/>
    <col min="12034" max="12034" width="41" style="474" customWidth="1"/>
    <col min="12035" max="12035" width="16" style="474" customWidth="1"/>
    <col min="12036" max="12036" width="16.140625" style="474" bestFit="1" customWidth="1"/>
    <col min="12037" max="12037" width="11.85546875" style="474" customWidth="1"/>
    <col min="12038" max="12038" width="12.42578125" style="474" bestFit="1" customWidth="1"/>
    <col min="12039" max="12040" width="13" style="474" bestFit="1" customWidth="1"/>
    <col min="12041" max="12041" width="12.7109375" style="474" bestFit="1" customWidth="1"/>
    <col min="12042" max="12042" width="13.42578125" style="474" bestFit="1" customWidth="1"/>
    <col min="12043" max="12043" width="13.7109375" style="474" bestFit="1" customWidth="1"/>
    <col min="12044" max="12044" width="14.5703125" style="474" bestFit="1" customWidth="1"/>
    <col min="12045" max="12045" width="14.85546875" style="474" bestFit="1" customWidth="1"/>
    <col min="12046" max="12046" width="17.140625" style="474" customWidth="1"/>
    <col min="12047" max="12047" width="16.42578125" style="474" bestFit="1" customWidth="1"/>
    <col min="12048" max="12048" width="17.140625" style="474" bestFit="1" customWidth="1"/>
    <col min="12049" max="12049" width="24.28515625" style="474" customWidth="1"/>
    <col min="12050" max="12050" width="18.28515625" style="474" bestFit="1" customWidth="1"/>
    <col min="12051" max="12051" width="18.5703125" style="474" bestFit="1" customWidth="1"/>
    <col min="12052" max="12052" width="19.28515625" style="474" bestFit="1" customWidth="1"/>
    <col min="12053" max="12053" width="20.42578125" style="474" bestFit="1" customWidth="1"/>
    <col min="12054" max="12054" width="20.85546875" style="474" bestFit="1" customWidth="1"/>
    <col min="12055" max="12055" width="21.42578125" style="474" bestFit="1" customWidth="1"/>
    <col min="12056" max="12057" width="22.28515625" style="474" bestFit="1" customWidth="1"/>
    <col min="12058" max="12059" width="23.85546875" style="474" bestFit="1" customWidth="1"/>
    <col min="12060" max="12061" width="24.85546875" style="474" bestFit="1" customWidth="1"/>
    <col min="12062" max="12066" width="11.28515625" style="474" bestFit="1" customWidth="1"/>
    <col min="12067" max="12071" width="12.28515625" style="474" bestFit="1" customWidth="1"/>
    <col min="12072" max="12072" width="12" style="474" bestFit="1" customWidth="1"/>
    <col min="12073" max="12288" width="8.85546875" style="474"/>
    <col min="12289" max="12289" width="7.28515625" style="474" customWidth="1"/>
    <col min="12290" max="12290" width="41" style="474" customWidth="1"/>
    <col min="12291" max="12291" width="16" style="474" customWidth="1"/>
    <col min="12292" max="12292" width="16.140625" style="474" bestFit="1" customWidth="1"/>
    <col min="12293" max="12293" width="11.85546875" style="474" customWidth="1"/>
    <col min="12294" max="12294" width="12.42578125" style="474" bestFit="1" customWidth="1"/>
    <col min="12295" max="12296" width="13" style="474" bestFit="1" customWidth="1"/>
    <col min="12297" max="12297" width="12.7109375" style="474" bestFit="1" customWidth="1"/>
    <col min="12298" max="12298" width="13.42578125" style="474" bestFit="1" customWidth="1"/>
    <col min="12299" max="12299" width="13.7109375" style="474" bestFit="1" customWidth="1"/>
    <col min="12300" max="12300" width="14.5703125" style="474" bestFit="1" customWidth="1"/>
    <col min="12301" max="12301" width="14.85546875" style="474" bestFit="1" customWidth="1"/>
    <col min="12302" max="12302" width="17.140625" style="474" customWidth="1"/>
    <col min="12303" max="12303" width="16.42578125" style="474" bestFit="1" customWidth="1"/>
    <col min="12304" max="12304" width="17.140625" style="474" bestFit="1" customWidth="1"/>
    <col min="12305" max="12305" width="24.28515625" style="474" customWidth="1"/>
    <col min="12306" max="12306" width="18.28515625" style="474" bestFit="1" customWidth="1"/>
    <col min="12307" max="12307" width="18.5703125" style="474" bestFit="1" customWidth="1"/>
    <col min="12308" max="12308" width="19.28515625" style="474" bestFit="1" customWidth="1"/>
    <col min="12309" max="12309" width="20.42578125" style="474" bestFit="1" customWidth="1"/>
    <col min="12310" max="12310" width="20.85546875" style="474" bestFit="1" customWidth="1"/>
    <col min="12311" max="12311" width="21.42578125" style="474" bestFit="1" customWidth="1"/>
    <col min="12312" max="12313" width="22.28515625" style="474" bestFit="1" customWidth="1"/>
    <col min="12314" max="12315" width="23.85546875" style="474" bestFit="1" customWidth="1"/>
    <col min="12316" max="12317" width="24.85546875" style="474" bestFit="1" customWidth="1"/>
    <col min="12318" max="12322" width="11.28515625" style="474" bestFit="1" customWidth="1"/>
    <col min="12323" max="12327" width="12.28515625" style="474" bestFit="1" customWidth="1"/>
    <col min="12328" max="12328" width="12" style="474" bestFit="1" customWidth="1"/>
    <col min="12329" max="12544" width="8.85546875" style="474"/>
    <col min="12545" max="12545" width="7.28515625" style="474" customWidth="1"/>
    <col min="12546" max="12546" width="41" style="474" customWidth="1"/>
    <col min="12547" max="12547" width="16" style="474" customWidth="1"/>
    <col min="12548" max="12548" width="16.140625" style="474" bestFit="1" customWidth="1"/>
    <col min="12549" max="12549" width="11.85546875" style="474" customWidth="1"/>
    <col min="12550" max="12550" width="12.42578125" style="474" bestFit="1" customWidth="1"/>
    <col min="12551" max="12552" width="13" style="474" bestFit="1" customWidth="1"/>
    <col min="12553" max="12553" width="12.7109375" style="474" bestFit="1" customWidth="1"/>
    <col min="12554" max="12554" width="13.42578125" style="474" bestFit="1" customWidth="1"/>
    <col min="12555" max="12555" width="13.7109375" style="474" bestFit="1" customWidth="1"/>
    <col min="12556" max="12556" width="14.5703125" style="474" bestFit="1" customWidth="1"/>
    <col min="12557" max="12557" width="14.85546875" style="474" bestFit="1" customWidth="1"/>
    <col min="12558" max="12558" width="17.140625" style="474" customWidth="1"/>
    <col min="12559" max="12559" width="16.42578125" style="474" bestFit="1" customWidth="1"/>
    <col min="12560" max="12560" width="17.140625" style="474" bestFit="1" customWidth="1"/>
    <col min="12561" max="12561" width="24.28515625" style="474" customWidth="1"/>
    <col min="12562" max="12562" width="18.28515625" style="474" bestFit="1" customWidth="1"/>
    <col min="12563" max="12563" width="18.5703125" style="474" bestFit="1" customWidth="1"/>
    <col min="12564" max="12564" width="19.28515625" style="474" bestFit="1" customWidth="1"/>
    <col min="12565" max="12565" width="20.42578125" style="474" bestFit="1" customWidth="1"/>
    <col min="12566" max="12566" width="20.85546875" style="474" bestFit="1" customWidth="1"/>
    <col min="12567" max="12567" width="21.42578125" style="474" bestFit="1" customWidth="1"/>
    <col min="12568" max="12569" width="22.28515625" style="474" bestFit="1" customWidth="1"/>
    <col min="12570" max="12571" width="23.85546875" style="474" bestFit="1" customWidth="1"/>
    <col min="12572" max="12573" width="24.85546875" style="474" bestFit="1" customWidth="1"/>
    <col min="12574" max="12578" width="11.28515625" style="474" bestFit="1" customWidth="1"/>
    <col min="12579" max="12583" width="12.28515625" style="474" bestFit="1" customWidth="1"/>
    <col min="12584" max="12584" width="12" style="474" bestFit="1" customWidth="1"/>
    <col min="12585" max="12800" width="8.85546875" style="474"/>
    <col min="12801" max="12801" width="7.28515625" style="474" customWidth="1"/>
    <col min="12802" max="12802" width="41" style="474" customWidth="1"/>
    <col min="12803" max="12803" width="16" style="474" customWidth="1"/>
    <col min="12804" max="12804" width="16.140625" style="474" bestFit="1" customWidth="1"/>
    <col min="12805" max="12805" width="11.85546875" style="474" customWidth="1"/>
    <col min="12806" max="12806" width="12.42578125" style="474" bestFit="1" customWidth="1"/>
    <col min="12807" max="12808" width="13" style="474" bestFit="1" customWidth="1"/>
    <col min="12809" max="12809" width="12.7109375" style="474" bestFit="1" customWidth="1"/>
    <col min="12810" max="12810" width="13.42578125" style="474" bestFit="1" customWidth="1"/>
    <col min="12811" max="12811" width="13.7109375" style="474" bestFit="1" customWidth="1"/>
    <col min="12812" max="12812" width="14.5703125" style="474" bestFit="1" customWidth="1"/>
    <col min="12813" max="12813" width="14.85546875" style="474" bestFit="1" customWidth="1"/>
    <col min="12814" max="12814" width="17.140625" style="474" customWidth="1"/>
    <col min="12815" max="12815" width="16.42578125" style="474" bestFit="1" customWidth="1"/>
    <col min="12816" max="12816" width="17.140625" style="474" bestFit="1" customWidth="1"/>
    <col min="12817" max="12817" width="24.28515625" style="474" customWidth="1"/>
    <col min="12818" max="12818" width="18.28515625" style="474" bestFit="1" customWidth="1"/>
    <col min="12819" max="12819" width="18.5703125" style="474" bestFit="1" customWidth="1"/>
    <col min="12820" max="12820" width="19.28515625" style="474" bestFit="1" customWidth="1"/>
    <col min="12821" max="12821" width="20.42578125" style="474" bestFit="1" customWidth="1"/>
    <col min="12822" max="12822" width="20.85546875" style="474" bestFit="1" customWidth="1"/>
    <col min="12823" max="12823" width="21.42578125" style="474" bestFit="1" customWidth="1"/>
    <col min="12824" max="12825" width="22.28515625" style="474" bestFit="1" customWidth="1"/>
    <col min="12826" max="12827" width="23.85546875" style="474" bestFit="1" customWidth="1"/>
    <col min="12828" max="12829" width="24.85546875" style="474" bestFit="1" customWidth="1"/>
    <col min="12830" max="12834" width="11.28515625" style="474" bestFit="1" customWidth="1"/>
    <col min="12835" max="12839" width="12.28515625" style="474" bestFit="1" customWidth="1"/>
    <col min="12840" max="12840" width="12" style="474" bestFit="1" customWidth="1"/>
    <col min="12841" max="13056" width="8.85546875" style="474"/>
    <col min="13057" max="13057" width="7.28515625" style="474" customWidth="1"/>
    <col min="13058" max="13058" width="41" style="474" customWidth="1"/>
    <col min="13059" max="13059" width="16" style="474" customWidth="1"/>
    <col min="13060" max="13060" width="16.140625" style="474" bestFit="1" customWidth="1"/>
    <col min="13061" max="13061" width="11.85546875" style="474" customWidth="1"/>
    <col min="13062" max="13062" width="12.42578125" style="474" bestFit="1" customWidth="1"/>
    <col min="13063" max="13064" width="13" style="474" bestFit="1" customWidth="1"/>
    <col min="13065" max="13065" width="12.7109375" style="474" bestFit="1" customWidth="1"/>
    <col min="13066" max="13066" width="13.42578125" style="474" bestFit="1" customWidth="1"/>
    <col min="13067" max="13067" width="13.7109375" style="474" bestFit="1" customWidth="1"/>
    <col min="13068" max="13068" width="14.5703125" style="474" bestFit="1" customWidth="1"/>
    <col min="13069" max="13069" width="14.85546875" style="474" bestFit="1" customWidth="1"/>
    <col min="13070" max="13070" width="17.140625" style="474" customWidth="1"/>
    <col min="13071" max="13071" width="16.42578125" style="474" bestFit="1" customWidth="1"/>
    <col min="13072" max="13072" width="17.140625" style="474" bestFit="1" customWidth="1"/>
    <col min="13073" max="13073" width="24.28515625" style="474" customWidth="1"/>
    <col min="13074" max="13074" width="18.28515625" style="474" bestFit="1" customWidth="1"/>
    <col min="13075" max="13075" width="18.5703125" style="474" bestFit="1" customWidth="1"/>
    <col min="13076" max="13076" width="19.28515625" style="474" bestFit="1" customWidth="1"/>
    <col min="13077" max="13077" width="20.42578125" style="474" bestFit="1" customWidth="1"/>
    <col min="13078" max="13078" width="20.85546875" style="474" bestFit="1" customWidth="1"/>
    <col min="13079" max="13079" width="21.42578125" style="474" bestFit="1" customWidth="1"/>
    <col min="13080" max="13081" width="22.28515625" style="474" bestFit="1" customWidth="1"/>
    <col min="13082" max="13083" width="23.85546875" style="474" bestFit="1" customWidth="1"/>
    <col min="13084" max="13085" width="24.85546875" style="474" bestFit="1" customWidth="1"/>
    <col min="13086" max="13090" width="11.28515625" style="474" bestFit="1" customWidth="1"/>
    <col min="13091" max="13095" width="12.28515625" style="474" bestFit="1" customWidth="1"/>
    <col min="13096" max="13096" width="12" style="474" bestFit="1" customWidth="1"/>
    <col min="13097" max="13312" width="8.85546875" style="474"/>
    <col min="13313" max="13313" width="7.28515625" style="474" customWidth="1"/>
    <col min="13314" max="13314" width="41" style="474" customWidth="1"/>
    <col min="13315" max="13315" width="16" style="474" customWidth="1"/>
    <col min="13316" max="13316" width="16.140625" style="474" bestFit="1" customWidth="1"/>
    <col min="13317" max="13317" width="11.85546875" style="474" customWidth="1"/>
    <col min="13318" max="13318" width="12.42578125" style="474" bestFit="1" customWidth="1"/>
    <col min="13319" max="13320" width="13" style="474" bestFit="1" customWidth="1"/>
    <col min="13321" max="13321" width="12.7109375" style="474" bestFit="1" customWidth="1"/>
    <col min="13322" max="13322" width="13.42578125" style="474" bestFit="1" customWidth="1"/>
    <col min="13323" max="13323" width="13.7109375" style="474" bestFit="1" customWidth="1"/>
    <col min="13324" max="13324" width="14.5703125" style="474" bestFit="1" customWidth="1"/>
    <col min="13325" max="13325" width="14.85546875" style="474" bestFit="1" customWidth="1"/>
    <col min="13326" max="13326" width="17.140625" style="474" customWidth="1"/>
    <col min="13327" max="13327" width="16.42578125" style="474" bestFit="1" customWidth="1"/>
    <col min="13328" max="13328" width="17.140625" style="474" bestFit="1" customWidth="1"/>
    <col min="13329" max="13329" width="24.28515625" style="474" customWidth="1"/>
    <col min="13330" max="13330" width="18.28515625" style="474" bestFit="1" customWidth="1"/>
    <col min="13331" max="13331" width="18.5703125" style="474" bestFit="1" customWidth="1"/>
    <col min="13332" max="13332" width="19.28515625" style="474" bestFit="1" customWidth="1"/>
    <col min="13333" max="13333" width="20.42578125" style="474" bestFit="1" customWidth="1"/>
    <col min="13334" max="13334" width="20.85546875" style="474" bestFit="1" customWidth="1"/>
    <col min="13335" max="13335" width="21.42578125" style="474" bestFit="1" customWidth="1"/>
    <col min="13336" max="13337" width="22.28515625" style="474" bestFit="1" customWidth="1"/>
    <col min="13338" max="13339" width="23.85546875" style="474" bestFit="1" customWidth="1"/>
    <col min="13340" max="13341" width="24.85546875" style="474" bestFit="1" customWidth="1"/>
    <col min="13342" max="13346" width="11.28515625" style="474" bestFit="1" customWidth="1"/>
    <col min="13347" max="13351" width="12.28515625" style="474" bestFit="1" customWidth="1"/>
    <col min="13352" max="13352" width="12" style="474" bestFit="1" customWidth="1"/>
    <col min="13353" max="13568" width="8.85546875" style="474"/>
    <col min="13569" max="13569" width="7.28515625" style="474" customWidth="1"/>
    <col min="13570" max="13570" width="41" style="474" customWidth="1"/>
    <col min="13571" max="13571" width="16" style="474" customWidth="1"/>
    <col min="13572" max="13572" width="16.140625" style="474" bestFit="1" customWidth="1"/>
    <col min="13573" max="13573" width="11.85546875" style="474" customWidth="1"/>
    <col min="13574" max="13574" width="12.42578125" style="474" bestFit="1" customWidth="1"/>
    <col min="13575" max="13576" width="13" style="474" bestFit="1" customWidth="1"/>
    <col min="13577" max="13577" width="12.7109375" style="474" bestFit="1" customWidth="1"/>
    <col min="13578" max="13578" width="13.42578125" style="474" bestFit="1" customWidth="1"/>
    <col min="13579" max="13579" width="13.7109375" style="474" bestFit="1" customWidth="1"/>
    <col min="13580" max="13580" width="14.5703125" style="474" bestFit="1" customWidth="1"/>
    <col min="13581" max="13581" width="14.85546875" style="474" bestFit="1" customWidth="1"/>
    <col min="13582" max="13582" width="17.140625" style="474" customWidth="1"/>
    <col min="13583" max="13583" width="16.42578125" style="474" bestFit="1" customWidth="1"/>
    <col min="13584" max="13584" width="17.140625" style="474" bestFit="1" customWidth="1"/>
    <col min="13585" max="13585" width="24.28515625" style="474" customWidth="1"/>
    <col min="13586" max="13586" width="18.28515625" style="474" bestFit="1" customWidth="1"/>
    <col min="13587" max="13587" width="18.5703125" style="474" bestFit="1" customWidth="1"/>
    <col min="13588" max="13588" width="19.28515625" style="474" bestFit="1" customWidth="1"/>
    <col min="13589" max="13589" width="20.42578125" style="474" bestFit="1" customWidth="1"/>
    <col min="13590" max="13590" width="20.85546875" style="474" bestFit="1" customWidth="1"/>
    <col min="13591" max="13591" width="21.42578125" style="474" bestFit="1" customWidth="1"/>
    <col min="13592" max="13593" width="22.28515625" style="474" bestFit="1" customWidth="1"/>
    <col min="13594" max="13595" width="23.85546875" style="474" bestFit="1" customWidth="1"/>
    <col min="13596" max="13597" width="24.85546875" style="474" bestFit="1" customWidth="1"/>
    <col min="13598" max="13602" width="11.28515625" style="474" bestFit="1" customWidth="1"/>
    <col min="13603" max="13607" width="12.28515625" style="474" bestFit="1" customWidth="1"/>
    <col min="13608" max="13608" width="12" style="474" bestFit="1" customWidth="1"/>
    <col min="13609" max="13824" width="8.85546875" style="474"/>
    <col min="13825" max="13825" width="7.28515625" style="474" customWidth="1"/>
    <col min="13826" max="13826" width="41" style="474" customWidth="1"/>
    <col min="13827" max="13827" width="16" style="474" customWidth="1"/>
    <col min="13828" max="13828" width="16.140625" style="474" bestFit="1" customWidth="1"/>
    <col min="13829" max="13829" width="11.85546875" style="474" customWidth="1"/>
    <col min="13830" max="13830" width="12.42578125" style="474" bestFit="1" customWidth="1"/>
    <col min="13831" max="13832" width="13" style="474" bestFit="1" customWidth="1"/>
    <col min="13833" max="13833" width="12.7109375" style="474" bestFit="1" customWidth="1"/>
    <col min="13834" max="13834" width="13.42578125" style="474" bestFit="1" customWidth="1"/>
    <col min="13835" max="13835" width="13.7109375" style="474" bestFit="1" customWidth="1"/>
    <col min="13836" max="13836" width="14.5703125" style="474" bestFit="1" customWidth="1"/>
    <col min="13837" max="13837" width="14.85546875" style="474" bestFit="1" customWidth="1"/>
    <col min="13838" max="13838" width="17.140625" style="474" customWidth="1"/>
    <col min="13839" max="13839" width="16.42578125" style="474" bestFit="1" customWidth="1"/>
    <col min="13840" max="13840" width="17.140625" style="474" bestFit="1" customWidth="1"/>
    <col min="13841" max="13841" width="24.28515625" style="474" customWidth="1"/>
    <col min="13842" max="13842" width="18.28515625" style="474" bestFit="1" customWidth="1"/>
    <col min="13843" max="13843" width="18.5703125" style="474" bestFit="1" customWidth="1"/>
    <col min="13844" max="13844" width="19.28515625" style="474" bestFit="1" customWidth="1"/>
    <col min="13845" max="13845" width="20.42578125" style="474" bestFit="1" customWidth="1"/>
    <col min="13846" max="13846" width="20.85546875" style="474" bestFit="1" customWidth="1"/>
    <col min="13847" max="13847" width="21.42578125" style="474" bestFit="1" customWidth="1"/>
    <col min="13848" max="13849" width="22.28515625" style="474" bestFit="1" customWidth="1"/>
    <col min="13850" max="13851" width="23.85546875" style="474" bestFit="1" customWidth="1"/>
    <col min="13852" max="13853" width="24.85546875" style="474" bestFit="1" customWidth="1"/>
    <col min="13854" max="13858" width="11.28515625" style="474" bestFit="1" customWidth="1"/>
    <col min="13859" max="13863" width="12.28515625" style="474" bestFit="1" customWidth="1"/>
    <col min="13864" max="13864" width="12" style="474" bestFit="1" customWidth="1"/>
    <col min="13865" max="14080" width="8.85546875" style="474"/>
    <col min="14081" max="14081" width="7.28515625" style="474" customWidth="1"/>
    <col min="14082" max="14082" width="41" style="474" customWidth="1"/>
    <col min="14083" max="14083" width="16" style="474" customWidth="1"/>
    <col min="14084" max="14084" width="16.140625" style="474" bestFit="1" customWidth="1"/>
    <col min="14085" max="14085" width="11.85546875" style="474" customWidth="1"/>
    <col min="14086" max="14086" width="12.42578125" style="474" bestFit="1" customWidth="1"/>
    <col min="14087" max="14088" width="13" style="474" bestFit="1" customWidth="1"/>
    <col min="14089" max="14089" width="12.7109375" style="474" bestFit="1" customWidth="1"/>
    <col min="14090" max="14090" width="13.42578125" style="474" bestFit="1" customWidth="1"/>
    <col min="14091" max="14091" width="13.7109375" style="474" bestFit="1" customWidth="1"/>
    <col min="14092" max="14092" width="14.5703125" style="474" bestFit="1" customWidth="1"/>
    <col min="14093" max="14093" width="14.85546875" style="474" bestFit="1" customWidth="1"/>
    <col min="14094" max="14094" width="17.140625" style="474" customWidth="1"/>
    <col min="14095" max="14095" width="16.42578125" style="474" bestFit="1" customWidth="1"/>
    <col min="14096" max="14096" width="17.140625" style="474" bestFit="1" customWidth="1"/>
    <col min="14097" max="14097" width="24.28515625" style="474" customWidth="1"/>
    <col min="14098" max="14098" width="18.28515625" style="474" bestFit="1" customWidth="1"/>
    <col min="14099" max="14099" width="18.5703125" style="474" bestFit="1" customWidth="1"/>
    <col min="14100" max="14100" width="19.28515625" style="474" bestFit="1" customWidth="1"/>
    <col min="14101" max="14101" width="20.42578125" style="474" bestFit="1" customWidth="1"/>
    <col min="14102" max="14102" width="20.85546875" style="474" bestFit="1" customWidth="1"/>
    <col min="14103" max="14103" width="21.42578125" style="474" bestFit="1" customWidth="1"/>
    <col min="14104" max="14105" width="22.28515625" style="474" bestFit="1" customWidth="1"/>
    <col min="14106" max="14107" width="23.85546875" style="474" bestFit="1" customWidth="1"/>
    <col min="14108" max="14109" width="24.85546875" style="474" bestFit="1" customWidth="1"/>
    <col min="14110" max="14114" width="11.28515625" style="474" bestFit="1" customWidth="1"/>
    <col min="14115" max="14119" width="12.28515625" style="474" bestFit="1" customWidth="1"/>
    <col min="14120" max="14120" width="12" style="474" bestFit="1" customWidth="1"/>
    <col min="14121" max="14336" width="8.85546875" style="474"/>
    <col min="14337" max="14337" width="7.28515625" style="474" customWidth="1"/>
    <col min="14338" max="14338" width="41" style="474" customWidth="1"/>
    <col min="14339" max="14339" width="16" style="474" customWidth="1"/>
    <col min="14340" max="14340" width="16.140625" style="474" bestFit="1" customWidth="1"/>
    <col min="14341" max="14341" width="11.85546875" style="474" customWidth="1"/>
    <col min="14342" max="14342" width="12.42578125" style="474" bestFit="1" customWidth="1"/>
    <col min="14343" max="14344" width="13" style="474" bestFit="1" customWidth="1"/>
    <col min="14345" max="14345" width="12.7109375" style="474" bestFit="1" customWidth="1"/>
    <col min="14346" max="14346" width="13.42578125" style="474" bestFit="1" customWidth="1"/>
    <col min="14347" max="14347" width="13.7109375" style="474" bestFit="1" customWidth="1"/>
    <col min="14348" max="14348" width="14.5703125" style="474" bestFit="1" customWidth="1"/>
    <col min="14349" max="14349" width="14.85546875" style="474" bestFit="1" customWidth="1"/>
    <col min="14350" max="14350" width="17.140625" style="474" customWidth="1"/>
    <col min="14351" max="14351" width="16.42578125" style="474" bestFit="1" customWidth="1"/>
    <col min="14352" max="14352" width="17.140625" style="474" bestFit="1" customWidth="1"/>
    <col min="14353" max="14353" width="24.28515625" style="474" customWidth="1"/>
    <col min="14354" max="14354" width="18.28515625" style="474" bestFit="1" customWidth="1"/>
    <col min="14355" max="14355" width="18.5703125" style="474" bestFit="1" customWidth="1"/>
    <col min="14356" max="14356" width="19.28515625" style="474" bestFit="1" customWidth="1"/>
    <col min="14357" max="14357" width="20.42578125" style="474" bestFit="1" customWidth="1"/>
    <col min="14358" max="14358" width="20.85546875" style="474" bestFit="1" customWidth="1"/>
    <col min="14359" max="14359" width="21.42578125" style="474" bestFit="1" customWidth="1"/>
    <col min="14360" max="14361" width="22.28515625" style="474" bestFit="1" customWidth="1"/>
    <col min="14362" max="14363" width="23.85546875" style="474" bestFit="1" customWidth="1"/>
    <col min="14364" max="14365" width="24.85546875" style="474" bestFit="1" customWidth="1"/>
    <col min="14366" max="14370" width="11.28515625" style="474" bestFit="1" customWidth="1"/>
    <col min="14371" max="14375" width="12.28515625" style="474" bestFit="1" customWidth="1"/>
    <col min="14376" max="14376" width="12" style="474" bestFit="1" customWidth="1"/>
    <col min="14377" max="14592" width="8.85546875" style="474"/>
    <col min="14593" max="14593" width="7.28515625" style="474" customWidth="1"/>
    <col min="14594" max="14594" width="41" style="474" customWidth="1"/>
    <col min="14595" max="14595" width="16" style="474" customWidth="1"/>
    <col min="14596" max="14596" width="16.140625" style="474" bestFit="1" customWidth="1"/>
    <col min="14597" max="14597" width="11.85546875" style="474" customWidth="1"/>
    <col min="14598" max="14598" width="12.42578125" style="474" bestFit="1" customWidth="1"/>
    <col min="14599" max="14600" width="13" style="474" bestFit="1" customWidth="1"/>
    <col min="14601" max="14601" width="12.7109375" style="474" bestFit="1" customWidth="1"/>
    <col min="14602" max="14602" width="13.42578125" style="474" bestFit="1" customWidth="1"/>
    <col min="14603" max="14603" width="13.7109375" style="474" bestFit="1" customWidth="1"/>
    <col min="14604" max="14604" width="14.5703125" style="474" bestFit="1" customWidth="1"/>
    <col min="14605" max="14605" width="14.85546875" style="474" bestFit="1" customWidth="1"/>
    <col min="14606" max="14606" width="17.140625" style="474" customWidth="1"/>
    <col min="14607" max="14607" width="16.42578125" style="474" bestFit="1" customWidth="1"/>
    <col min="14608" max="14608" width="17.140625" style="474" bestFit="1" customWidth="1"/>
    <col min="14609" max="14609" width="24.28515625" style="474" customWidth="1"/>
    <col min="14610" max="14610" width="18.28515625" style="474" bestFit="1" customWidth="1"/>
    <col min="14611" max="14611" width="18.5703125" style="474" bestFit="1" customWidth="1"/>
    <col min="14612" max="14612" width="19.28515625" style="474" bestFit="1" customWidth="1"/>
    <col min="14613" max="14613" width="20.42578125" style="474" bestFit="1" customWidth="1"/>
    <col min="14614" max="14614" width="20.85546875" style="474" bestFit="1" customWidth="1"/>
    <col min="14615" max="14615" width="21.42578125" style="474" bestFit="1" customWidth="1"/>
    <col min="14616" max="14617" width="22.28515625" style="474" bestFit="1" customWidth="1"/>
    <col min="14618" max="14619" width="23.85546875" style="474" bestFit="1" customWidth="1"/>
    <col min="14620" max="14621" width="24.85546875" style="474" bestFit="1" customWidth="1"/>
    <col min="14622" max="14626" width="11.28515625" style="474" bestFit="1" customWidth="1"/>
    <col min="14627" max="14631" width="12.28515625" style="474" bestFit="1" customWidth="1"/>
    <col min="14632" max="14632" width="12" style="474" bestFit="1" customWidth="1"/>
    <col min="14633" max="14848" width="8.85546875" style="474"/>
    <col min="14849" max="14849" width="7.28515625" style="474" customWidth="1"/>
    <col min="14850" max="14850" width="41" style="474" customWidth="1"/>
    <col min="14851" max="14851" width="16" style="474" customWidth="1"/>
    <col min="14852" max="14852" width="16.140625" style="474" bestFit="1" customWidth="1"/>
    <col min="14853" max="14853" width="11.85546875" style="474" customWidth="1"/>
    <col min="14854" max="14854" width="12.42578125" style="474" bestFit="1" customWidth="1"/>
    <col min="14855" max="14856" width="13" style="474" bestFit="1" customWidth="1"/>
    <col min="14857" max="14857" width="12.7109375" style="474" bestFit="1" customWidth="1"/>
    <col min="14858" max="14858" width="13.42578125" style="474" bestFit="1" customWidth="1"/>
    <col min="14859" max="14859" width="13.7109375" style="474" bestFit="1" customWidth="1"/>
    <col min="14860" max="14860" width="14.5703125" style="474" bestFit="1" customWidth="1"/>
    <col min="14861" max="14861" width="14.85546875" style="474" bestFit="1" customWidth="1"/>
    <col min="14862" max="14862" width="17.140625" style="474" customWidth="1"/>
    <col min="14863" max="14863" width="16.42578125" style="474" bestFit="1" customWidth="1"/>
    <col min="14864" max="14864" width="17.140625" style="474" bestFit="1" customWidth="1"/>
    <col min="14865" max="14865" width="24.28515625" style="474" customWidth="1"/>
    <col min="14866" max="14866" width="18.28515625" style="474" bestFit="1" customWidth="1"/>
    <col min="14867" max="14867" width="18.5703125" style="474" bestFit="1" customWidth="1"/>
    <col min="14868" max="14868" width="19.28515625" style="474" bestFit="1" customWidth="1"/>
    <col min="14869" max="14869" width="20.42578125" style="474" bestFit="1" customWidth="1"/>
    <col min="14870" max="14870" width="20.85546875" style="474" bestFit="1" customWidth="1"/>
    <col min="14871" max="14871" width="21.42578125" style="474" bestFit="1" customWidth="1"/>
    <col min="14872" max="14873" width="22.28515625" style="474" bestFit="1" customWidth="1"/>
    <col min="14874" max="14875" width="23.85546875" style="474" bestFit="1" customWidth="1"/>
    <col min="14876" max="14877" width="24.85546875" style="474" bestFit="1" customWidth="1"/>
    <col min="14878" max="14882" width="11.28515625" style="474" bestFit="1" customWidth="1"/>
    <col min="14883" max="14887" width="12.28515625" style="474" bestFit="1" customWidth="1"/>
    <col min="14888" max="14888" width="12" style="474" bestFit="1" customWidth="1"/>
    <col min="14889" max="15104" width="8.85546875" style="474"/>
    <col min="15105" max="15105" width="7.28515625" style="474" customWidth="1"/>
    <col min="15106" max="15106" width="41" style="474" customWidth="1"/>
    <col min="15107" max="15107" width="16" style="474" customWidth="1"/>
    <col min="15108" max="15108" width="16.140625" style="474" bestFit="1" customWidth="1"/>
    <col min="15109" max="15109" width="11.85546875" style="474" customWidth="1"/>
    <col min="15110" max="15110" width="12.42578125" style="474" bestFit="1" customWidth="1"/>
    <col min="15111" max="15112" width="13" style="474" bestFit="1" customWidth="1"/>
    <col min="15113" max="15113" width="12.7109375" style="474" bestFit="1" customWidth="1"/>
    <col min="15114" max="15114" width="13.42578125" style="474" bestFit="1" customWidth="1"/>
    <col min="15115" max="15115" width="13.7109375" style="474" bestFit="1" customWidth="1"/>
    <col min="15116" max="15116" width="14.5703125" style="474" bestFit="1" customWidth="1"/>
    <col min="15117" max="15117" width="14.85546875" style="474" bestFit="1" customWidth="1"/>
    <col min="15118" max="15118" width="17.140625" style="474" customWidth="1"/>
    <col min="15119" max="15119" width="16.42578125" style="474" bestFit="1" customWidth="1"/>
    <col min="15120" max="15120" width="17.140625" style="474" bestFit="1" customWidth="1"/>
    <col min="15121" max="15121" width="24.28515625" style="474" customWidth="1"/>
    <col min="15122" max="15122" width="18.28515625" style="474" bestFit="1" customWidth="1"/>
    <col min="15123" max="15123" width="18.5703125" style="474" bestFit="1" customWidth="1"/>
    <col min="15124" max="15124" width="19.28515625" style="474" bestFit="1" customWidth="1"/>
    <col min="15125" max="15125" width="20.42578125" style="474" bestFit="1" customWidth="1"/>
    <col min="15126" max="15126" width="20.85546875" style="474" bestFit="1" customWidth="1"/>
    <col min="15127" max="15127" width="21.42578125" style="474" bestFit="1" customWidth="1"/>
    <col min="15128" max="15129" width="22.28515625" style="474" bestFit="1" customWidth="1"/>
    <col min="15130" max="15131" width="23.85546875" style="474" bestFit="1" customWidth="1"/>
    <col min="15132" max="15133" width="24.85546875" style="474" bestFit="1" customWidth="1"/>
    <col min="15134" max="15138" width="11.28515625" style="474" bestFit="1" customWidth="1"/>
    <col min="15139" max="15143" width="12.28515625" style="474" bestFit="1" customWidth="1"/>
    <col min="15144" max="15144" width="12" style="474" bestFit="1" customWidth="1"/>
    <col min="15145" max="15360" width="8.85546875" style="474"/>
    <col min="15361" max="15361" width="7.28515625" style="474" customWidth="1"/>
    <col min="15362" max="15362" width="41" style="474" customWidth="1"/>
    <col min="15363" max="15363" width="16" style="474" customWidth="1"/>
    <col min="15364" max="15364" width="16.140625" style="474" bestFit="1" customWidth="1"/>
    <col min="15365" max="15365" width="11.85546875" style="474" customWidth="1"/>
    <col min="15366" max="15366" width="12.42578125" style="474" bestFit="1" customWidth="1"/>
    <col min="15367" max="15368" width="13" style="474" bestFit="1" customWidth="1"/>
    <col min="15369" max="15369" width="12.7109375" style="474" bestFit="1" customWidth="1"/>
    <col min="15370" max="15370" width="13.42578125" style="474" bestFit="1" customWidth="1"/>
    <col min="15371" max="15371" width="13.7109375" style="474" bestFit="1" customWidth="1"/>
    <col min="15372" max="15372" width="14.5703125" style="474" bestFit="1" customWidth="1"/>
    <col min="15373" max="15373" width="14.85546875" style="474" bestFit="1" customWidth="1"/>
    <col min="15374" max="15374" width="17.140625" style="474" customWidth="1"/>
    <col min="15375" max="15375" width="16.42578125" style="474" bestFit="1" customWidth="1"/>
    <col min="15376" max="15376" width="17.140625" style="474" bestFit="1" customWidth="1"/>
    <col min="15377" max="15377" width="24.28515625" style="474" customWidth="1"/>
    <col min="15378" max="15378" width="18.28515625" style="474" bestFit="1" customWidth="1"/>
    <col min="15379" max="15379" width="18.5703125" style="474" bestFit="1" customWidth="1"/>
    <col min="15380" max="15380" width="19.28515625" style="474" bestFit="1" customWidth="1"/>
    <col min="15381" max="15381" width="20.42578125" style="474" bestFit="1" customWidth="1"/>
    <col min="15382" max="15382" width="20.85546875" style="474" bestFit="1" customWidth="1"/>
    <col min="15383" max="15383" width="21.42578125" style="474" bestFit="1" customWidth="1"/>
    <col min="15384" max="15385" width="22.28515625" style="474" bestFit="1" customWidth="1"/>
    <col min="15386" max="15387" width="23.85546875" style="474" bestFit="1" customWidth="1"/>
    <col min="15388" max="15389" width="24.85546875" style="474" bestFit="1" customWidth="1"/>
    <col min="15390" max="15394" width="11.28515625" style="474" bestFit="1" customWidth="1"/>
    <col min="15395" max="15399" width="12.28515625" style="474" bestFit="1" customWidth="1"/>
    <col min="15400" max="15400" width="12" style="474" bestFit="1" customWidth="1"/>
    <col min="15401" max="15616" width="8.85546875" style="474"/>
    <col min="15617" max="15617" width="7.28515625" style="474" customWidth="1"/>
    <col min="15618" max="15618" width="41" style="474" customWidth="1"/>
    <col min="15619" max="15619" width="16" style="474" customWidth="1"/>
    <col min="15620" max="15620" width="16.140625" style="474" bestFit="1" customWidth="1"/>
    <col min="15621" max="15621" width="11.85546875" style="474" customWidth="1"/>
    <col min="15622" max="15622" width="12.42578125" style="474" bestFit="1" customWidth="1"/>
    <col min="15623" max="15624" width="13" style="474" bestFit="1" customWidth="1"/>
    <col min="15625" max="15625" width="12.7109375" style="474" bestFit="1" customWidth="1"/>
    <col min="15626" max="15626" width="13.42578125" style="474" bestFit="1" customWidth="1"/>
    <col min="15627" max="15627" width="13.7109375" style="474" bestFit="1" customWidth="1"/>
    <col min="15628" max="15628" width="14.5703125" style="474" bestFit="1" customWidth="1"/>
    <col min="15629" max="15629" width="14.85546875" style="474" bestFit="1" customWidth="1"/>
    <col min="15630" max="15630" width="17.140625" style="474" customWidth="1"/>
    <col min="15631" max="15631" width="16.42578125" style="474" bestFit="1" customWidth="1"/>
    <col min="15632" max="15632" width="17.140625" style="474" bestFit="1" customWidth="1"/>
    <col min="15633" max="15633" width="24.28515625" style="474" customWidth="1"/>
    <col min="15634" max="15634" width="18.28515625" style="474" bestFit="1" customWidth="1"/>
    <col min="15635" max="15635" width="18.5703125" style="474" bestFit="1" customWidth="1"/>
    <col min="15636" max="15636" width="19.28515625" style="474" bestFit="1" customWidth="1"/>
    <col min="15637" max="15637" width="20.42578125" style="474" bestFit="1" customWidth="1"/>
    <col min="15638" max="15638" width="20.85546875" style="474" bestFit="1" customWidth="1"/>
    <col min="15639" max="15639" width="21.42578125" style="474" bestFit="1" customWidth="1"/>
    <col min="15640" max="15641" width="22.28515625" style="474" bestFit="1" customWidth="1"/>
    <col min="15642" max="15643" width="23.85546875" style="474" bestFit="1" customWidth="1"/>
    <col min="15644" max="15645" width="24.85546875" style="474" bestFit="1" customWidth="1"/>
    <col min="15646" max="15650" width="11.28515625" style="474" bestFit="1" customWidth="1"/>
    <col min="15651" max="15655" width="12.28515625" style="474" bestFit="1" customWidth="1"/>
    <col min="15656" max="15656" width="12" style="474" bestFit="1" customWidth="1"/>
    <col min="15657" max="15872" width="8.85546875" style="474"/>
    <col min="15873" max="15873" width="7.28515625" style="474" customWidth="1"/>
    <col min="15874" max="15874" width="41" style="474" customWidth="1"/>
    <col min="15875" max="15875" width="16" style="474" customWidth="1"/>
    <col min="15876" max="15876" width="16.140625" style="474" bestFit="1" customWidth="1"/>
    <col min="15877" max="15877" width="11.85546875" style="474" customWidth="1"/>
    <col min="15878" max="15878" width="12.42578125" style="474" bestFit="1" customWidth="1"/>
    <col min="15879" max="15880" width="13" style="474" bestFit="1" customWidth="1"/>
    <col min="15881" max="15881" width="12.7109375" style="474" bestFit="1" customWidth="1"/>
    <col min="15882" max="15882" width="13.42578125" style="474" bestFit="1" customWidth="1"/>
    <col min="15883" max="15883" width="13.7109375" style="474" bestFit="1" customWidth="1"/>
    <col min="15884" max="15884" width="14.5703125" style="474" bestFit="1" customWidth="1"/>
    <col min="15885" max="15885" width="14.85546875" style="474" bestFit="1" customWidth="1"/>
    <col min="15886" max="15886" width="17.140625" style="474" customWidth="1"/>
    <col min="15887" max="15887" width="16.42578125" style="474" bestFit="1" customWidth="1"/>
    <col min="15888" max="15888" width="17.140625" style="474" bestFit="1" customWidth="1"/>
    <col min="15889" max="15889" width="24.28515625" style="474" customWidth="1"/>
    <col min="15890" max="15890" width="18.28515625" style="474" bestFit="1" customWidth="1"/>
    <col min="15891" max="15891" width="18.5703125" style="474" bestFit="1" customWidth="1"/>
    <col min="15892" max="15892" width="19.28515625" style="474" bestFit="1" customWidth="1"/>
    <col min="15893" max="15893" width="20.42578125" style="474" bestFit="1" customWidth="1"/>
    <col min="15894" max="15894" width="20.85546875" style="474" bestFit="1" customWidth="1"/>
    <col min="15895" max="15895" width="21.42578125" style="474" bestFit="1" customWidth="1"/>
    <col min="15896" max="15897" width="22.28515625" style="474" bestFit="1" customWidth="1"/>
    <col min="15898" max="15899" width="23.85546875" style="474" bestFit="1" customWidth="1"/>
    <col min="15900" max="15901" width="24.85546875" style="474" bestFit="1" customWidth="1"/>
    <col min="15902" max="15906" width="11.28515625" style="474" bestFit="1" customWidth="1"/>
    <col min="15907" max="15911" width="12.28515625" style="474" bestFit="1" customWidth="1"/>
    <col min="15912" max="15912" width="12" style="474" bestFit="1" customWidth="1"/>
    <col min="15913" max="16128" width="8.85546875" style="474"/>
    <col min="16129" max="16129" width="7.28515625" style="474" customWidth="1"/>
    <col min="16130" max="16130" width="41" style="474" customWidth="1"/>
    <col min="16131" max="16131" width="16" style="474" customWidth="1"/>
    <col min="16132" max="16132" width="16.140625" style="474" bestFit="1" customWidth="1"/>
    <col min="16133" max="16133" width="11.85546875" style="474" customWidth="1"/>
    <col min="16134" max="16134" width="12.42578125" style="474" bestFit="1" customWidth="1"/>
    <col min="16135" max="16136" width="13" style="474" bestFit="1" customWidth="1"/>
    <col min="16137" max="16137" width="12.7109375" style="474" bestFit="1" customWidth="1"/>
    <col min="16138" max="16138" width="13.42578125" style="474" bestFit="1" customWidth="1"/>
    <col min="16139" max="16139" width="13.7109375" style="474" bestFit="1" customWidth="1"/>
    <col min="16140" max="16140" width="14.5703125" style="474" bestFit="1" customWidth="1"/>
    <col min="16141" max="16141" width="14.85546875" style="474" bestFit="1" customWidth="1"/>
    <col min="16142" max="16142" width="17.140625" style="474" customWidth="1"/>
    <col min="16143" max="16143" width="16.42578125" style="474" bestFit="1" customWidth="1"/>
    <col min="16144" max="16144" width="17.140625" style="474" bestFit="1" customWidth="1"/>
    <col min="16145" max="16145" width="24.28515625" style="474" customWidth="1"/>
    <col min="16146" max="16146" width="18.28515625" style="474" bestFit="1" customWidth="1"/>
    <col min="16147" max="16147" width="18.5703125" style="474" bestFit="1" customWidth="1"/>
    <col min="16148" max="16148" width="19.28515625" style="474" bestFit="1" customWidth="1"/>
    <col min="16149" max="16149" width="20.42578125" style="474" bestFit="1" customWidth="1"/>
    <col min="16150" max="16150" width="20.85546875" style="474" bestFit="1" customWidth="1"/>
    <col min="16151" max="16151" width="21.42578125" style="474" bestFit="1" customWidth="1"/>
    <col min="16152" max="16153" width="22.28515625" style="474" bestFit="1" customWidth="1"/>
    <col min="16154" max="16155" width="23.85546875" style="474" bestFit="1" customWidth="1"/>
    <col min="16156" max="16157" width="24.85546875" style="474" bestFit="1" customWidth="1"/>
    <col min="16158" max="16162" width="11.28515625" style="474" bestFit="1" customWidth="1"/>
    <col min="16163" max="16167" width="12.28515625" style="474" bestFit="1" customWidth="1"/>
    <col min="16168" max="16168" width="12" style="474" bestFit="1" customWidth="1"/>
    <col min="16169" max="16384" width="8.85546875" style="474"/>
  </cols>
  <sheetData>
    <row r="1" spans="2:14" ht="12.95">
      <c r="B1" s="505" t="s">
        <v>293</v>
      </c>
      <c r="C1" s="506"/>
      <c r="D1" s="507"/>
      <c r="E1" s="474" t="s">
        <v>294</v>
      </c>
    </row>
    <row r="2" spans="2:14">
      <c r="B2" s="508"/>
      <c r="C2" s="509"/>
      <c r="D2" s="510"/>
    </row>
    <row r="3" spans="2:14">
      <c r="B3" s="508" t="s">
        <v>96</v>
      </c>
      <c r="C3" s="509"/>
      <c r="D3" s="511">
        <f>ProgrammeLevelDigesterAnalysis!B69</f>
        <v>10243.630275365131</v>
      </c>
    </row>
    <row r="4" spans="2:14">
      <c r="B4" s="508" t="s">
        <v>295</v>
      </c>
      <c r="C4" s="509"/>
      <c r="D4" s="708">
        <v>2570</v>
      </c>
      <c r="E4" s="474" t="s">
        <v>296</v>
      </c>
    </row>
    <row r="5" spans="2:14">
      <c r="B5" s="508" t="s">
        <v>297</v>
      </c>
      <c r="C5" s="509"/>
      <c r="D5" s="512">
        <f>D3*CapitalCostperKW</f>
        <v>26326129.807688385</v>
      </c>
      <c r="F5" s="709" t="s">
        <v>298</v>
      </c>
      <c r="G5" s="710" t="s">
        <v>299</v>
      </c>
    </row>
    <row r="6" spans="2:14">
      <c r="B6" s="508"/>
      <c r="C6" s="509"/>
      <c r="D6" s="510"/>
      <c r="F6" s="709"/>
      <c r="G6" s="711"/>
    </row>
    <row r="7" spans="2:14">
      <c r="B7" s="508" t="s">
        <v>300</v>
      </c>
      <c r="C7" s="509" t="s">
        <v>301</v>
      </c>
      <c r="D7" s="513">
        <v>0</v>
      </c>
      <c r="F7" s="709" t="s">
        <v>10</v>
      </c>
      <c r="G7" s="711">
        <v>677</v>
      </c>
    </row>
    <row r="8" spans="2:14">
      <c r="B8" s="508" t="s">
        <v>302</v>
      </c>
      <c r="C8" s="509" t="s">
        <v>301</v>
      </c>
      <c r="D8" s="514">
        <v>0</v>
      </c>
      <c r="F8" s="709" t="s">
        <v>8</v>
      </c>
      <c r="G8" s="711">
        <v>674</v>
      </c>
    </row>
    <row r="9" spans="2:14">
      <c r="B9" s="508" t="s">
        <v>303</v>
      </c>
      <c r="C9" s="509" t="s">
        <v>304</v>
      </c>
      <c r="D9" s="514">
        <v>0</v>
      </c>
      <c r="F9" s="709" t="s">
        <v>6</v>
      </c>
      <c r="G9" s="711">
        <v>527</v>
      </c>
    </row>
    <row r="10" spans="2:14">
      <c r="B10" s="508" t="s">
        <v>305</v>
      </c>
      <c r="C10" s="509" t="s">
        <v>304</v>
      </c>
      <c r="D10" s="515">
        <f>0.9/100</f>
        <v>9.0000000000000011E-3</v>
      </c>
      <c r="F10" s="709"/>
      <c r="G10" s="711">
        <f>SUM(G6:G9)</f>
        <v>1878</v>
      </c>
    </row>
    <row r="11" spans="2:14">
      <c r="B11" s="508"/>
      <c r="C11" s="509"/>
      <c r="D11" s="510"/>
      <c r="F11" s="709"/>
      <c r="G11" s="709"/>
    </row>
    <row r="12" spans="2:14">
      <c r="B12" s="508" t="s">
        <v>306</v>
      </c>
      <c r="C12" s="516" t="s">
        <v>307</v>
      </c>
      <c r="D12" s="517">
        <v>0.3</v>
      </c>
      <c r="E12" s="474" t="s">
        <v>308</v>
      </c>
      <c r="F12" s="709"/>
      <c r="G12" s="709">
        <f>G10/4</f>
        <v>469.5</v>
      </c>
      <c r="H12" s="474">
        <f>(G7+G8+G9)/3</f>
        <v>626</v>
      </c>
      <c r="I12" s="474" t="s">
        <v>309</v>
      </c>
    </row>
    <row r="13" spans="2:14">
      <c r="B13" s="508" t="s">
        <v>310</v>
      </c>
      <c r="C13" s="516" t="s">
        <v>307</v>
      </c>
      <c r="D13" s="518">
        <v>0.44</v>
      </c>
      <c r="E13" s="474" t="s">
        <v>308</v>
      </c>
      <c r="F13" t="s">
        <v>311</v>
      </c>
    </row>
    <row r="14" spans="2:14" ht="17.25" customHeight="1">
      <c r="B14" s="508" t="s">
        <v>312</v>
      </c>
      <c r="C14" s="516" t="s">
        <v>313</v>
      </c>
      <c r="D14" s="519">
        <f>12*365</f>
        <v>4380</v>
      </c>
      <c r="F14" s="474" t="s">
        <v>314</v>
      </c>
      <c r="N14" s="477"/>
    </row>
    <row r="15" spans="2:14">
      <c r="B15" s="508"/>
      <c r="C15" s="509"/>
      <c r="D15" s="510"/>
      <c r="F15" s="474" t="s">
        <v>315</v>
      </c>
      <c r="N15" s="477"/>
    </row>
    <row r="16" spans="2:14">
      <c r="B16" s="508" t="s">
        <v>316</v>
      </c>
      <c r="C16" s="509" t="s">
        <v>304</v>
      </c>
      <c r="D16" s="520">
        <v>0.08</v>
      </c>
      <c r="E16" s="474" t="s">
        <v>317</v>
      </c>
    </row>
    <row r="17" spans="2:27" s="478" customFormat="1" ht="12.95">
      <c r="B17" s="508" t="s">
        <v>318</v>
      </c>
      <c r="C17" s="509" t="s">
        <v>304</v>
      </c>
      <c r="D17" s="521">
        <v>0.23</v>
      </c>
      <c r="E17" s="478" t="s">
        <v>319</v>
      </c>
      <c r="O17" s="479"/>
      <c r="R17" s="480"/>
    </row>
    <row r="18" spans="2:27">
      <c r="B18" s="508"/>
      <c r="C18" s="509"/>
      <c r="D18" s="510"/>
      <c r="U18" s="481"/>
      <c r="V18" s="481"/>
      <c r="Z18" s="482"/>
    </row>
    <row r="19" spans="2:27">
      <c r="B19" s="508"/>
      <c r="C19" s="509"/>
      <c r="D19" s="510"/>
      <c r="Q19" s="483"/>
      <c r="U19" s="481"/>
      <c r="V19" s="481"/>
      <c r="Z19" s="482"/>
    </row>
    <row r="20" spans="2:27">
      <c r="B20" s="508"/>
      <c r="C20" s="509"/>
      <c r="D20" s="510"/>
      <c r="U20" s="481"/>
      <c r="V20" s="481"/>
      <c r="Z20" s="482"/>
    </row>
    <row r="21" spans="2:27">
      <c r="B21" s="508" t="s">
        <v>320</v>
      </c>
      <c r="C21" s="516" t="s">
        <v>321</v>
      </c>
      <c r="D21" s="522">
        <f>G12/1000</f>
        <v>0.46949999999999997</v>
      </c>
      <c r="E21" s="707" t="s">
        <v>322</v>
      </c>
      <c r="U21" s="481"/>
      <c r="V21" s="481"/>
      <c r="Z21" s="482"/>
    </row>
    <row r="22" spans="2:27">
      <c r="B22" s="508" t="s">
        <v>323</v>
      </c>
      <c r="C22" s="516" t="s">
        <v>321</v>
      </c>
      <c r="D22" s="523">
        <f>H12/1000</f>
        <v>0.626</v>
      </c>
      <c r="E22" s="707"/>
      <c r="U22" s="481"/>
      <c r="V22" s="481"/>
      <c r="Z22" s="482"/>
    </row>
    <row r="23" spans="2:27">
      <c r="B23" s="216" t="s">
        <v>324</v>
      </c>
      <c r="C23" s="225" t="s">
        <v>325</v>
      </c>
      <c r="D23" s="867">
        <v>7.4099999999999999E-2</v>
      </c>
      <c r="E23" s="868" t="s">
        <v>326</v>
      </c>
      <c r="U23" s="481"/>
      <c r="V23" s="481"/>
      <c r="Z23" s="482"/>
    </row>
    <row r="24" spans="2:27">
      <c r="B24" s="508" t="s">
        <v>327</v>
      </c>
      <c r="C24" s="516" t="s">
        <v>321</v>
      </c>
      <c r="D24" s="523">
        <v>0.64</v>
      </c>
      <c r="E24" s="474" t="s">
        <v>328</v>
      </c>
      <c r="P24" s="481"/>
      <c r="V24" s="481"/>
      <c r="Z24" s="482"/>
    </row>
    <row r="25" spans="2:27">
      <c r="B25" s="508" t="s">
        <v>329</v>
      </c>
      <c r="C25" s="516" t="s">
        <v>307</v>
      </c>
      <c r="D25" s="524">
        <v>0</v>
      </c>
      <c r="U25" s="481"/>
      <c r="V25" s="481"/>
      <c r="Z25" s="482"/>
    </row>
    <row r="26" spans="2:27">
      <c r="B26" s="508"/>
      <c r="C26" s="509"/>
      <c r="D26" s="510"/>
      <c r="U26" s="481"/>
      <c r="V26" s="481"/>
      <c r="Z26" s="482"/>
    </row>
    <row r="27" spans="2:27">
      <c r="B27" s="508"/>
      <c r="C27" s="509"/>
      <c r="D27" s="510"/>
      <c r="U27" s="481"/>
      <c r="V27" s="481"/>
      <c r="Z27" s="482"/>
    </row>
    <row r="28" spans="2:27">
      <c r="B28" s="525" t="s">
        <v>330</v>
      </c>
      <c r="C28" s="526" t="s">
        <v>331</v>
      </c>
      <c r="D28" s="527">
        <f>D5</f>
        <v>26326129.807688385</v>
      </c>
      <c r="U28" s="481"/>
      <c r="V28" s="481"/>
      <c r="Z28" s="482"/>
    </row>
    <row r="29" spans="2:27">
      <c r="U29" s="481"/>
      <c r="V29" s="481"/>
      <c r="Z29" s="482"/>
    </row>
    <row r="30" spans="2:27">
      <c r="B30" s="528" t="s">
        <v>332</v>
      </c>
      <c r="C30" s="529">
        <v>1</v>
      </c>
      <c r="D30" s="530" t="s">
        <v>333</v>
      </c>
      <c r="M30" s="481"/>
      <c r="U30" s="481"/>
      <c r="V30" s="481"/>
      <c r="Z30" s="482"/>
    </row>
    <row r="31" spans="2:27">
      <c r="B31" s="531" t="s">
        <v>334</v>
      </c>
      <c r="C31" s="532">
        <v>1000</v>
      </c>
      <c r="D31" s="533" t="s">
        <v>335</v>
      </c>
      <c r="O31" s="481"/>
      <c r="P31" s="481"/>
      <c r="V31" s="481"/>
      <c r="W31" s="481"/>
      <c r="AA31" s="482"/>
    </row>
    <row r="32" spans="2:27">
      <c r="B32" s="531" t="s">
        <v>336</v>
      </c>
      <c r="C32" s="534">
        <v>3.5999999999999999E-3</v>
      </c>
      <c r="D32" s="533" t="s">
        <v>337</v>
      </c>
      <c r="O32" s="481"/>
      <c r="P32" s="481"/>
      <c r="V32" s="481"/>
      <c r="W32" s="481"/>
      <c r="AA32" s="482"/>
    </row>
    <row r="34" spans="2:5" ht="12.95">
      <c r="B34" s="880" t="s">
        <v>338</v>
      </c>
      <c r="C34" s="881"/>
      <c r="D34" s="882"/>
    </row>
    <row r="35" spans="2:5">
      <c r="B35" s="535" t="s">
        <v>339</v>
      </c>
      <c r="C35" s="536" t="s">
        <v>307</v>
      </c>
      <c r="D35" s="517">
        <v>1</v>
      </c>
    </row>
    <row r="36" spans="2:5">
      <c r="B36" s="531" t="s">
        <v>340</v>
      </c>
      <c r="C36" s="533" t="s">
        <v>307</v>
      </c>
      <c r="D36" s="524">
        <v>0</v>
      </c>
    </row>
    <row r="37" spans="2:5">
      <c r="B37" s="537" t="s">
        <v>341</v>
      </c>
      <c r="C37" s="538" t="s">
        <v>342</v>
      </c>
      <c r="D37" s="539">
        <v>25</v>
      </c>
    </row>
    <row r="38" spans="2:5">
      <c r="B38" s="531" t="s">
        <v>343</v>
      </c>
      <c r="C38" s="533" t="s">
        <v>342</v>
      </c>
      <c r="D38" s="540">
        <v>25</v>
      </c>
    </row>
    <row r="39" spans="2:5">
      <c r="B39" s="537" t="s">
        <v>344</v>
      </c>
      <c r="C39" s="538" t="s">
        <v>307</v>
      </c>
      <c r="D39" s="518">
        <v>0.14699999999999999</v>
      </c>
      <c r="E39" s="474" t="s">
        <v>308</v>
      </c>
    </row>
    <row r="40" spans="2:5">
      <c r="B40" s="537" t="s">
        <v>345</v>
      </c>
      <c r="C40" s="538" t="s">
        <v>307</v>
      </c>
      <c r="D40" s="518">
        <f>0.0075</f>
        <v>7.4999999999999997E-3</v>
      </c>
    </row>
    <row r="41" spans="2:5">
      <c r="B41" s="537" t="s">
        <v>346</v>
      </c>
      <c r="C41" s="538" t="s">
        <v>307</v>
      </c>
      <c r="D41" s="518">
        <v>0.12</v>
      </c>
      <c r="E41" s="474" t="s">
        <v>347</v>
      </c>
    </row>
    <row r="42" spans="2:5">
      <c r="B42" s="531" t="s">
        <v>348</v>
      </c>
      <c r="C42" s="533" t="s">
        <v>307</v>
      </c>
      <c r="D42" s="524">
        <v>0.2</v>
      </c>
      <c r="E42" s="474" t="s">
        <v>349</v>
      </c>
    </row>
    <row r="44" spans="2:5" ht="13.5" thickBot="1">
      <c r="B44" s="883" t="s">
        <v>350</v>
      </c>
      <c r="C44" s="883"/>
      <c r="D44" s="883"/>
    </row>
    <row r="45" spans="2:5" ht="12.95" thickTop="1">
      <c r="B45" s="509" t="s">
        <v>351</v>
      </c>
      <c r="C45" s="541">
        <f>D102</f>
        <v>26326129.807688385</v>
      </c>
      <c r="D45" s="516" t="s">
        <v>331</v>
      </c>
    </row>
    <row r="46" spans="2:5">
      <c r="B46" s="509" t="s">
        <v>352</v>
      </c>
      <c r="C46" s="541">
        <f>SUM(D84:AB85)</f>
        <v>10095097.636372335</v>
      </c>
      <c r="D46" s="516" t="s">
        <v>331</v>
      </c>
    </row>
    <row r="47" spans="2:5" ht="13.5" thickBot="1">
      <c r="B47" s="542" t="s">
        <v>97</v>
      </c>
      <c r="C47" s="543">
        <f>C46+C45</f>
        <v>36421227.444060721</v>
      </c>
      <c r="D47" s="544" t="s">
        <v>331</v>
      </c>
    </row>
    <row r="48" spans="2:5">
      <c r="B48" s="509" t="s">
        <v>353</v>
      </c>
      <c r="C48" s="541">
        <f>D126</f>
        <v>-55093096.223712675</v>
      </c>
      <c r="D48" s="516" t="s">
        <v>331</v>
      </c>
    </row>
    <row r="49" spans="2:4">
      <c r="B49" s="509" t="s">
        <v>354</v>
      </c>
      <c r="C49" s="541">
        <f>D132</f>
        <v>-9928797.7279758248</v>
      </c>
      <c r="D49" s="516" t="s">
        <v>331</v>
      </c>
    </row>
    <row r="50" spans="2:4" ht="13.5" thickBot="1">
      <c r="B50" s="542" t="s">
        <v>355</v>
      </c>
      <c r="C50" s="543">
        <f>C47-C48-C49</f>
        <v>101443121.39574923</v>
      </c>
      <c r="D50" s="544" t="s">
        <v>331</v>
      </c>
    </row>
    <row r="52" spans="2:4" ht="13.5" thickBot="1">
      <c r="B52" s="883" t="s">
        <v>356</v>
      </c>
      <c r="C52" s="883"/>
      <c r="D52" s="883"/>
    </row>
    <row r="53" spans="2:4" ht="12.95" thickTop="1">
      <c r="B53" s="509" t="s">
        <v>351</v>
      </c>
      <c r="C53" s="541">
        <f>C45/D80</f>
        <v>2.34703196347032E-2</v>
      </c>
      <c r="D53" s="516" t="s">
        <v>331</v>
      </c>
    </row>
    <row r="54" spans="2:4">
      <c r="B54" s="509" t="s">
        <v>352</v>
      </c>
      <c r="C54" s="541">
        <f>C46/D80</f>
        <v>9.0000000000000011E-3</v>
      </c>
      <c r="D54" s="516" t="s">
        <v>331</v>
      </c>
    </row>
    <row r="55" spans="2:4" ht="13.5" thickBot="1">
      <c r="B55" s="542" t="s">
        <v>97</v>
      </c>
      <c r="C55" s="543">
        <f>C54+C53</f>
        <v>3.2470319634703204E-2</v>
      </c>
      <c r="D55" s="544" t="s">
        <v>331</v>
      </c>
    </row>
    <row r="56" spans="2:4">
      <c r="B56" s="509" t="s">
        <v>353</v>
      </c>
      <c r="C56" s="541">
        <f>C48/D80</f>
        <v>-4.9116698408832135E-2</v>
      </c>
      <c r="D56" s="516" t="s">
        <v>331</v>
      </c>
    </row>
    <row r="57" spans="2:4">
      <c r="B57" s="509" t="s">
        <v>354</v>
      </c>
      <c r="C57" s="541">
        <f>C49/D80</f>
        <v>-8.8517399999999986E-3</v>
      </c>
      <c r="D57" s="516" t="s">
        <v>331</v>
      </c>
    </row>
    <row r="58" spans="2:4" ht="13.5" thickBot="1">
      <c r="B58" s="542" t="s">
        <v>355</v>
      </c>
      <c r="C58" s="543">
        <f>C55-C56-C57</f>
        <v>9.0438758043535336E-2</v>
      </c>
      <c r="D58" s="544" t="s">
        <v>331</v>
      </c>
    </row>
    <row r="60" spans="2:4" ht="12.95">
      <c r="B60" s="880" t="s">
        <v>357</v>
      </c>
      <c r="C60" s="881"/>
      <c r="D60" s="882"/>
    </row>
    <row r="61" spans="2:4" ht="12.95">
      <c r="B61" s="528" t="s">
        <v>358</v>
      </c>
      <c r="C61" s="545" t="s">
        <v>359</v>
      </c>
      <c r="D61" s="521">
        <f>SUM(D112:AM112)/SUM(D111:AM111)</f>
        <v>0.12722759462387703</v>
      </c>
    </row>
    <row r="62" spans="2:4" ht="12.95">
      <c r="B62" s="528" t="s">
        <v>360</v>
      </c>
      <c r="C62" s="545" t="s">
        <v>359</v>
      </c>
      <c r="D62" s="521">
        <f>SUM(D113:AM113)/SUM(D111:AM111)</f>
        <v>0.1355082318030337</v>
      </c>
    </row>
    <row r="63" spans="2:4" ht="12.95">
      <c r="B63" s="528" t="s">
        <v>358</v>
      </c>
      <c r="C63" s="545" t="s">
        <v>361</v>
      </c>
      <c r="D63" s="546">
        <f>D61/$C$32</f>
        <v>35.340998506632509</v>
      </c>
    </row>
    <row r="64" spans="2:4" ht="12.95">
      <c r="B64" s="528" t="s">
        <v>362</v>
      </c>
      <c r="C64" s="545" t="s">
        <v>361</v>
      </c>
      <c r="D64" s="546">
        <f>D62/C32</f>
        <v>37.641175500842699</v>
      </c>
    </row>
    <row r="66" spans="1:39" ht="13.5" thickBot="1">
      <c r="B66" s="547" t="s">
        <v>363</v>
      </c>
      <c r="C66" s="548" t="s">
        <v>364</v>
      </c>
      <c r="D66" s="547"/>
    </row>
    <row r="67" spans="1:39" ht="12.95" thickTop="1">
      <c r="B67" s="549" t="s">
        <v>365</v>
      </c>
      <c r="C67" s="516" t="s">
        <v>331</v>
      </c>
      <c r="D67" s="550">
        <f>(D16-D61)*SUM(D79:AB79)</f>
        <v>-52974130.984339088</v>
      </c>
    </row>
    <row r="68" spans="1:39">
      <c r="B68" s="549" t="s">
        <v>366</v>
      </c>
      <c r="C68" s="516" t="s">
        <v>331</v>
      </c>
      <c r="D68" s="550">
        <f>(D17-D61)*SUM(D79:AB79)</f>
        <v>115277496.28853315</v>
      </c>
    </row>
    <row r="69" spans="1:39">
      <c r="B69" s="549" t="s">
        <v>367</v>
      </c>
      <c r="C69" s="516" t="s">
        <v>368</v>
      </c>
      <c r="D69" s="551">
        <f>D21*SUM(D79:AB79)</f>
        <v>526627593.36409009</v>
      </c>
      <c r="E69" s="484"/>
    </row>
    <row r="70" spans="1:39">
      <c r="B70" s="549" t="s">
        <v>369</v>
      </c>
      <c r="C70" s="516" t="s">
        <v>368</v>
      </c>
      <c r="D70" s="551">
        <f>D24*SUM(D79:AB79)</f>
        <v>717873609.69758821</v>
      </c>
      <c r="E70" s="484"/>
    </row>
    <row r="72" spans="1:39">
      <c r="B72" s="509" t="s">
        <v>370</v>
      </c>
      <c r="C72" s="516" t="s">
        <v>371</v>
      </c>
      <c r="D72" s="551">
        <f>SUM(D79:AB79)</f>
        <v>1121677515.1524816</v>
      </c>
    </row>
    <row r="73" spans="1:39">
      <c r="B73" s="509" t="s">
        <v>372</v>
      </c>
      <c r="C73" s="552" t="s">
        <v>373</v>
      </c>
      <c r="D73" s="553">
        <f>D121</f>
        <v>-299218.693942076</v>
      </c>
    </row>
    <row r="76" spans="1:39" ht="12.95">
      <c r="B76" s="554" t="s">
        <v>67</v>
      </c>
      <c r="C76" s="555"/>
      <c r="D76" s="556" t="s">
        <v>374</v>
      </c>
      <c r="E76" s="556" t="s">
        <v>375</v>
      </c>
      <c r="F76" s="556" t="s">
        <v>376</v>
      </c>
      <c r="G76" s="556" t="s">
        <v>377</v>
      </c>
      <c r="H76" s="556" t="s">
        <v>378</v>
      </c>
      <c r="I76" s="556" t="s">
        <v>379</v>
      </c>
      <c r="J76" s="556" t="s">
        <v>380</v>
      </c>
      <c r="K76" s="556" t="s">
        <v>381</v>
      </c>
      <c r="L76" s="556" t="s">
        <v>382</v>
      </c>
      <c r="M76" s="556" t="s">
        <v>383</v>
      </c>
      <c r="N76" s="556" t="s">
        <v>384</v>
      </c>
      <c r="O76" s="556" t="s">
        <v>385</v>
      </c>
      <c r="P76" s="556" t="s">
        <v>386</v>
      </c>
      <c r="Q76" s="556" t="s">
        <v>387</v>
      </c>
      <c r="R76" s="556" t="s">
        <v>388</v>
      </c>
      <c r="S76" s="556" t="s">
        <v>389</v>
      </c>
      <c r="T76" s="556" t="s">
        <v>390</v>
      </c>
      <c r="U76" s="556" t="s">
        <v>391</v>
      </c>
      <c r="V76" s="556" t="s">
        <v>392</v>
      </c>
      <c r="W76" s="556" t="s">
        <v>393</v>
      </c>
      <c r="X76" s="556" t="s">
        <v>394</v>
      </c>
      <c r="Y76" s="556" t="s">
        <v>395</v>
      </c>
      <c r="Z76" s="556" t="s">
        <v>396</v>
      </c>
      <c r="AA76" s="556" t="s">
        <v>397</v>
      </c>
      <c r="AB76" s="556" t="s">
        <v>398</v>
      </c>
      <c r="AC76" s="556" t="s">
        <v>399</v>
      </c>
      <c r="AD76" s="556" t="s">
        <v>400</v>
      </c>
      <c r="AE76" s="556" t="s">
        <v>401</v>
      </c>
      <c r="AF76" s="556" t="s">
        <v>402</v>
      </c>
      <c r="AG76" s="556" t="s">
        <v>403</v>
      </c>
      <c r="AH76" s="556" t="s">
        <v>404</v>
      </c>
      <c r="AI76" s="556" t="s">
        <v>405</v>
      </c>
      <c r="AJ76" s="556" t="s">
        <v>406</v>
      </c>
      <c r="AK76" s="556" t="s">
        <v>407</v>
      </c>
      <c r="AL76" s="556" t="s">
        <v>408</v>
      </c>
      <c r="AM76" s="556" t="s">
        <v>409</v>
      </c>
    </row>
    <row r="77" spans="1:39">
      <c r="B77" s="557" t="s">
        <v>410</v>
      </c>
      <c r="C77" s="558"/>
      <c r="D77" s="559">
        <v>0</v>
      </c>
      <c r="E77" s="559">
        <v>1</v>
      </c>
      <c r="F77" s="559">
        <v>2</v>
      </c>
      <c r="G77" s="559">
        <v>3</v>
      </c>
      <c r="H77" s="559">
        <v>4</v>
      </c>
      <c r="I77" s="559">
        <v>5</v>
      </c>
      <c r="J77" s="559">
        <v>6</v>
      </c>
      <c r="K77" s="559">
        <v>7</v>
      </c>
      <c r="L77" s="559">
        <v>8</v>
      </c>
      <c r="M77" s="559">
        <v>9</v>
      </c>
      <c r="N77" s="559">
        <v>10</v>
      </c>
      <c r="O77" s="559">
        <v>11</v>
      </c>
      <c r="P77" s="559">
        <v>12</v>
      </c>
      <c r="Q77" s="559">
        <v>13</v>
      </c>
      <c r="R77" s="559">
        <v>14</v>
      </c>
      <c r="S77" s="559">
        <v>15</v>
      </c>
      <c r="T77" s="559">
        <v>16</v>
      </c>
      <c r="U77" s="559">
        <v>17</v>
      </c>
      <c r="V77" s="559">
        <v>18</v>
      </c>
      <c r="W77" s="559">
        <v>19</v>
      </c>
      <c r="X77" s="559">
        <v>20</v>
      </c>
      <c r="Y77" s="559">
        <v>21</v>
      </c>
      <c r="Z77" s="559">
        <v>22</v>
      </c>
      <c r="AA77" s="559">
        <v>23</v>
      </c>
      <c r="AB77" s="559">
        <v>24</v>
      </c>
      <c r="AC77" s="559">
        <v>25</v>
      </c>
      <c r="AD77" s="559">
        <v>26</v>
      </c>
      <c r="AE77" s="559">
        <v>27</v>
      </c>
      <c r="AF77" s="559">
        <v>28</v>
      </c>
      <c r="AG77" s="559">
        <v>29</v>
      </c>
      <c r="AH77" s="559">
        <v>30</v>
      </c>
      <c r="AI77" s="559">
        <v>31</v>
      </c>
      <c r="AJ77" s="559">
        <v>32</v>
      </c>
      <c r="AK77" s="559">
        <v>33</v>
      </c>
      <c r="AL77" s="559">
        <v>34</v>
      </c>
      <c r="AM77" s="560">
        <v>35</v>
      </c>
    </row>
    <row r="78" spans="1:39" ht="18" customHeight="1">
      <c r="B78" s="478"/>
      <c r="C78" s="485"/>
      <c r="D78" s="485"/>
    </row>
    <row r="79" spans="1:39">
      <c r="B79" s="561" t="s">
        <v>411</v>
      </c>
      <c r="C79" s="545" t="s">
        <v>412</v>
      </c>
      <c r="D79" s="562">
        <f>ProgrammeLevelDigesterAnalysis!B68</f>
        <v>44867100.60609927</v>
      </c>
      <c r="E79" s="532">
        <f>'ProgrBiogas Electricity Fin Anl'!$D$79</f>
        <v>44867100.60609927</v>
      </c>
      <c r="F79" s="532">
        <f>'ProgrBiogas Electricity Fin Anl'!$D$79</f>
        <v>44867100.60609927</v>
      </c>
      <c r="G79" s="532">
        <f>'ProgrBiogas Electricity Fin Anl'!$D$79</f>
        <v>44867100.60609927</v>
      </c>
      <c r="H79" s="532">
        <f>'ProgrBiogas Electricity Fin Anl'!$D$79</f>
        <v>44867100.60609927</v>
      </c>
      <c r="I79" s="532">
        <f>'ProgrBiogas Electricity Fin Anl'!$D$79</f>
        <v>44867100.60609927</v>
      </c>
      <c r="J79" s="532">
        <f>'ProgrBiogas Electricity Fin Anl'!$D$79</f>
        <v>44867100.60609927</v>
      </c>
      <c r="K79" s="532">
        <f>'ProgrBiogas Electricity Fin Anl'!$D$79</f>
        <v>44867100.60609927</v>
      </c>
      <c r="L79" s="532">
        <f>'ProgrBiogas Electricity Fin Anl'!$D$79</f>
        <v>44867100.60609927</v>
      </c>
      <c r="M79" s="532">
        <f>'ProgrBiogas Electricity Fin Anl'!$D$79</f>
        <v>44867100.60609927</v>
      </c>
      <c r="N79" s="532">
        <f>'ProgrBiogas Electricity Fin Anl'!$D$79</f>
        <v>44867100.60609927</v>
      </c>
      <c r="O79" s="532">
        <f>'ProgrBiogas Electricity Fin Anl'!$D$79</f>
        <v>44867100.60609927</v>
      </c>
      <c r="P79" s="532">
        <f>'ProgrBiogas Electricity Fin Anl'!$D$79</f>
        <v>44867100.60609927</v>
      </c>
      <c r="Q79" s="532">
        <f>'ProgrBiogas Electricity Fin Anl'!$D$79</f>
        <v>44867100.60609927</v>
      </c>
      <c r="R79" s="719">
        <f>'ProgrBiogas Electricity Fin Anl'!$D$79</f>
        <v>44867100.60609927</v>
      </c>
      <c r="S79" s="532">
        <f>'ProgrBiogas Electricity Fin Anl'!$D$79</f>
        <v>44867100.60609927</v>
      </c>
      <c r="T79" s="532">
        <f>'ProgrBiogas Electricity Fin Anl'!$D$79</f>
        <v>44867100.60609927</v>
      </c>
      <c r="U79" s="532">
        <f>'ProgrBiogas Electricity Fin Anl'!$D$79</f>
        <v>44867100.60609927</v>
      </c>
      <c r="V79" s="532">
        <f>'ProgrBiogas Electricity Fin Anl'!$D$79</f>
        <v>44867100.60609927</v>
      </c>
      <c r="W79" s="532">
        <f>'ProgrBiogas Electricity Fin Anl'!$D$79</f>
        <v>44867100.60609927</v>
      </c>
      <c r="X79" s="532">
        <f>'ProgrBiogas Electricity Fin Anl'!$D$79</f>
        <v>44867100.60609927</v>
      </c>
      <c r="Y79" s="532">
        <f>'ProgrBiogas Electricity Fin Anl'!$D$79</f>
        <v>44867100.60609927</v>
      </c>
      <c r="Z79" s="532">
        <f>'ProgrBiogas Electricity Fin Anl'!$D$79</f>
        <v>44867100.60609927</v>
      </c>
      <c r="AA79" s="532">
        <f>'ProgrBiogas Electricity Fin Anl'!$D$79</f>
        <v>44867100.60609927</v>
      </c>
      <c r="AB79" s="532">
        <f>'ProgrBiogas Electricity Fin Anl'!$D$79</f>
        <v>44867100.60609927</v>
      </c>
      <c r="AC79" s="532">
        <f>AB79</f>
        <v>44867100.60609927</v>
      </c>
      <c r="AD79" s="532">
        <f>IF(AD77&lt;=$D$38,AC79*(1-'ProgrBiogas Electricity Fin Anl'!$D$25),0)</f>
        <v>0</v>
      </c>
      <c r="AE79" s="532">
        <f>IF(AE77&lt;=$D$38,AD79*(1-'ProgrBiogas Electricity Fin Anl'!$D$25),0)</f>
        <v>0</v>
      </c>
      <c r="AF79" s="532">
        <f>IF(AF77&lt;=$D$38,AE79*(1-'ProgrBiogas Electricity Fin Anl'!$D$25),0)</f>
        <v>0</v>
      </c>
      <c r="AG79" s="532">
        <f>IF(AG77&lt;=$D$38,AF79*(1-'ProgrBiogas Electricity Fin Anl'!$D$25),0)</f>
        <v>0</v>
      </c>
      <c r="AH79" s="532">
        <f>IF(AH77&lt;=$D$38,AG79*(1-'ProgrBiogas Electricity Fin Anl'!$D$25),0)</f>
        <v>0</v>
      </c>
      <c r="AI79" s="532">
        <f>IF(AI77&lt;=$D$38,AH79*(1-'ProgrBiogas Electricity Fin Anl'!$D$25),0)</f>
        <v>0</v>
      </c>
      <c r="AJ79" s="532">
        <f>IF(AJ77&lt;=$D$38,AI79*(1-'ProgrBiogas Electricity Fin Anl'!$D$25),0)</f>
        <v>0</v>
      </c>
      <c r="AK79" s="532">
        <f>IF(AK77&lt;=$D$38,AJ79*(1-'ProgrBiogas Electricity Fin Anl'!$D$25),0)</f>
        <v>0</v>
      </c>
      <c r="AL79" s="532">
        <f>IF(AL77&lt;=$D$38,AK79*(1-'ProgrBiogas Electricity Fin Anl'!$D$25),0)</f>
        <v>0</v>
      </c>
      <c r="AM79" s="563">
        <f>IF(AM77&lt;=$D$38,AL79*(1-'ProgrBiogas Electricity Fin Anl'!$D$25),0)</f>
        <v>0</v>
      </c>
    </row>
    <row r="80" spans="1:39" s="487" customFormat="1">
      <c r="A80" s="474"/>
      <c r="B80" s="564" t="s">
        <v>413</v>
      </c>
      <c r="C80" s="545" t="s">
        <v>371</v>
      </c>
      <c r="D80" s="563">
        <f>SUM(D79:AB79)</f>
        <v>1121677515.1524816</v>
      </c>
      <c r="E80" s="486"/>
      <c r="F80" s="486"/>
      <c r="G80" s="486"/>
      <c r="H80" s="486"/>
      <c r="I80" s="486"/>
      <c r="J80" s="486"/>
      <c r="K80" s="486"/>
      <c r="L80" s="486"/>
      <c r="M80" s="486"/>
      <c r="N80" s="486"/>
      <c r="O80" s="486"/>
      <c r="P80" s="486"/>
      <c r="Q80" s="486"/>
      <c r="R80" s="720"/>
      <c r="S80" s="486"/>
      <c r="T80" s="486"/>
      <c r="U80" s="486"/>
      <c r="V80" s="486"/>
      <c r="W80" s="486"/>
      <c r="X80" s="486"/>
      <c r="Y80" s="486"/>
      <c r="Z80" s="486"/>
      <c r="AA80" s="486"/>
      <c r="AB80" s="486"/>
      <c r="AC80" s="486"/>
      <c r="AD80" s="486"/>
      <c r="AE80" s="486"/>
      <c r="AF80" s="486"/>
      <c r="AG80" s="486"/>
      <c r="AH80" s="486"/>
      <c r="AI80" s="486"/>
      <c r="AJ80" s="486"/>
      <c r="AK80" s="486"/>
      <c r="AL80" s="486"/>
      <c r="AM80" s="486"/>
    </row>
    <row r="81" spans="2:39">
      <c r="B81" s="478"/>
      <c r="C81" s="485"/>
      <c r="D81" s="488"/>
      <c r="E81" s="488"/>
      <c r="F81" s="488"/>
      <c r="G81" s="488"/>
      <c r="H81" s="488"/>
      <c r="I81" s="488"/>
      <c r="J81" s="488"/>
      <c r="K81" s="488"/>
      <c r="L81" s="488"/>
      <c r="M81" s="488"/>
      <c r="N81" s="488"/>
      <c r="O81" s="488"/>
      <c r="P81" s="488"/>
      <c r="Q81" s="488"/>
      <c r="R81" s="488"/>
      <c r="S81" s="488"/>
      <c r="T81" s="488"/>
      <c r="U81" s="488"/>
      <c r="V81" s="488"/>
      <c r="W81" s="488"/>
      <c r="X81" s="488"/>
      <c r="Y81" s="488"/>
      <c r="Z81" s="488"/>
      <c r="AA81" s="488"/>
      <c r="AB81" s="488"/>
      <c r="AC81" s="488"/>
      <c r="AD81" s="488"/>
      <c r="AE81" s="488"/>
      <c r="AF81" s="488"/>
      <c r="AG81" s="488"/>
      <c r="AH81" s="488"/>
      <c r="AI81" s="488"/>
      <c r="AJ81" s="488"/>
      <c r="AK81" s="488"/>
      <c r="AL81" s="488"/>
      <c r="AM81" s="488"/>
    </row>
    <row r="82" spans="2:39" ht="12.95">
      <c r="B82" s="565" t="s">
        <v>414</v>
      </c>
      <c r="C82" s="566" t="s">
        <v>364</v>
      </c>
      <c r="D82" s="485"/>
      <c r="E82" s="489"/>
      <c r="F82" s="489"/>
      <c r="G82" s="489"/>
      <c r="H82" s="489"/>
      <c r="I82" s="489"/>
      <c r="J82" s="489"/>
      <c r="K82" s="489"/>
      <c r="L82" s="489"/>
      <c r="M82" s="489"/>
      <c r="N82" s="489"/>
      <c r="O82" s="489"/>
      <c r="P82" s="489"/>
      <c r="Q82" s="489"/>
      <c r="R82" s="489"/>
      <c r="S82" s="489"/>
      <c r="T82" s="489"/>
      <c r="U82" s="489"/>
      <c r="V82" s="489"/>
      <c r="W82" s="489"/>
      <c r="X82" s="489"/>
      <c r="Y82" s="489"/>
      <c r="Z82" s="489"/>
      <c r="AA82" s="489"/>
      <c r="AB82" s="489"/>
      <c r="AC82" s="489"/>
      <c r="AD82" s="489"/>
      <c r="AE82" s="489"/>
      <c r="AF82" s="489"/>
      <c r="AG82" s="489"/>
      <c r="AH82" s="489"/>
      <c r="AI82" s="489"/>
      <c r="AJ82" s="489"/>
      <c r="AK82" s="489"/>
      <c r="AL82" s="489"/>
      <c r="AM82" s="489"/>
    </row>
    <row r="83" spans="2:39" ht="12.95">
      <c r="B83" s="505" t="s">
        <v>415</v>
      </c>
      <c r="C83" s="567">
        <f>0.9/100</f>
        <v>9.0000000000000011E-3</v>
      </c>
      <c r="D83" s="485"/>
      <c r="E83" s="489"/>
      <c r="F83" s="489"/>
      <c r="G83" s="489"/>
      <c r="H83" s="489"/>
      <c r="I83" s="489"/>
      <c r="J83" s="489"/>
      <c r="K83" s="489"/>
      <c r="L83" s="489"/>
      <c r="M83" s="489"/>
      <c r="N83" s="489"/>
      <c r="O83" s="489"/>
      <c r="P83" s="489"/>
      <c r="Q83" s="489"/>
      <c r="R83" s="489"/>
      <c r="S83" s="489"/>
      <c r="T83" s="489"/>
      <c r="U83" s="489"/>
      <c r="V83" s="489"/>
      <c r="W83" s="489"/>
      <c r="X83" s="489"/>
      <c r="Y83" s="489"/>
      <c r="Z83" s="489"/>
      <c r="AA83" s="489"/>
      <c r="AB83" s="489"/>
      <c r="AC83" s="489"/>
      <c r="AD83" s="489"/>
      <c r="AE83" s="489"/>
      <c r="AF83" s="489"/>
      <c r="AG83" s="489"/>
      <c r="AH83" s="489"/>
      <c r="AI83" s="489"/>
      <c r="AJ83" s="489"/>
      <c r="AK83" s="489"/>
      <c r="AL83" s="489"/>
      <c r="AM83" s="489"/>
    </row>
    <row r="84" spans="2:39">
      <c r="B84" s="568" t="s">
        <v>416</v>
      </c>
      <c r="C84" s="569" t="s">
        <v>417</v>
      </c>
      <c r="D84" s="570">
        <f>D79*C83</f>
        <v>403803.90545489348</v>
      </c>
      <c r="E84" s="571">
        <f>'ProgrBiogas Electricity Fin Anl'!$D$84</f>
        <v>403803.90545489348</v>
      </c>
      <c r="F84" s="571">
        <f>'ProgrBiogas Electricity Fin Anl'!$D$84</f>
        <v>403803.90545489348</v>
      </c>
      <c r="G84" s="571">
        <f>'ProgrBiogas Electricity Fin Anl'!$D$84</f>
        <v>403803.90545489348</v>
      </c>
      <c r="H84" s="571">
        <f>'ProgrBiogas Electricity Fin Anl'!$D$84</f>
        <v>403803.90545489348</v>
      </c>
      <c r="I84" s="571">
        <f>'ProgrBiogas Electricity Fin Anl'!$D$84</f>
        <v>403803.90545489348</v>
      </c>
      <c r="J84" s="571">
        <f>'ProgrBiogas Electricity Fin Anl'!$D$84</f>
        <v>403803.90545489348</v>
      </c>
      <c r="K84" s="571">
        <f>'ProgrBiogas Electricity Fin Anl'!$D$84</f>
        <v>403803.90545489348</v>
      </c>
      <c r="L84" s="571">
        <f>'ProgrBiogas Electricity Fin Anl'!$D$84</f>
        <v>403803.90545489348</v>
      </c>
      <c r="M84" s="571">
        <f>'ProgrBiogas Electricity Fin Anl'!$D$84</f>
        <v>403803.90545489348</v>
      </c>
      <c r="N84" s="571">
        <f>'ProgrBiogas Electricity Fin Anl'!$D$84</f>
        <v>403803.90545489348</v>
      </c>
      <c r="O84" s="571">
        <f>'ProgrBiogas Electricity Fin Anl'!$D$84</f>
        <v>403803.90545489348</v>
      </c>
      <c r="P84" s="571">
        <f>'ProgrBiogas Electricity Fin Anl'!$D$84</f>
        <v>403803.90545489348</v>
      </c>
      <c r="Q84" s="571">
        <f>'ProgrBiogas Electricity Fin Anl'!$D$84</f>
        <v>403803.90545489348</v>
      </c>
      <c r="R84" s="715">
        <f>'ProgrBiogas Electricity Fin Anl'!$D$84</f>
        <v>403803.90545489348</v>
      </c>
      <c r="S84" s="571">
        <f>'ProgrBiogas Electricity Fin Anl'!$D$84</f>
        <v>403803.90545489348</v>
      </c>
      <c r="T84" s="571">
        <f>'ProgrBiogas Electricity Fin Anl'!$D$84</f>
        <v>403803.90545489348</v>
      </c>
      <c r="U84" s="571">
        <f>'ProgrBiogas Electricity Fin Anl'!$D$84</f>
        <v>403803.90545489348</v>
      </c>
      <c r="V84" s="571">
        <f>'ProgrBiogas Electricity Fin Anl'!$D$84</f>
        <v>403803.90545489348</v>
      </c>
      <c r="W84" s="571">
        <f>'ProgrBiogas Electricity Fin Anl'!$D$84</f>
        <v>403803.90545489348</v>
      </c>
      <c r="X84" s="571">
        <f>'ProgrBiogas Electricity Fin Anl'!$D$84</f>
        <v>403803.90545489348</v>
      </c>
      <c r="Y84" s="571">
        <f>'ProgrBiogas Electricity Fin Anl'!$D$84</f>
        <v>403803.90545489348</v>
      </c>
      <c r="Z84" s="571">
        <f>'ProgrBiogas Electricity Fin Anl'!$D$84</f>
        <v>403803.90545489348</v>
      </c>
      <c r="AA84" s="571">
        <f>'ProgrBiogas Electricity Fin Anl'!$D$84</f>
        <v>403803.90545489348</v>
      </c>
      <c r="AB84" s="571">
        <f>'ProgrBiogas Electricity Fin Anl'!$D$84</f>
        <v>403803.90545489348</v>
      </c>
      <c r="AC84" s="571">
        <v>1642768.8673553236</v>
      </c>
      <c r="AD84" s="571">
        <f t="shared" ref="AD84:AM84" si="0">IF(AD77&lt;=$D$38,$D$7*$D$3*(1+$D$8)^(AD77-1),0)</f>
        <v>0</v>
      </c>
      <c r="AE84" s="571">
        <f t="shared" si="0"/>
        <v>0</v>
      </c>
      <c r="AF84" s="571">
        <f t="shared" si="0"/>
        <v>0</v>
      </c>
      <c r="AG84" s="571">
        <f t="shared" si="0"/>
        <v>0</v>
      </c>
      <c r="AH84" s="571">
        <f t="shared" si="0"/>
        <v>0</v>
      </c>
      <c r="AI84" s="571">
        <f t="shared" si="0"/>
        <v>0</v>
      </c>
      <c r="AJ84" s="571">
        <f t="shared" si="0"/>
        <v>0</v>
      </c>
      <c r="AK84" s="571">
        <f t="shared" si="0"/>
        <v>0</v>
      </c>
      <c r="AL84" s="571">
        <f t="shared" si="0"/>
        <v>0</v>
      </c>
      <c r="AM84" s="572">
        <f t="shared" si="0"/>
        <v>0</v>
      </c>
    </row>
    <row r="85" spans="2:39">
      <c r="B85" s="573" t="s">
        <v>418</v>
      </c>
      <c r="C85" s="574" t="s">
        <v>417</v>
      </c>
      <c r="D85" s="575">
        <f>'ProgrBiogas Electricity Fin Anl'!$D$9*D79*(1+'ProgrBiogas Electricity Fin Anl'!$D$10)^(D77-1)</f>
        <v>0</v>
      </c>
      <c r="E85" s="541">
        <f>'ProgrBiogas Electricity Fin Anl'!$D$9*E79*(1+'ProgrBiogas Electricity Fin Anl'!$D$10)^(E77-1)</f>
        <v>0</v>
      </c>
      <c r="F85" s="541">
        <f>'ProgrBiogas Electricity Fin Anl'!$D$9*F79*(1+'ProgrBiogas Electricity Fin Anl'!$D$10)^(F77-1)</f>
        <v>0</v>
      </c>
      <c r="G85" s="541">
        <f>'ProgrBiogas Electricity Fin Anl'!$D$9*G79*(1+'ProgrBiogas Electricity Fin Anl'!$D$10)^(G77-1)</f>
        <v>0</v>
      </c>
      <c r="H85" s="541">
        <f>'ProgrBiogas Electricity Fin Anl'!$D$9*H79*(1+'ProgrBiogas Electricity Fin Anl'!$D$10)^(H77-1)</f>
        <v>0</v>
      </c>
      <c r="I85" s="541">
        <f>'ProgrBiogas Electricity Fin Anl'!$D$9*I79*(1+'ProgrBiogas Electricity Fin Anl'!$D$10)^(I77-1)</f>
        <v>0</v>
      </c>
      <c r="J85" s="541">
        <f>'ProgrBiogas Electricity Fin Anl'!$D$9*J79*(1+'ProgrBiogas Electricity Fin Anl'!$D$10)^(J77-1)</f>
        <v>0</v>
      </c>
      <c r="K85" s="541">
        <f>'ProgrBiogas Electricity Fin Anl'!$D$9*K79*(1+'ProgrBiogas Electricity Fin Anl'!$D$10)^(K77-1)</f>
        <v>0</v>
      </c>
      <c r="L85" s="541">
        <f>'ProgrBiogas Electricity Fin Anl'!$D$9*L79*(1+'ProgrBiogas Electricity Fin Anl'!$D$10)^(L77-1)</f>
        <v>0</v>
      </c>
      <c r="M85" s="541">
        <f>'ProgrBiogas Electricity Fin Anl'!$D$9*M79*(1+'ProgrBiogas Electricity Fin Anl'!$D$10)^(M77-1)</f>
        <v>0</v>
      </c>
      <c r="N85" s="541">
        <f>'ProgrBiogas Electricity Fin Anl'!$D$9*N79*(1+'ProgrBiogas Electricity Fin Anl'!$D$10)^(N77-1)</f>
        <v>0</v>
      </c>
      <c r="O85" s="541">
        <f>'ProgrBiogas Electricity Fin Anl'!$D$9*O79*(1+'ProgrBiogas Electricity Fin Anl'!$D$10)^(O77-1)</f>
        <v>0</v>
      </c>
      <c r="P85" s="541">
        <f>'ProgrBiogas Electricity Fin Anl'!$D$9*P79*(1+'ProgrBiogas Electricity Fin Anl'!$D$10)^(P77-1)</f>
        <v>0</v>
      </c>
      <c r="Q85" s="541">
        <f>'ProgrBiogas Electricity Fin Anl'!$D$9*Q79*(1+'ProgrBiogas Electricity Fin Anl'!$D$10)^(Q77-1)</f>
        <v>0</v>
      </c>
      <c r="R85" s="721">
        <f>'ProgrBiogas Electricity Fin Anl'!$D$9*R79*(1+'ProgrBiogas Electricity Fin Anl'!$D$10)^(R77-1)</f>
        <v>0</v>
      </c>
      <c r="S85" s="541">
        <f>'ProgrBiogas Electricity Fin Anl'!$D$9*S79*(1+'ProgrBiogas Electricity Fin Anl'!$D$10)^(S77-1)</f>
        <v>0</v>
      </c>
      <c r="T85" s="541">
        <f>'ProgrBiogas Electricity Fin Anl'!$D$9*T79*(1+'ProgrBiogas Electricity Fin Anl'!$D$10)^(T77-1)</f>
        <v>0</v>
      </c>
      <c r="U85" s="541">
        <f>'ProgrBiogas Electricity Fin Anl'!$D$9*U79*(1+'ProgrBiogas Electricity Fin Anl'!$D$10)^(U77-1)</f>
        <v>0</v>
      </c>
      <c r="V85" s="541">
        <f>'ProgrBiogas Electricity Fin Anl'!$D$9*V79*(1+'ProgrBiogas Electricity Fin Anl'!$D$10)^(V77-1)</f>
        <v>0</v>
      </c>
      <c r="W85" s="541">
        <f>'ProgrBiogas Electricity Fin Anl'!$D$9*W79*(1+'ProgrBiogas Electricity Fin Anl'!$D$10)^(W77-1)</f>
        <v>0</v>
      </c>
      <c r="X85" s="541">
        <f>'ProgrBiogas Electricity Fin Anl'!$D$9*X79*(1+'ProgrBiogas Electricity Fin Anl'!$D$10)^(X77-1)</f>
        <v>0</v>
      </c>
      <c r="Y85" s="541">
        <f>'ProgrBiogas Electricity Fin Anl'!$D$9*Y79*(1+'ProgrBiogas Electricity Fin Anl'!$D$10)^(Y77-1)</f>
        <v>0</v>
      </c>
      <c r="Z85" s="541">
        <f>'ProgrBiogas Electricity Fin Anl'!$D$9*Z79*(1+'ProgrBiogas Electricity Fin Anl'!$D$10)^(Z77-1)</f>
        <v>0</v>
      </c>
      <c r="AA85" s="541">
        <f>'ProgrBiogas Electricity Fin Anl'!$D$9*AA79*(1+'ProgrBiogas Electricity Fin Anl'!$D$10)^(AA77-1)</f>
        <v>0</v>
      </c>
      <c r="AB85" s="541">
        <f>'ProgrBiogas Electricity Fin Anl'!$D$9*AB79*(1+'ProgrBiogas Electricity Fin Anl'!$D$10)^(AB77-1)</f>
        <v>0</v>
      </c>
      <c r="AC85" s="541">
        <f>'ProgrBiogas Electricity Fin Anl'!$D$9*AC79*(1+'ProgrBiogas Electricity Fin Anl'!$D$10)^(AC77-1)</f>
        <v>0</v>
      </c>
      <c r="AD85" s="541">
        <f>'ProgrBiogas Electricity Fin Anl'!$D$9*AD79*(1+'ProgrBiogas Electricity Fin Anl'!$D$10)^(AD77-1)</f>
        <v>0</v>
      </c>
      <c r="AE85" s="541">
        <f>'ProgrBiogas Electricity Fin Anl'!$D$9*AE79*(1+'ProgrBiogas Electricity Fin Anl'!$D$10)^(AE77-1)</f>
        <v>0</v>
      </c>
      <c r="AF85" s="541">
        <f>'ProgrBiogas Electricity Fin Anl'!$D$9*AF79*(1+'ProgrBiogas Electricity Fin Anl'!$D$10)^(AF77-1)</f>
        <v>0</v>
      </c>
      <c r="AG85" s="541">
        <f>'ProgrBiogas Electricity Fin Anl'!$D$9*AG79*(1+'ProgrBiogas Electricity Fin Anl'!$D$10)^(AG77-1)</f>
        <v>0</v>
      </c>
      <c r="AH85" s="541">
        <f>'ProgrBiogas Electricity Fin Anl'!$D$9*AH79*(1+'ProgrBiogas Electricity Fin Anl'!$D$10)^(AH77-1)</f>
        <v>0</v>
      </c>
      <c r="AI85" s="541">
        <f>'ProgrBiogas Electricity Fin Anl'!$D$9*AI79*(1+'ProgrBiogas Electricity Fin Anl'!$D$10)^(AI77-1)</f>
        <v>0</v>
      </c>
      <c r="AJ85" s="541">
        <f>'ProgrBiogas Electricity Fin Anl'!$D$9*AJ79*(1+'ProgrBiogas Electricity Fin Anl'!$D$10)^(AJ77-1)</f>
        <v>0</v>
      </c>
      <c r="AK85" s="541">
        <f>'ProgrBiogas Electricity Fin Anl'!$D$9*AK79*(1+'ProgrBiogas Electricity Fin Anl'!$D$10)^(AK77-1)</f>
        <v>0</v>
      </c>
      <c r="AL85" s="541">
        <f>'ProgrBiogas Electricity Fin Anl'!$D$9*AL79*(1+'ProgrBiogas Electricity Fin Anl'!$D$10)^(AL77-1)</f>
        <v>0</v>
      </c>
      <c r="AM85" s="576">
        <f>'ProgrBiogas Electricity Fin Anl'!$D$9*AM79*(1+'ProgrBiogas Electricity Fin Anl'!$D$10)^(AM77-1)</f>
        <v>0</v>
      </c>
    </row>
    <row r="86" spans="2:39">
      <c r="B86" s="577" t="s">
        <v>419</v>
      </c>
      <c r="C86" s="578" t="s">
        <v>417</v>
      </c>
      <c r="D86" s="579">
        <f>0</f>
        <v>0</v>
      </c>
      <c r="E86" s="580">
        <f>0</f>
        <v>0</v>
      </c>
      <c r="F86" s="580">
        <f>0</f>
        <v>0</v>
      </c>
      <c r="G86" s="580">
        <f>0</f>
        <v>0</v>
      </c>
      <c r="H86" s="580">
        <f>0</f>
        <v>0</v>
      </c>
      <c r="I86" s="580">
        <f>0</f>
        <v>0</v>
      </c>
      <c r="J86" s="580">
        <f>0</f>
        <v>0</v>
      </c>
      <c r="K86" s="580">
        <f>0</f>
        <v>0</v>
      </c>
      <c r="L86" s="580">
        <f>0</f>
        <v>0</v>
      </c>
      <c r="M86" s="580">
        <f>0</f>
        <v>0</v>
      </c>
      <c r="N86" s="580">
        <f>0</f>
        <v>0</v>
      </c>
      <c r="O86" s="580">
        <f>0</f>
        <v>0</v>
      </c>
      <c r="P86" s="580">
        <f>0</f>
        <v>0</v>
      </c>
      <c r="Q86" s="580">
        <f>0</f>
        <v>0</v>
      </c>
      <c r="R86" s="716">
        <f>0</f>
        <v>0</v>
      </c>
      <c r="S86" s="580">
        <f>0</f>
        <v>0</v>
      </c>
      <c r="T86" s="580">
        <f>0</f>
        <v>0</v>
      </c>
      <c r="U86" s="580">
        <f>0</f>
        <v>0</v>
      </c>
      <c r="V86" s="580">
        <f>0</f>
        <v>0</v>
      </c>
      <c r="W86" s="580">
        <f>0</f>
        <v>0</v>
      </c>
      <c r="X86" s="580">
        <f>0</f>
        <v>0</v>
      </c>
      <c r="Y86" s="580">
        <f>0</f>
        <v>0</v>
      </c>
      <c r="Z86" s="580">
        <f>0</f>
        <v>0</v>
      </c>
      <c r="AA86" s="580">
        <f>0</f>
        <v>0</v>
      </c>
      <c r="AB86" s="580">
        <f>0</f>
        <v>0</v>
      </c>
      <c r="AC86" s="580">
        <f>0</f>
        <v>0</v>
      </c>
      <c r="AD86" s="580">
        <f>0</f>
        <v>0</v>
      </c>
      <c r="AE86" s="580">
        <f>0</f>
        <v>0</v>
      </c>
      <c r="AF86" s="580">
        <f>0</f>
        <v>0</v>
      </c>
      <c r="AG86" s="580">
        <f>0</f>
        <v>0</v>
      </c>
      <c r="AH86" s="580">
        <f>0</f>
        <v>0</v>
      </c>
      <c r="AI86" s="580">
        <f>0</f>
        <v>0</v>
      </c>
      <c r="AJ86" s="580">
        <f>0</f>
        <v>0</v>
      </c>
      <c r="AK86" s="580">
        <f>0</f>
        <v>0</v>
      </c>
      <c r="AL86" s="580">
        <f>0</f>
        <v>0</v>
      </c>
      <c r="AM86" s="581">
        <f>0</f>
        <v>0</v>
      </c>
    </row>
    <row r="87" spans="2:39" ht="12.95">
      <c r="B87" s="582" t="s">
        <v>420</v>
      </c>
      <c r="C87" s="583" t="s">
        <v>417</v>
      </c>
      <c r="D87" s="584">
        <f>IF(D77&lt;=$D$38,SUM(D84:D85),0)</f>
        <v>403803.90545489348</v>
      </c>
      <c r="E87" s="585">
        <f t="shared" ref="E87:AM87" si="1">IF(E77&lt;=$D$38,SUM(E84:E85),0)</f>
        <v>403803.90545489348</v>
      </c>
      <c r="F87" s="585">
        <f t="shared" si="1"/>
        <v>403803.90545489348</v>
      </c>
      <c r="G87" s="585">
        <f t="shared" si="1"/>
        <v>403803.90545489348</v>
      </c>
      <c r="H87" s="585">
        <f t="shared" si="1"/>
        <v>403803.90545489348</v>
      </c>
      <c r="I87" s="585">
        <f t="shared" si="1"/>
        <v>403803.90545489348</v>
      </c>
      <c r="J87" s="585">
        <f t="shared" si="1"/>
        <v>403803.90545489348</v>
      </c>
      <c r="K87" s="585">
        <f t="shared" si="1"/>
        <v>403803.90545489348</v>
      </c>
      <c r="L87" s="585">
        <f t="shared" si="1"/>
        <v>403803.90545489348</v>
      </c>
      <c r="M87" s="585">
        <f t="shared" si="1"/>
        <v>403803.90545489348</v>
      </c>
      <c r="N87" s="585">
        <f t="shared" si="1"/>
        <v>403803.90545489348</v>
      </c>
      <c r="O87" s="585">
        <f t="shared" si="1"/>
        <v>403803.90545489348</v>
      </c>
      <c r="P87" s="585">
        <f t="shared" si="1"/>
        <v>403803.90545489348</v>
      </c>
      <c r="Q87" s="585">
        <f t="shared" si="1"/>
        <v>403803.90545489348</v>
      </c>
      <c r="R87" s="585">
        <f t="shared" si="1"/>
        <v>403803.90545489348</v>
      </c>
      <c r="S87" s="585">
        <f t="shared" si="1"/>
        <v>403803.90545489348</v>
      </c>
      <c r="T87" s="585">
        <f t="shared" si="1"/>
        <v>403803.90545489348</v>
      </c>
      <c r="U87" s="585">
        <f t="shared" si="1"/>
        <v>403803.90545489348</v>
      </c>
      <c r="V87" s="585">
        <f t="shared" si="1"/>
        <v>403803.90545489348</v>
      </c>
      <c r="W87" s="585">
        <f t="shared" si="1"/>
        <v>403803.90545489348</v>
      </c>
      <c r="X87" s="585">
        <f t="shared" si="1"/>
        <v>403803.90545489348</v>
      </c>
      <c r="Y87" s="585">
        <f t="shared" si="1"/>
        <v>403803.90545489348</v>
      </c>
      <c r="Z87" s="585">
        <f t="shared" si="1"/>
        <v>403803.90545489348</v>
      </c>
      <c r="AA87" s="585">
        <f t="shared" si="1"/>
        <v>403803.90545489348</v>
      </c>
      <c r="AB87" s="585">
        <f t="shared" si="1"/>
        <v>403803.90545489348</v>
      </c>
      <c r="AC87" s="585">
        <f t="shared" si="1"/>
        <v>1642768.8673553236</v>
      </c>
      <c r="AD87" s="585">
        <f t="shared" si="1"/>
        <v>0</v>
      </c>
      <c r="AE87" s="585">
        <f t="shared" si="1"/>
        <v>0</v>
      </c>
      <c r="AF87" s="585">
        <f t="shared" si="1"/>
        <v>0</v>
      </c>
      <c r="AG87" s="585">
        <f t="shared" si="1"/>
        <v>0</v>
      </c>
      <c r="AH87" s="585">
        <f t="shared" si="1"/>
        <v>0</v>
      </c>
      <c r="AI87" s="585">
        <f t="shared" si="1"/>
        <v>0</v>
      </c>
      <c r="AJ87" s="585">
        <f t="shared" si="1"/>
        <v>0</v>
      </c>
      <c r="AK87" s="585">
        <f t="shared" si="1"/>
        <v>0</v>
      </c>
      <c r="AL87" s="585">
        <f t="shared" si="1"/>
        <v>0</v>
      </c>
      <c r="AM87" s="586">
        <f t="shared" si="1"/>
        <v>0</v>
      </c>
    </row>
    <row r="88" spans="2:39" ht="12.95">
      <c r="B88" s="479"/>
      <c r="C88" s="491"/>
      <c r="D88" s="491"/>
      <c r="E88" s="492"/>
      <c r="F88" s="492"/>
      <c r="G88" s="492"/>
      <c r="H88" s="492"/>
      <c r="I88" s="492"/>
      <c r="J88" s="492"/>
      <c r="K88" s="492"/>
      <c r="L88" s="492"/>
      <c r="M88" s="492"/>
      <c r="N88" s="492"/>
      <c r="O88" s="492"/>
      <c r="P88" s="492"/>
      <c r="Q88" s="492"/>
      <c r="R88" s="493"/>
      <c r="S88" s="492"/>
      <c r="T88" s="492"/>
      <c r="U88" s="492"/>
      <c r="V88" s="492"/>
      <c r="W88" s="492"/>
      <c r="X88" s="492"/>
      <c r="Y88" s="492"/>
      <c r="Z88" s="492"/>
      <c r="AA88" s="492"/>
      <c r="AB88" s="492"/>
      <c r="AC88" s="492"/>
      <c r="AD88" s="492"/>
      <c r="AE88" s="492"/>
      <c r="AF88" s="492"/>
      <c r="AG88" s="492"/>
      <c r="AH88" s="492"/>
      <c r="AI88" s="492"/>
      <c r="AJ88" s="492"/>
      <c r="AK88" s="492"/>
      <c r="AL88" s="492"/>
      <c r="AM88" s="492"/>
    </row>
    <row r="89" spans="2:39" ht="12.95">
      <c r="B89" s="479"/>
      <c r="C89" s="491"/>
      <c r="D89" s="491"/>
      <c r="E89" s="492"/>
      <c r="F89" s="492"/>
      <c r="G89" s="492"/>
      <c r="H89" s="492"/>
      <c r="I89" s="492"/>
      <c r="J89" s="492"/>
      <c r="K89" s="492"/>
      <c r="L89" s="492"/>
      <c r="M89" s="492"/>
      <c r="N89" s="492"/>
      <c r="O89" s="492"/>
      <c r="P89" s="492"/>
      <c r="Q89" s="492"/>
      <c r="R89" s="493"/>
      <c r="S89" s="492"/>
      <c r="T89" s="492"/>
      <c r="U89" s="492"/>
      <c r="V89" s="492"/>
      <c r="W89" s="492"/>
      <c r="X89" s="492"/>
      <c r="Y89" s="492"/>
      <c r="Z89" s="492"/>
      <c r="AA89" s="492"/>
      <c r="AB89" s="492"/>
      <c r="AC89" s="492"/>
      <c r="AD89" s="492"/>
      <c r="AE89" s="492"/>
      <c r="AF89" s="492"/>
      <c r="AG89" s="492"/>
      <c r="AH89" s="492"/>
      <c r="AI89" s="492"/>
      <c r="AJ89" s="492"/>
      <c r="AK89" s="492"/>
      <c r="AL89" s="492"/>
      <c r="AM89" s="492"/>
    </row>
    <row r="90" spans="2:39" ht="12.95">
      <c r="B90" s="565" t="s">
        <v>421</v>
      </c>
      <c r="C90" s="566" t="s">
        <v>364</v>
      </c>
      <c r="D90" s="491"/>
      <c r="E90" s="492"/>
      <c r="F90" s="492"/>
      <c r="G90" s="492"/>
      <c r="H90" s="492"/>
      <c r="I90" s="492"/>
      <c r="J90" s="492"/>
      <c r="K90" s="492"/>
      <c r="L90" s="492"/>
      <c r="M90" s="492"/>
      <c r="N90" s="492"/>
      <c r="O90" s="492"/>
      <c r="P90" s="492"/>
      <c r="Q90" s="492"/>
      <c r="R90" s="493"/>
      <c r="S90" s="492"/>
      <c r="T90" s="492"/>
      <c r="U90" s="492"/>
      <c r="V90" s="492"/>
      <c r="W90" s="492"/>
      <c r="X90" s="492"/>
      <c r="Y90" s="492"/>
      <c r="Z90" s="492"/>
      <c r="AA90" s="492"/>
      <c r="AB90" s="492"/>
      <c r="AC90" s="492"/>
      <c r="AD90" s="492"/>
      <c r="AE90" s="492"/>
      <c r="AF90" s="492"/>
      <c r="AG90" s="492"/>
      <c r="AH90" s="492"/>
      <c r="AI90" s="492"/>
      <c r="AJ90" s="492"/>
      <c r="AK90" s="492"/>
      <c r="AL90" s="492"/>
      <c r="AM90" s="492"/>
    </row>
    <row r="91" spans="2:39" ht="12.95">
      <c r="B91" s="568" t="s">
        <v>422</v>
      </c>
      <c r="C91" s="569" t="s">
        <v>331</v>
      </c>
      <c r="D91" s="587">
        <f>SUM(D84:AB84)</f>
        <v>10095097.636372335</v>
      </c>
      <c r="E91" s="492"/>
      <c r="F91" s="492"/>
      <c r="G91" s="492"/>
      <c r="H91" s="492"/>
      <c r="I91" s="492"/>
      <c r="J91" s="492"/>
      <c r="K91" s="492"/>
      <c r="L91" s="492"/>
      <c r="M91" s="492"/>
      <c r="N91" s="492"/>
      <c r="O91" s="492"/>
      <c r="P91" s="492"/>
      <c r="Q91" s="492"/>
      <c r="R91" s="493"/>
      <c r="S91" s="492"/>
      <c r="T91" s="492"/>
      <c r="U91" s="492"/>
      <c r="V91" s="492"/>
      <c r="W91" s="492"/>
      <c r="X91" s="492"/>
      <c r="Y91" s="492"/>
      <c r="Z91" s="492"/>
      <c r="AA91" s="492"/>
      <c r="AB91" s="492"/>
      <c r="AC91" s="492"/>
      <c r="AD91" s="492"/>
      <c r="AE91" s="492"/>
      <c r="AF91" s="492"/>
      <c r="AG91" s="492"/>
      <c r="AH91" s="492"/>
      <c r="AI91" s="492"/>
      <c r="AJ91" s="492"/>
      <c r="AK91" s="492"/>
      <c r="AL91" s="492"/>
      <c r="AM91" s="492"/>
    </row>
    <row r="92" spans="2:39" ht="12.95">
      <c r="B92" s="577" t="s">
        <v>418</v>
      </c>
      <c r="C92" s="578" t="s">
        <v>331</v>
      </c>
      <c r="D92" s="588">
        <f>SUM(D85:AM85)</f>
        <v>0</v>
      </c>
      <c r="E92" s="492"/>
      <c r="F92" s="492"/>
      <c r="G92" s="492"/>
      <c r="H92" s="492"/>
      <c r="I92" s="492"/>
      <c r="J92" s="492"/>
      <c r="K92" s="492"/>
      <c r="L92" s="492"/>
      <c r="M92" s="492"/>
      <c r="N92" s="492"/>
      <c r="O92" s="492"/>
      <c r="P92" s="492"/>
      <c r="Q92" s="492"/>
      <c r="R92" s="493"/>
      <c r="S92" s="492"/>
      <c r="T92" s="492"/>
      <c r="U92" s="492"/>
      <c r="V92" s="492"/>
      <c r="W92" s="492"/>
      <c r="X92" s="492"/>
      <c r="Y92" s="492"/>
      <c r="Z92" s="492"/>
      <c r="AA92" s="492"/>
      <c r="AB92" s="492"/>
      <c r="AC92" s="492"/>
      <c r="AD92" s="492"/>
      <c r="AE92" s="492"/>
      <c r="AF92" s="492"/>
      <c r="AG92" s="492"/>
      <c r="AH92" s="492"/>
      <c r="AI92" s="492"/>
      <c r="AJ92" s="492"/>
      <c r="AK92" s="492"/>
      <c r="AL92" s="492"/>
      <c r="AM92" s="492"/>
    </row>
    <row r="93" spans="2:39" ht="12.95">
      <c r="B93" s="589" t="s">
        <v>423</v>
      </c>
      <c r="C93" s="583" t="s">
        <v>331</v>
      </c>
      <c r="D93" s="590">
        <f>SUM(D91:D92)</f>
        <v>10095097.636372335</v>
      </c>
      <c r="E93" s="492"/>
      <c r="F93" s="492"/>
      <c r="G93" s="492"/>
      <c r="H93" s="492"/>
      <c r="I93" s="492"/>
      <c r="J93" s="492"/>
      <c r="K93" s="492"/>
      <c r="L93" s="492"/>
      <c r="M93" s="492"/>
      <c r="N93" s="492"/>
      <c r="O93" s="492"/>
      <c r="P93" s="492"/>
      <c r="Q93" s="492"/>
      <c r="R93" s="493"/>
      <c r="S93" s="492"/>
      <c r="T93" s="492"/>
      <c r="U93" s="492"/>
      <c r="V93" s="492"/>
      <c r="W93" s="492"/>
      <c r="X93" s="492"/>
      <c r="Y93" s="492"/>
      <c r="Z93" s="492"/>
      <c r="AA93" s="492"/>
      <c r="AB93" s="492"/>
      <c r="AC93" s="492"/>
      <c r="AD93" s="492"/>
      <c r="AE93" s="492"/>
      <c r="AF93" s="492"/>
      <c r="AG93" s="492"/>
      <c r="AH93" s="492"/>
      <c r="AI93" s="492"/>
      <c r="AJ93" s="492"/>
      <c r="AK93" s="492"/>
      <c r="AL93" s="492"/>
      <c r="AM93" s="492"/>
    </row>
    <row r="94" spans="2:39">
      <c r="B94" s="478"/>
      <c r="C94" s="485"/>
      <c r="D94" s="485"/>
      <c r="E94" s="489"/>
      <c r="F94" s="489"/>
      <c r="G94" s="489"/>
      <c r="H94" s="489"/>
      <c r="I94" s="489"/>
      <c r="J94" s="489"/>
      <c r="K94" s="489"/>
      <c r="L94" s="489"/>
      <c r="M94" s="489"/>
      <c r="N94" s="489"/>
      <c r="O94" s="489"/>
      <c r="P94" s="489"/>
      <c r="Q94" s="489"/>
      <c r="R94" s="490"/>
      <c r="S94" s="489"/>
      <c r="T94" s="489"/>
      <c r="U94" s="489"/>
      <c r="V94" s="489"/>
      <c r="W94" s="489"/>
      <c r="X94" s="489"/>
      <c r="Y94" s="489"/>
      <c r="Z94" s="489"/>
      <c r="AA94" s="489"/>
      <c r="AB94" s="489"/>
      <c r="AC94" s="489"/>
      <c r="AD94" s="489"/>
      <c r="AE94" s="489"/>
      <c r="AF94" s="489"/>
      <c r="AG94" s="489"/>
      <c r="AH94" s="489"/>
      <c r="AI94" s="489"/>
      <c r="AJ94" s="489"/>
      <c r="AK94" s="489"/>
      <c r="AL94" s="489"/>
      <c r="AM94" s="489"/>
    </row>
    <row r="95" spans="2:39" ht="12.95">
      <c r="B95" s="565" t="s">
        <v>424</v>
      </c>
      <c r="C95" s="566" t="s">
        <v>364</v>
      </c>
      <c r="D95" s="591">
        <v>1</v>
      </c>
      <c r="E95" s="559">
        <v>2</v>
      </c>
      <c r="F95" s="559">
        <v>3</v>
      </c>
      <c r="G95" s="559">
        <v>4</v>
      </c>
      <c r="H95" s="559">
        <v>5</v>
      </c>
      <c r="I95" s="559">
        <v>6</v>
      </c>
      <c r="J95" s="559">
        <v>7</v>
      </c>
      <c r="K95" s="559">
        <v>8</v>
      </c>
      <c r="L95" s="559">
        <v>9</v>
      </c>
      <c r="M95" s="560">
        <v>10</v>
      </c>
      <c r="N95" s="489"/>
      <c r="O95" s="489"/>
      <c r="P95" s="489"/>
      <c r="Q95" s="489"/>
      <c r="R95" s="490"/>
      <c r="S95" s="489"/>
      <c r="T95" s="489"/>
      <c r="U95" s="489"/>
      <c r="V95" s="489"/>
      <c r="W95" s="489"/>
      <c r="X95" s="489"/>
      <c r="Y95" s="489"/>
      <c r="Z95" s="489"/>
      <c r="AA95" s="489"/>
      <c r="AB95" s="489"/>
      <c r="AC95" s="489"/>
      <c r="AD95" s="489"/>
      <c r="AE95" s="489"/>
      <c r="AF95" s="489"/>
      <c r="AG95" s="489"/>
      <c r="AH95" s="489"/>
      <c r="AI95" s="489"/>
      <c r="AJ95" s="489"/>
      <c r="AK95" s="489"/>
      <c r="AL95" s="489"/>
      <c r="AM95" s="489"/>
    </row>
    <row r="96" spans="2:39" ht="12.95">
      <c r="B96" s="565" t="s">
        <v>425</v>
      </c>
      <c r="C96" s="592" t="s">
        <v>67</v>
      </c>
      <c r="D96" s="593">
        <v>1</v>
      </c>
      <c r="E96" s="489"/>
      <c r="F96" s="489"/>
      <c r="G96" s="489"/>
      <c r="H96" s="489"/>
      <c r="I96" s="489"/>
      <c r="J96" s="489"/>
      <c r="K96" s="489"/>
      <c r="L96" s="489"/>
      <c r="M96" s="489"/>
      <c r="N96" s="489"/>
      <c r="O96" s="489"/>
      <c r="P96" s="489"/>
      <c r="Q96" s="489"/>
      <c r="R96" s="490"/>
      <c r="S96" s="489"/>
      <c r="T96" s="489"/>
      <c r="U96" s="489"/>
      <c r="V96" s="489"/>
      <c r="W96" s="489"/>
      <c r="X96" s="489"/>
      <c r="Y96" s="489"/>
      <c r="Z96" s="489"/>
      <c r="AA96" s="489"/>
      <c r="AB96" s="489"/>
      <c r="AC96" s="489"/>
      <c r="AD96" s="489"/>
      <c r="AE96" s="489"/>
      <c r="AF96" s="489"/>
      <c r="AG96" s="489"/>
      <c r="AH96" s="489"/>
      <c r="AI96" s="489"/>
      <c r="AJ96" s="489"/>
      <c r="AK96" s="489"/>
      <c r="AL96" s="489"/>
      <c r="AM96" s="489"/>
    </row>
    <row r="97" spans="2:39">
      <c r="B97" s="561" t="s">
        <v>426</v>
      </c>
      <c r="C97" s="594" t="s">
        <v>417</v>
      </c>
      <c r="D97" s="595">
        <f>IF($D$96&gt;=D95,$D$28/$D$96,0)</f>
        <v>26326129.807688385</v>
      </c>
      <c r="E97" s="596">
        <f t="shared" ref="E97:M97" si="2">IF($D$96&gt;=E95,$D$28/$D$96,0)</f>
        <v>0</v>
      </c>
      <c r="F97" s="596">
        <f t="shared" si="2"/>
        <v>0</v>
      </c>
      <c r="G97" s="596">
        <f t="shared" si="2"/>
        <v>0</v>
      </c>
      <c r="H97" s="596">
        <f t="shared" si="2"/>
        <v>0</v>
      </c>
      <c r="I97" s="596">
        <f t="shared" si="2"/>
        <v>0</v>
      </c>
      <c r="J97" s="596">
        <f t="shared" si="2"/>
        <v>0</v>
      </c>
      <c r="K97" s="596">
        <f t="shared" si="2"/>
        <v>0</v>
      </c>
      <c r="L97" s="596">
        <f t="shared" si="2"/>
        <v>0</v>
      </c>
      <c r="M97" s="597">
        <f t="shared" si="2"/>
        <v>0</v>
      </c>
      <c r="N97" s="489"/>
      <c r="O97" s="489"/>
      <c r="P97" s="489"/>
      <c r="Q97" s="489"/>
      <c r="R97" s="490"/>
      <c r="S97" s="489"/>
      <c r="T97" s="489"/>
      <c r="U97" s="489"/>
      <c r="V97" s="489"/>
      <c r="W97" s="489"/>
      <c r="X97" s="489"/>
      <c r="Y97" s="489"/>
      <c r="Z97" s="489"/>
      <c r="AA97" s="489"/>
      <c r="AB97" s="489"/>
      <c r="AC97" s="489"/>
      <c r="AD97" s="489"/>
      <c r="AE97" s="489"/>
      <c r="AF97" s="489"/>
      <c r="AG97" s="489"/>
      <c r="AH97" s="489"/>
      <c r="AI97" s="489"/>
      <c r="AJ97" s="489"/>
      <c r="AK97" s="489"/>
      <c r="AL97" s="489"/>
      <c r="AM97" s="489"/>
    </row>
    <row r="98" spans="2:39">
      <c r="B98" s="478"/>
      <c r="C98" s="485"/>
      <c r="D98" s="485"/>
      <c r="E98" s="489"/>
      <c r="F98" s="489"/>
      <c r="G98" s="489"/>
      <c r="H98" s="489"/>
      <c r="I98" s="489"/>
      <c r="J98" s="489"/>
      <c r="K98" s="489"/>
      <c r="L98" s="489"/>
      <c r="M98" s="489"/>
      <c r="N98" s="489"/>
      <c r="O98" s="489"/>
      <c r="P98" s="489"/>
      <c r="Q98" s="489"/>
      <c r="R98" s="490"/>
      <c r="S98" s="489"/>
      <c r="T98" s="489"/>
      <c r="U98" s="489"/>
      <c r="V98" s="489"/>
      <c r="W98" s="489"/>
      <c r="X98" s="489"/>
      <c r="Y98" s="489"/>
      <c r="Z98" s="489"/>
      <c r="AA98" s="489"/>
      <c r="AB98" s="489"/>
      <c r="AC98" s="489"/>
      <c r="AD98" s="489"/>
      <c r="AE98" s="489"/>
      <c r="AF98" s="489"/>
      <c r="AG98" s="489"/>
      <c r="AH98" s="489"/>
      <c r="AI98" s="489"/>
      <c r="AJ98" s="489"/>
      <c r="AK98" s="489"/>
      <c r="AL98" s="489"/>
      <c r="AM98" s="489"/>
    </row>
    <row r="99" spans="2:39" ht="12.95">
      <c r="B99" s="565" t="s">
        <v>427</v>
      </c>
      <c r="C99" s="592" t="s">
        <v>364</v>
      </c>
      <c r="D99" s="485"/>
      <c r="E99" s="489"/>
      <c r="F99" s="489"/>
      <c r="G99" s="489"/>
      <c r="H99" s="489"/>
      <c r="I99" s="489"/>
      <c r="J99" s="489"/>
      <c r="K99" s="489"/>
      <c r="L99" s="489"/>
      <c r="M99" s="489"/>
      <c r="N99" s="489"/>
      <c r="O99" s="489"/>
      <c r="P99" s="489"/>
      <c r="Q99" s="489"/>
      <c r="R99" s="490"/>
      <c r="S99" s="489"/>
      <c r="T99" s="489"/>
      <c r="U99" s="489"/>
      <c r="V99" s="489"/>
      <c r="W99" s="489"/>
      <c r="X99" s="489"/>
      <c r="Y99" s="489"/>
      <c r="Z99" s="489"/>
      <c r="AA99" s="489"/>
      <c r="AB99" s="489"/>
      <c r="AC99" s="489"/>
      <c r="AD99" s="489"/>
      <c r="AE99" s="489"/>
      <c r="AF99" s="489"/>
      <c r="AG99" s="489"/>
      <c r="AH99" s="489"/>
      <c r="AI99" s="489"/>
      <c r="AJ99" s="489"/>
      <c r="AK99" s="489"/>
      <c r="AL99" s="489"/>
      <c r="AM99" s="489"/>
    </row>
    <row r="100" spans="2:39">
      <c r="B100" s="568" t="s">
        <v>428</v>
      </c>
      <c r="C100" s="574" t="s">
        <v>417</v>
      </c>
      <c r="D100" s="570"/>
      <c r="E100" s="571">
        <f>IF(E77&lt;=$D$37,-IPMT($D$36,E77,$D$37,'ProgrBiogas Electricity Fin Anl'!$D$28*$D$35),0)</f>
        <v>0</v>
      </c>
      <c r="F100" s="571">
        <f>IF(F77&lt;=$D$37,-IPMT($D$36,F77,$D$37,'ProgrBiogas Electricity Fin Anl'!$D$28*$D$35),0)</f>
        <v>0</v>
      </c>
      <c r="G100" s="571">
        <f>IF(G77&lt;=$D$37,-IPMT($D$36,G77,$D$37,'ProgrBiogas Electricity Fin Anl'!$D$28*$D$35),0)</f>
        <v>0</v>
      </c>
      <c r="H100" s="571">
        <f>IF(H77&lt;=$D$37,-IPMT($D$36,H77,$D$37,'ProgrBiogas Electricity Fin Anl'!$D$28*$D$35),0)</f>
        <v>0</v>
      </c>
      <c r="I100" s="571">
        <f>IF(I77&lt;=$D$37,-IPMT($D$36,I77,$D$37,'ProgrBiogas Electricity Fin Anl'!$D$28*$D$35),0)</f>
        <v>0</v>
      </c>
      <c r="J100" s="571">
        <f>IF(J77&lt;=$D$37,-IPMT($D$36,J77,$D$37,'ProgrBiogas Electricity Fin Anl'!$D$28*$D$35),0)</f>
        <v>0</v>
      </c>
      <c r="K100" s="571">
        <f>IF(K77&lt;=$D$37,-IPMT($D$36,K77,$D$37,'ProgrBiogas Electricity Fin Anl'!$D$28*$D$35),0)</f>
        <v>0</v>
      </c>
      <c r="L100" s="571">
        <f>IF(L77&lt;=$D$37,-IPMT($D$36,L77,$D$37,'ProgrBiogas Electricity Fin Anl'!$D$28*$D$35),0)</f>
        <v>0</v>
      </c>
      <c r="M100" s="571">
        <f>IF(M77&lt;=$D$37,-IPMT($D$36,M77,$D$37,'ProgrBiogas Electricity Fin Anl'!$D$28*$D$35),0)</f>
        <v>0</v>
      </c>
      <c r="N100" s="571">
        <f>IF(N77&lt;=$D$37,-IPMT($D$36,N77,$D$37,'ProgrBiogas Electricity Fin Anl'!$D$28*$D$35),0)</f>
        <v>0</v>
      </c>
      <c r="O100" s="571">
        <f>IF(O77&lt;=$D$37,-IPMT($D$36,O77,$D$37,'ProgrBiogas Electricity Fin Anl'!$D$28*$D$35),0)</f>
        <v>0</v>
      </c>
      <c r="P100" s="571">
        <f>IF(P77&lt;=$D$37,-IPMT($D$36,P77,$D$37,'ProgrBiogas Electricity Fin Anl'!$D$28*$D$35),0)</f>
        <v>0</v>
      </c>
      <c r="Q100" s="571">
        <f>IF(Q77&lt;=$D$37,-IPMT($D$36,Q77,$D$37,'ProgrBiogas Electricity Fin Anl'!$D$28*$D$35),0)</f>
        <v>0</v>
      </c>
      <c r="R100" s="715">
        <f>IF(R77&lt;=$D$37,-IPMT($D$36,R77,$D$37,'ProgrBiogas Electricity Fin Anl'!$D$28*$D$35),0)</f>
        <v>0</v>
      </c>
      <c r="S100" s="571">
        <f>IF(S77&lt;=$D$37,-IPMT($D$36,S77,$D$37,'ProgrBiogas Electricity Fin Anl'!$D$28*$D$35),0)</f>
        <v>0</v>
      </c>
      <c r="T100" s="571">
        <f>IF(T77&lt;=$D$37,-IPMT($D$36,T77,$D$37,'ProgrBiogas Electricity Fin Anl'!$D$28*$D$35),0)</f>
        <v>0</v>
      </c>
      <c r="U100" s="571">
        <f>IF(U77&lt;=$D$37,-IPMT($D$36,U77,$D$37,'ProgrBiogas Electricity Fin Anl'!$D$28*$D$35),0)</f>
        <v>0</v>
      </c>
      <c r="V100" s="571">
        <f>IF(V77&lt;=$D$37,-IPMT($D$36,V77,$D$37,'ProgrBiogas Electricity Fin Anl'!$D$28*$D$35),0)</f>
        <v>0</v>
      </c>
      <c r="W100" s="571">
        <f>IF(W77&lt;=$D$37,-IPMT($D$36,W77,$D$37,'ProgrBiogas Electricity Fin Anl'!$D$28*$D$35),0)</f>
        <v>0</v>
      </c>
      <c r="X100" s="571">
        <f>IF(X77&lt;=$D$37,-IPMT($D$36,X77,$D$37,'ProgrBiogas Electricity Fin Anl'!$D$28*$D$35),0)</f>
        <v>0</v>
      </c>
      <c r="Y100" s="571">
        <f>IF(Y77&lt;=$D$37,-IPMT($D$36,Y77,$D$37,'ProgrBiogas Electricity Fin Anl'!$D$28*$D$35),0)</f>
        <v>0</v>
      </c>
      <c r="Z100" s="571">
        <f>IF(Z77&lt;=$D$37,-IPMT($D$36,Z77,$D$37,'ProgrBiogas Electricity Fin Anl'!$D$28*$D$35),0)</f>
        <v>0</v>
      </c>
      <c r="AA100" s="571">
        <f>IF(AA77&lt;=$D$37,-IPMT($D$36,AA77,$D$37,'ProgrBiogas Electricity Fin Anl'!$D$28*$D$35),0)</f>
        <v>0</v>
      </c>
      <c r="AB100" s="571">
        <f>IF(AB77&lt;=$D$37,-IPMT($D$36,AB77,$D$37,'ProgrBiogas Electricity Fin Anl'!$D$28*$D$35),0)</f>
        <v>0</v>
      </c>
      <c r="AC100" s="571">
        <f>IF(AC77&lt;=$D$37,-IPMT($D$36,AC77,$D$37,'ProgrBiogas Electricity Fin Anl'!$D$28*$D$35),0)</f>
        <v>0</v>
      </c>
      <c r="AD100" s="571">
        <f>IF(AD77&lt;=$D$37,-IPMT($D$36,AD77,$D$37,'ProgrBiogas Electricity Fin Anl'!$D$28*$D$35),0)</f>
        <v>0</v>
      </c>
      <c r="AE100" s="571">
        <f>IF(AE77&lt;=$D$37,-IPMT($D$36,AE77,$D$37,'ProgrBiogas Electricity Fin Anl'!$D$28*$D$35),0)</f>
        <v>0</v>
      </c>
      <c r="AF100" s="571">
        <f>IF(AF77&lt;=$D$37,-IPMT($D$36,AF77,$D$37,'ProgrBiogas Electricity Fin Anl'!$D$28*$D$35),0)</f>
        <v>0</v>
      </c>
      <c r="AG100" s="571">
        <f>IF(AG77&lt;=$D$37,-IPMT($D$36,AG77,$D$37,'ProgrBiogas Electricity Fin Anl'!$D$28*$D$35),0)</f>
        <v>0</v>
      </c>
      <c r="AH100" s="571">
        <f>IF(AH77&lt;=$D$37,-IPMT($D$36,AH77,$D$37,'ProgrBiogas Electricity Fin Anl'!$D$28*$D$35),0)</f>
        <v>0</v>
      </c>
      <c r="AI100" s="571">
        <f>IF(AI77&lt;=$D$37,-IPMT($D$36,AI77,$D$37,'ProgrBiogas Electricity Fin Anl'!$D$28*$D$35),0)</f>
        <v>0</v>
      </c>
      <c r="AJ100" s="571">
        <f>IF(AJ77&lt;=$D$37,-IPMT($D$36,AJ77,$D$37,'ProgrBiogas Electricity Fin Anl'!$D$28*$D$35),0)</f>
        <v>0</v>
      </c>
      <c r="AK100" s="571">
        <f>IF(AK77&lt;=$D$37,-IPMT($D$36,AK77,$D$37,'ProgrBiogas Electricity Fin Anl'!$D$28*$D$35),0)</f>
        <v>0</v>
      </c>
      <c r="AL100" s="571">
        <f>IF(AL77&lt;=$D$37,-IPMT($D$36,AL77,$D$37,'ProgrBiogas Electricity Fin Anl'!$D$28*$D$35),0)</f>
        <v>0</v>
      </c>
      <c r="AM100" s="572">
        <f>IF(AM77&lt;=$D$37,-IPMT($D$36,AM77,$D$37,'ProgrBiogas Electricity Fin Anl'!$D$28*$D$35),0)</f>
        <v>0</v>
      </c>
    </row>
    <row r="101" spans="2:39">
      <c r="B101" s="573" t="s">
        <v>429</v>
      </c>
      <c r="C101" s="578" t="s">
        <v>417</v>
      </c>
      <c r="D101" s="579"/>
      <c r="E101" s="580">
        <f>IF(E77&lt;=$D$37,-PPMT($D$36,E77,$D$37,'ProgrBiogas Electricity Fin Anl'!$D$28*$D$35),0)</f>
        <v>1053045.1923075353</v>
      </c>
      <c r="F101" s="580">
        <f>IF(F77&lt;=$D$37,-PPMT($D$36,F77,$D$37,'ProgrBiogas Electricity Fin Anl'!$D$28*$D$35),0)</f>
        <v>1053045.1923075353</v>
      </c>
      <c r="G101" s="580">
        <f>IF(G77&lt;=$D$37,-PPMT($D$36,G77,$D$37,'ProgrBiogas Electricity Fin Anl'!$D$28*$D$35),0)</f>
        <v>1053045.1923075353</v>
      </c>
      <c r="H101" s="580">
        <f>IF(H77&lt;=$D$37,-PPMT($D$36,H77,$D$37,'ProgrBiogas Electricity Fin Anl'!$D$28*$D$35),0)</f>
        <v>1053045.1923075353</v>
      </c>
      <c r="I101" s="580">
        <f>IF(I77&lt;=$D$37,-PPMT($D$36,I77,$D$37,'ProgrBiogas Electricity Fin Anl'!$D$28*$D$35),0)</f>
        <v>1053045.1923075353</v>
      </c>
      <c r="J101" s="580">
        <f>IF(J77&lt;=$D$37,-PPMT($D$36,J77,$D$37,'ProgrBiogas Electricity Fin Anl'!$D$28*$D$35),0)</f>
        <v>1053045.1923075353</v>
      </c>
      <c r="K101" s="580">
        <f>IF(K77&lt;=$D$37,-PPMT($D$36,K77,$D$37,'ProgrBiogas Electricity Fin Anl'!$D$28*$D$35),0)</f>
        <v>1053045.1923075353</v>
      </c>
      <c r="L101" s="580">
        <f>IF(L77&lt;=$D$37,-PPMT($D$36,L77,$D$37,'ProgrBiogas Electricity Fin Anl'!$D$28*$D$35),0)</f>
        <v>1053045.1923075353</v>
      </c>
      <c r="M101" s="580">
        <f>IF(M77&lt;=$D$37,-PPMT($D$36,M77,$D$37,'ProgrBiogas Electricity Fin Anl'!$D$28*$D$35),0)</f>
        <v>1053045.1923075353</v>
      </c>
      <c r="N101" s="580">
        <f>IF(N77&lt;=$D$37,-PPMT($D$36,N77,$D$37,'ProgrBiogas Electricity Fin Anl'!$D$28*$D$35),0)</f>
        <v>1053045.1923075353</v>
      </c>
      <c r="O101" s="580">
        <f>IF(O77&lt;=$D$37,-PPMT($D$36,O77,$D$37,'ProgrBiogas Electricity Fin Anl'!$D$28*$D$35),0)</f>
        <v>1053045.1923075353</v>
      </c>
      <c r="P101" s="580">
        <f>IF(P77&lt;=$D$37,-PPMT($D$36,P77,$D$37,'ProgrBiogas Electricity Fin Anl'!$D$28*$D$35),0)</f>
        <v>1053045.1923075353</v>
      </c>
      <c r="Q101" s="580">
        <f>IF(Q77&lt;=$D$37,-PPMT($D$36,Q77,$D$37,'ProgrBiogas Electricity Fin Anl'!$D$28*$D$35),0)</f>
        <v>1053045.1923075353</v>
      </c>
      <c r="R101" s="716">
        <f>IF(R77&lt;=$D$37,-PPMT($D$36,R77,$D$37,'ProgrBiogas Electricity Fin Anl'!$D$28*$D$35),0)</f>
        <v>1053045.1923075353</v>
      </c>
      <c r="S101" s="580">
        <f>IF(S77&lt;=$D$37,-PPMT($D$36,S77,$D$37,'ProgrBiogas Electricity Fin Anl'!$D$28*$D$35),0)</f>
        <v>1053045.1923075353</v>
      </c>
      <c r="T101" s="580">
        <f>IF(T77&lt;=$D$37,-PPMT($D$36,T77,$D$37,'ProgrBiogas Electricity Fin Anl'!$D$28*$D$35),0)</f>
        <v>1053045.1923075353</v>
      </c>
      <c r="U101" s="580">
        <f>IF(U77&lt;=$D$37,-PPMT($D$36,U77,$D$37,'ProgrBiogas Electricity Fin Anl'!$D$28*$D$35),0)</f>
        <v>1053045.1923075353</v>
      </c>
      <c r="V101" s="580">
        <f>IF(V77&lt;=$D$37,-PPMT($D$36,V77,$D$37,'ProgrBiogas Electricity Fin Anl'!$D$28*$D$35),0)</f>
        <v>1053045.1923075353</v>
      </c>
      <c r="W101" s="580">
        <f>IF(W77&lt;=$D$37,-PPMT($D$36,W77,$D$37,'ProgrBiogas Electricity Fin Anl'!$D$28*$D$35),0)</f>
        <v>1053045.1923075353</v>
      </c>
      <c r="X101" s="580">
        <f>IF(X77&lt;=$D$37,-PPMT($D$36,X77,$D$37,'ProgrBiogas Electricity Fin Anl'!$D$28*$D$35),0)</f>
        <v>1053045.1923075353</v>
      </c>
      <c r="Y101" s="580">
        <f>IF(Y77&lt;=$D$37,-PPMT($D$36,Y77,$D$37,'ProgrBiogas Electricity Fin Anl'!$D$28*$D$35),0)</f>
        <v>1053045.1923075353</v>
      </c>
      <c r="Z101" s="580">
        <f>IF(Z77&lt;=$D$37,-PPMT($D$36,Z77,$D$37,'ProgrBiogas Electricity Fin Anl'!$D$28*$D$35),0)</f>
        <v>1053045.1923075353</v>
      </c>
      <c r="AA101" s="580">
        <f>IF(AA77&lt;=$D$37,-PPMT($D$36,AA77,$D$37,'ProgrBiogas Electricity Fin Anl'!$D$28*$D$35),0)</f>
        <v>1053045.1923075353</v>
      </c>
      <c r="AB101" s="580">
        <f>IF(AB77&lt;=$D$37,-PPMT($D$36,AB77,$D$37,'ProgrBiogas Electricity Fin Anl'!$D$28*$D$35),0)</f>
        <v>1053045.1923075353</v>
      </c>
      <c r="AC101" s="580">
        <f>IF(AC77&lt;=$D$37,-PPMT($D$36,AC77,$D$37,'ProgrBiogas Electricity Fin Anl'!$D$28*$D$35),0)</f>
        <v>1053045.1923075353</v>
      </c>
      <c r="AD101" s="580">
        <f>IF(AD77&lt;=$D$37,-PPMT($D$36,AD77,$D$37,'ProgrBiogas Electricity Fin Anl'!$D$28*$D$35),0)</f>
        <v>0</v>
      </c>
      <c r="AE101" s="580">
        <f>IF(AE77&lt;=$D$37,-PPMT($D$36,AE77,$D$37,'ProgrBiogas Electricity Fin Anl'!$D$28*$D$35),0)</f>
        <v>0</v>
      </c>
      <c r="AF101" s="580">
        <f>IF(AF77&lt;=$D$37,-PPMT($D$36,AF77,$D$37,'ProgrBiogas Electricity Fin Anl'!$D$28*$D$35),0)</f>
        <v>0</v>
      </c>
      <c r="AG101" s="580">
        <f>IF(AG77&lt;=$D$37,-PPMT($D$36,AG77,$D$37,'ProgrBiogas Electricity Fin Anl'!$D$28*$D$35),0)</f>
        <v>0</v>
      </c>
      <c r="AH101" s="580">
        <f>IF(AH77&lt;=$D$37,-PPMT($D$36,AH77,$D$37,'ProgrBiogas Electricity Fin Anl'!$D$28*$D$35),0)</f>
        <v>0</v>
      </c>
      <c r="AI101" s="580">
        <f>IF(AI77&lt;=$D$37,-PPMT($D$36,AI77,$D$37,'ProgrBiogas Electricity Fin Anl'!$D$28*$D$35),0)</f>
        <v>0</v>
      </c>
      <c r="AJ101" s="580">
        <f>IF(AJ77&lt;=$D$37,-PPMT($D$36,AJ77,$D$37,'ProgrBiogas Electricity Fin Anl'!$D$28*$D$35),0)</f>
        <v>0</v>
      </c>
      <c r="AK101" s="580">
        <f>IF(AK77&lt;=$D$37,-PPMT($D$36,AK77,$D$37,'ProgrBiogas Electricity Fin Anl'!$D$28*$D$35),0)</f>
        <v>0</v>
      </c>
      <c r="AL101" s="580">
        <f>IF(AL77&lt;=$D$37,-PPMT($D$36,AL77,$D$37,'ProgrBiogas Electricity Fin Anl'!$D$28*$D$35),0)</f>
        <v>0</v>
      </c>
      <c r="AM101" s="581">
        <f>IF(AM77&lt;=$D$37,-PPMT($D$36,AM77,$D$37,'ProgrBiogas Electricity Fin Anl'!$D$28*$D$35),0)</f>
        <v>0</v>
      </c>
    </row>
    <row r="102" spans="2:39" ht="12.95">
      <c r="B102" s="598" t="s">
        <v>430</v>
      </c>
      <c r="C102" s="583" t="s">
        <v>417</v>
      </c>
      <c r="D102" s="599">
        <f>D97</f>
        <v>26326129.807688385</v>
      </c>
      <c r="E102" s="600">
        <f>SUM(E100:E101)+E97</f>
        <v>1053045.1923075353</v>
      </c>
      <c r="F102" s="600">
        <f t="shared" ref="F102:M102" si="3">SUM(F100:F101)+F97</f>
        <v>1053045.1923075353</v>
      </c>
      <c r="G102" s="600">
        <f t="shared" si="3"/>
        <v>1053045.1923075353</v>
      </c>
      <c r="H102" s="600">
        <f t="shared" si="3"/>
        <v>1053045.1923075353</v>
      </c>
      <c r="I102" s="600">
        <f t="shared" si="3"/>
        <v>1053045.1923075353</v>
      </c>
      <c r="J102" s="600">
        <f t="shared" si="3"/>
        <v>1053045.1923075353</v>
      </c>
      <c r="K102" s="600">
        <f t="shared" si="3"/>
        <v>1053045.1923075353</v>
      </c>
      <c r="L102" s="600">
        <f t="shared" si="3"/>
        <v>1053045.1923075353</v>
      </c>
      <c r="M102" s="600">
        <f t="shared" si="3"/>
        <v>1053045.1923075353</v>
      </c>
      <c r="N102" s="600">
        <f>SUM(N100:N101)</f>
        <v>1053045.1923075353</v>
      </c>
      <c r="O102" s="600">
        <f t="shared" ref="O102:AM102" si="4">SUM(O100:O101)</f>
        <v>1053045.1923075353</v>
      </c>
      <c r="P102" s="600">
        <f t="shared" si="4"/>
        <v>1053045.1923075353</v>
      </c>
      <c r="Q102" s="600">
        <f t="shared" si="4"/>
        <v>1053045.1923075353</v>
      </c>
      <c r="R102" s="600">
        <f t="shared" si="4"/>
        <v>1053045.1923075353</v>
      </c>
      <c r="S102" s="600">
        <f t="shared" si="4"/>
        <v>1053045.1923075353</v>
      </c>
      <c r="T102" s="600">
        <f t="shared" si="4"/>
        <v>1053045.1923075353</v>
      </c>
      <c r="U102" s="600">
        <f t="shared" si="4"/>
        <v>1053045.1923075353</v>
      </c>
      <c r="V102" s="600">
        <f t="shared" si="4"/>
        <v>1053045.1923075353</v>
      </c>
      <c r="W102" s="600">
        <f t="shared" si="4"/>
        <v>1053045.1923075353</v>
      </c>
      <c r="X102" s="600">
        <f t="shared" si="4"/>
        <v>1053045.1923075353</v>
      </c>
      <c r="Y102" s="600">
        <f t="shared" si="4"/>
        <v>1053045.1923075353</v>
      </c>
      <c r="Z102" s="600">
        <f t="shared" si="4"/>
        <v>1053045.1923075353</v>
      </c>
      <c r="AA102" s="600">
        <f t="shared" si="4"/>
        <v>1053045.1923075353</v>
      </c>
      <c r="AB102" s="600">
        <f t="shared" si="4"/>
        <v>1053045.1923075353</v>
      </c>
      <c r="AC102" s="600">
        <f t="shared" si="4"/>
        <v>1053045.1923075353</v>
      </c>
      <c r="AD102" s="600">
        <f t="shared" si="4"/>
        <v>0</v>
      </c>
      <c r="AE102" s="600">
        <f t="shared" si="4"/>
        <v>0</v>
      </c>
      <c r="AF102" s="600">
        <f t="shared" si="4"/>
        <v>0</v>
      </c>
      <c r="AG102" s="600">
        <f t="shared" si="4"/>
        <v>0</v>
      </c>
      <c r="AH102" s="600">
        <f t="shared" si="4"/>
        <v>0</v>
      </c>
      <c r="AI102" s="600">
        <f t="shared" si="4"/>
        <v>0</v>
      </c>
      <c r="AJ102" s="600">
        <f t="shared" si="4"/>
        <v>0</v>
      </c>
      <c r="AK102" s="600">
        <f t="shared" si="4"/>
        <v>0</v>
      </c>
      <c r="AL102" s="600">
        <f t="shared" si="4"/>
        <v>0</v>
      </c>
      <c r="AM102" s="601">
        <f t="shared" si="4"/>
        <v>0</v>
      </c>
    </row>
    <row r="103" spans="2:39" ht="12.95">
      <c r="B103" s="479"/>
      <c r="C103" s="479"/>
      <c r="D103" s="494"/>
      <c r="E103" s="494"/>
      <c r="F103" s="494"/>
      <c r="G103" s="494"/>
      <c r="H103" s="494"/>
      <c r="I103" s="494"/>
      <c r="J103" s="494"/>
      <c r="K103" s="494"/>
      <c r="L103" s="494"/>
      <c r="M103" s="494"/>
      <c r="N103" s="494"/>
      <c r="O103" s="494"/>
      <c r="P103" s="494"/>
      <c r="Q103" s="494"/>
      <c r="R103" s="494"/>
      <c r="S103" s="494"/>
      <c r="T103" s="494"/>
      <c r="U103" s="494"/>
      <c r="V103" s="494"/>
      <c r="W103" s="494"/>
      <c r="X103" s="494"/>
      <c r="Y103" s="494"/>
      <c r="Z103" s="494"/>
      <c r="AA103" s="494"/>
      <c r="AB103" s="494"/>
      <c r="AC103" s="494"/>
      <c r="AD103" s="494"/>
      <c r="AE103" s="494"/>
      <c r="AF103" s="494"/>
      <c r="AG103" s="494"/>
      <c r="AH103" s="494"/>
      <c r="AI103" s="494"/>
      <c r="AJ103" s="494"/>
      <c r="AK103" s="494"/>
      <c r="AL103" s="494"/>
      <c r="AM103" s="494"/>
    </row>
    <row r="104" spans="2:39" ht="12.95">
      <c r="B104" s="598" t="s">
        <v>431</v>
      </c>
      <c r="C104" s="602" t="s">
        <v>417</v>
      </c>
      <c r="D104" s="599">
        <f>D102+D87+D109</f>
        <v>26729933.713143278</v>
      </c>
      <c r="E104" s="600">
        <f>E102+E87+E108</f>
        <v>1456849.0977624287</v>
      </c>
      <c r="F104" s="600">
        <f t="shared" ref="F104:AM104" si="5">F102+F87+F108</f>
        <v>1456849.0977624287</v>
      </c>
      <c r="G104" s="600">
        <f t="shared" si="5"/>
        <v>1456849.0977624287</v>
      </c>
      <c r="H104" s="600">
        <f t="shared" si="5"/>
        <v>1456849.0977624287</v>
      </c>
      <c r="I104" s="600">
        <f t="shared" si="5"/>
        <v>1456849.0977624287</v>
      </c>
      <c r="J104" s="600">
        <f t="shared" si="5"/>
        <v>1456849.0977624287</v>
      </c>
      <c r="K104" s="600">
        <f t="shared" si="5"/>
        <v>1456849.0977624287</v>
      </c>
      <c r="L104" s="600">
        <f t="shared" si="5"/>
        <v>1456849.0977624287</v>
      </c>
      <c r="M104" s="600">
        <f t="shared" si="5"/>
        <v>1456849.0977624287</v>
      </c>
      <c r="N104" s="600">
        <f t="shared" si="5"/>
        <v>1456849.0977624287</v>
      </c>
      <c r="O104" s="600">
        <f t="shared" si="5"/>
        <v>1456849.0977624287</v>
      </c>
      <c r="P104" s="600">
        <f t="shared" si="5"/>
        <v>1456849.0977624287</v>
      </c>
      <c r="Q104" s="600">
        <f t="shared" si="5"/>
        <v>1456849.0977624287</v>
      </c>
      <c r="R104" s="600">
        <f t="shared" si="5"/>
        <v>1456849.0977624287</v>
      </c>
      <c r="S104" s="600">
        <f t="shared" si="5"/>
        <v>1456849.0977624287</v>
      </c>
      <c r="T104" s="600">
        <f t="shared" si="5"/>
        <v>1456849.0977624287</v>
      </c>
      <c r="U104" s="600">
        <f t="shared" si="5"/>
        <v>1456849.0977624287</v>
      </c>
      <c r="V104" s="600">
        <f t="shared" si="5"/>
        <v>1456849.0977624287</v>
      </c>
      <c r="W104" s="600">
        <f t="shared" si="5"/>
        <v>1456849.0977624287</v>
      </c>
      <c r="X104" s="600">
        <f t="shared" si="5"/>
        <v>1456849.0977624287</v>
      </c>
      <c r="Y104" s="600">
        <f t="shared" si="5"/>
        <v>1456849.0977624287</v>
      </c>
      <c r="Z104" s="600">
        <f t="shared" si="5"/>
        <v>1456849.0977624287</v>
      </c>
      <c r="AA104" s="600">
        <f t="shared" si="5"/>
        <v>1456849.0977624287</v>
      </c>
      <c r="AB104" s="600">
        <f t="shared" si="5"/>
        <v>1456849.0977624287</v>
      </c>
      <c r="AC104" s="600">
        <f t="shared" si="5"/>
        <v>2695814.059662859</v>
      </c>
      <c r="AD104" s="600">
        <f t="shared" si="5"/>
        <v>0</v>
      </c>
      <c r="AE104" s="600">
        <f t="shared" si="5"/>
        <v>0</v>
      </c>
      <c r="AF104" s="600">
        <f t="shared" si="5"/>
        <v>0</v>
      </c>
      <c r="AG104" s="600">
        <f t="shared" si="5"/>
        <v>0</v>
      </c>
      <c r="AH104" s="600">
        <f t="shared" si="5"/>
        <v>0</v>
      </c>
      <c r="AI104" s="600">
        <f t="shared" si="5"/>
        <v>0</v>
      </c>
      <c r="AJ104" s="600">
        <f t="shared" si="5"/>
        <v>0</v>
      </c>
      <c r="AK104" s="600">
        <f t="shared" si="5"/>
        <v>0</v>
      </c>
      <c r="AL104" s="600">
        <f t="shared" si="5"/>
        <v>0</v>
      </c>
      <c r="AM104" s="601">
        <f t="shared" si="5"/>
        <v>0</v>
      </c>
    </row>
    <row r="105" spans="2:39">
      <c r="B105" s="478"/>
      <c r="C105" s="485"/>
      <c r="D105" s="476"/>
      <c r="E105" s="476"/>
      <c r="F105" s="476"/>
      <c r="G105" s="476"/>
      <c r="H105" s="476"/>
      <c r="I105" s="476"/>
      <c r="J105" s="476"/>
      <c r="K105" s="476"/>
      <c r="L105" s="476"/>
      <c r="M105" s="476"/>
      <c r="N105" s="476"/>
      <c r="O105" s="476"/>
      <c r="P105" s="476"/>
      <c r="Q105" s="476"/>
      <c r="R105" s="476"/>
      <c r="S105" s="476"/>
      <c r="T105" s="476"/>
      <c r="U105" s="476"/>
      <c r="V105" s="476"/>
      <c r="W105" s="476"/>
      <c r="X105" s="476"/>
      <c r="Y105" s="476"/>
      <c r="Z105" s="476"/>
      <c r="AA105" s="476"/>
      <c r="AB105" s="476"/>
      <c r="AC105" s="476"/>
      <c r="AD105" s="476"/>
      <c r="AE105" s="476"/>
      <c r="AF105" s="476"/>
      <c r="AG105" s="476"/>
      <c r="AH105" s="476"/>
      <c r="AI105" s="476"/>
      <c r="AJ105" s="476"/>
      <c r="AK105" s="476"/>
      <c r="AL105" s="476"/>
      <c r="AM105" s="476"/>
    </row>
    <row r="106" spans="2:39" ht="12.95">
      <c r="B106" s="495"/>
      <c r="D106" s="496" t="s">
        <v>432</v>
      </c>
      <c r="E106" s="496" t="s">
        <v>433</v>
      </c>
      <c r="R106" s="474"/>
    </row>
    <row r="107" spans="2:39">
      <c r="R107" s="474"/>
    </row>
    <row r="108" spans="2:39" s="496" customFormat="1" ht="12.95">
      <c r="B108" s="565" t="s">
        <v>434</v>
      </c>
      <c r="C108" s="592" t="s">
        <v>417</v>
      </c>
      <c r="D108" s="599"/>
      <c r="E108" s="600">
        <f t="shared" ref="E108:AM108" si="6">IF(E77&lt;=$D38,$D109*$D39,0)</f>
        <v>0</v>
      </c>
      <c r="F108" s="600">
        <f t="shared" si="6"/>
        <v>0</v>
      </c>
      <c r="G108" s="600">
        <f t="shared" si="6"/>
        <v>0</v>
      </c>
      <c r="H108" s="600">
        <f t="shared" si="6"/>
        <v>0</v>
      </c>
      <c r="I108" s="600">
        <f t="shared" si="6"/>
        <v>0</v>
      </c>
      <c r="J108" s="600">
        <f t="shared" si="6"/>
        <v>0</v>
      </c>
      <c r="K108" s="600">
        <f t="shared" si="6"/>
        <v>0</v>
      </c>
      <c r="L108" s="600">
        <f t="shared" si="6"/>
        <v>0</v>
      </c>
      <c r="M108" s="600">
        <f t="shared" si="6"/>
        <v>0</v>
      </c>
      <c r="N108" s="600">
        <f t="shared" si="6"/>
        <v>0</v>
      </c>
      <c r="O108" s="600">
        <f t="shared" si="6"/>
        <v>0</v>
      </c>
      <c r="P108" s="600">
        <f t="shared" si="6"/>
        <v>0</v>
      </c>
      <c r="Q108" s="600">
        <f t="shared" si="6"/>
        <v>0</v>
      </c>
      <c r="R108" s="600">
        <f t="shared" si="6"/>
        <v>0</v>
      </c>
      <c r="S108" s="600">
        <f t="shared" si="6"/>
        <v>0</v>
      </c>
      <c r="T108" s="600">
        <f t="shared" si="6"/>
        <v>0</v>
      </c>
      <c r="U108" s="600">
        <f t="shared" si="6"/>
        <v>0</v>
      </c>
      <c r="V108" s="600">
        <f t="shared" si="6"/>
        <v>0</v>
      </c>
      <c r="W108" s="600">
        <f t="shared" si="6"/>
        <v>0</v>
      </c>
      <c r="X108" s="600">
        <f t="shared" si="6"/>
        <v>0</v>
      </c>
      <c r="Y108" s="600">
        <f t="shared" si="6"/>
        <v>0</v>
      </c>
      <c r="Z108" s="600">
        <f t="shared" si="6"/>
        <v>0</v>
      </c>
      <c r="AA108" s="600">
        <f t="shared" si="6"/>
        <v>0</v>
      </c>
      <c r="AB108" s="600">
        <f t="shared" si="6"/>
        <v>0</v>
      </c>
      <c r="AC108" s="600">
        <f t="shared" si="6"/>
        <v>0</v>
      </c>
      <c r="AD108" s="600">
        <f t="shared" si="6"/>
        <v>0</v>
      </c>
      <c r="AE108" s="600">
        <f t="shared" si="6"/>
        <v>0</v>
      </c>
      <c r="AF108" s="600">
        <f t="shared" si="6"/>
        <v>0</v>
      </c>
      <c r="AG108" s="600">
        <f t="shared" si="6"/>
        <v>0</v>
      </c>
      <c r="AH108" s="600">
        <f t="shared" si="6"/>
        <v>0</v>
      </c>
      <c r="AI108" s="600">
        <f t="shared" si="6"/>
        <v>0</v>
      </c>
      <c r="AJ108" s="600">
        <f t="shared" si="6"/>
        <v>0</v>
      </c>
      <c r="AK108" s="600">
        <f t="shared" si="6"/>
        <v>0</v>
      </c>
      <c r="AL108" s="600">
        <f t="shared" si="6"/>
        <v>0</v>
      </c>
      <c r="AM108" s="601">
        <f t="shared" si="6"/>
        <v>0</v>
      </c>
    </row>
    <row r="109" spans="2:39">
      <c r="B109" s="561" t="s">
        <v>435</v>
      </c>
      <c r="C109" s="545" t="s">
        <v>331</v>
      </c>
      <c r="D109" s="603">
        <f>'ProgrBiogas Electricity Fin Anl'!D28*(1-D35)</f>
        <v>0</v>
      </c>
      <c r="R109" s="474"/>
    </row>
    <row r="110" spans="2:39">
      <c r="D110" s="487"/>
      <c r="R110" s="474"/>
    </row>
    <row r="111" spans="2:39" s="497" customFormat="1" ht="12.95">
      <c r="B111" s="561" t="s">
        <v>436</v>
      </c>
      <c r="C111" s="545" t="s">
        <v>437</v>
      </c>
      <c r="D111" s="604">
        <f>D79/((1+$D42)^D77)</f>
        <v>44867100.60609927</v>
      </c>
      <c r="E111" s="605">
        <f t="shared" ref="E111:AM111" si="7">E79/((1+$D42)^E77)</f>
        <v>37389250.505082726</v>
      </c>
      <c r="F111" s="605">
        <f t="shared" si="7"/>
        <v>31157708.754235607</v>
      </c>
      <c r="G111" s="605">
        <f t="shared" si="7"/>
        <v>25964757.295196336</v>
      </c>
      <c r="H111" s="605">
        <f t="shared" si="7"/>
        <v>21637297.745996948</v>
      </c>
      <c r="I111" s="605">
        <f t="shared" si="7"/>
        <v>18031081.454997458</v>
      </c>
      <c r="J111" s="605">
        <f t="shared" si="7"/>
        <v>15025901.212497881</v>
      </c>
      <c r="K111" s="605">
        <f t="shared" si="7"/>
        <v>12521584.343748234</v>
      </c>
      <c r="L111" s="605">
        <f t="shared" si="7"/>
        <v>10434653.619790196</v>
      </c>
      <c r="M111" s="605">
        <f t="shared" si="7"/>
        <v>8695544.6831584964</v>
      </c>
      <c r="N111" s="605">
        <f t="shared" si="7"/>
        <v>7246287.235965414</v>
      </c>
      <c r="O111" s="605">
        <f t="shared" si="7"/>
        <v>6038572.6966378447</v>
      </c>
      <c r="P111" s="605">
        <f t="shared" si="7"/>
        <v>5032143.9138648715</v>
      </c>
      <c r="Q111" s="605">
        <f t="shared" si="7"/>
        <v>4193453.2615540591</v>
      </c>
      <c r="R111" s="717">
        <f t="shared" si="7"/>
        <v>3494544.384628383</v>
      </c>
      <c r="S111" s="605">
        <f t="shared" si="7"/>
        <v>2912120.3205236522</v>
      </c>
      <c r="T111" s="605">
        <f t="shared" si="7"/>
        <v>2426766.9337697108</v>
      </c>
      <c r="U111" s="605">
        <f t="shared" si="7"/>
        <v>2022305.7781414255</v>
      </c>
      <c r="V111" s="605">
        <f t="shared" si="7"/>
        <v>1685254.8151178546</v>
      </c>
      <c r="W111" s="605">
        <f t="shared" si="7"/>
        <v>1404379.0125982121</v>
      </c>
      <c r="X111" s="605">
        <f t="shared" si="7"/>
        <v>1170315.8438318435</v>
      </c>
      <c r="Y111" s="605">
        <f t="shared" si="7"/>
        <v>975263.20319320296</v>
      </c>
      <c r="Z111" s="605">
        <f t="shared" si="7"/>
        <v>812719.33599433582</v>
      </c>
      <c r="AA111" s="605">
        <f t="shared" si="7"/>
        <v>677266.11332861322</v>
      </c>
      <c r="AB111" s="605">
        <f t="shared" si="7"/>
        <v>564388.42777384433</v>
      </c>
      <c r="AC111" s="605">
        <f t="shared" si="7"/>
        <v>470323.68981153693</v>
      </c>
      <c r="AD111" s="605">
        <f t="shared" si="7"/>
        <v>0</v>
      </c>
      <c r="AE111" s="605">
        <f t="shared" si="7"/>
        <v>0</v>
      </c>
      <c r="AF111" s="605">
        <f t="shared" si="7"/>
        <v>0</v>
      </c>
      <c r="AG111" s="605">
        <f t="shared" si="7"/>
        <v>0</v>
      </c>
      <c r="AH111" s="605">
        <f t="shared" si="7"/>
        <v>0</v>
      </c>
      <c r="AI111" s="605">
        <f t="shared" si="7"/>
        <v>0</v>
      </c>
      <c r="AJ111" s="605">
        <f t="shared" si="7"/>
        <v>0</v>
      </c>
      <c r="AK111" s="605">
        <f t="shared" si="7"/>
        <v>0</v>
      </c>
      <c r="AL111" s="605">
        <f t="shared" si="7"/>
        <v>0</v>
      </c>
      <c r="AM111" s="606">
        <f t="shared" si="7"/>
        <v>0</v>
      </c>
    </row>
    <row r="112" spans="2:39" s="497" customFormat="1" ht="12.95">
      <c r="B112" s="577" t="s">
        <v>438</v>
      </c>
      <c r="C112" s="607" t="s">
        <v>439</v>
      </c>
      <c r="D112" s="579">
        <f t="shared" ref="D112:AM112" si="8">D104/(1+$D42)^D77</f>
        <v>26729933.713143278</v>
      </c>
      <c r="E112" s="580">
        <f t="shared" si="8"/>
        <v>1214040.9148020239</v>
      </c>
      <c r="F112" s="580">
        <f t="shared" si="8"/>
        <v>1011700.76233502</v>
      </c>
      <c r="G112" s="580">
        <f t="shared" si="8"/>
        <v>843083.96861251665</v>
      </c>
      <c r="H112" s="580">
        <f t="shared" si="8"/>
        <v>702569.97384376393</v>
      </c>
      <c r="I112" s="580">
        <f t="shared" si="8"/>
        <v>585474.97820313659</v>
      </c>
      <c r="J112" s="580">
        <f t="shared" si="8"/>
        <v>487895.81516928051</v>
      </c>
      <c r="K112" s="580">
        <f t="shared" si="8"/>
        <v>406579.84597440041</v>
      </c>
      <c r="L112" s="580">
        <f t="shared" si="8"/>
        <v>338816.53831200034</v>
      </c>
      <c r="M112" s="580">
        <f t="shared" si="8"/>
        <v>282347.11526000028</v>
      </c>
      <c r="N112" s="580">
        <f t="shared" si="8"/>
        <v>235289.26271666691</v>
      </c>
      <c r="O112" s="580">
        <f t="shared" si="8"/>
        <v>196074.38559722243</v>
      </c>
      <c r="P112" s="580">
        <f t="shared" si="8"/>
        <v>163395.3213310187</v>
      </c>
      <c r="Q112" s="580">
        <f t="shared" si="8"/>
        <v>136162.76777584892</v>
      </c>
      <c r="R112" s="716">
        <f t="shared" si="8"/>
        <v>113468.97314654077</v>
      </c>
      <c r="S112" s="580">
        <f t="shared" si="8"/>
        <v>94557.477622117309</v>
      </c>
      <c r="T112" s="580">
        <f t="shared" si="8"/>
        <v>78797.898018431093</v>
      </c>
      <c r="U112" s="580">
        <f t="shared" si="8"/>
        <v>65664.915015359249</v>
      </c>
      <c r="V112" s="580">
        <f t="shared" si="8"/>
        <v>54720.762512799374</v>
      </c>
      <c r="W112" s="580">
        <f t="shared" si="8"/>
        <v>45600.635427332811</v>
      </c>
      <c r="X112" s="580">
        <f t="shared" si="8"/>
        <v>38000.529522777346</v>
      </c>
      <c r="Y112" s="580">
        <f t="shared" si="8"/>
        <v>31667.107935647786</v>
      </c>
      <c r="Z112" s="580">
        <f t="shared" si="8"/>
        <v>26389.256613039826</v>
      </c>
      <c r="AA112" s="580">
        <f t="shared" si="8"/>
        <v>21991.04717753319</v>
      </c>
      <c r="AB112" s="580">
        <f t="shared" si="8"/>
        <v>18325.872647944325</v>
      </c>
      <c r="AC112" s="580">
        <f t="shared" si="8"/>
        <v>28259.129706591615</v>
      </c>
      <c r="AD112" s="580">
        <f t="shared" si="8"/>
        <v>0</v>
      </c>
      <c r="AE112" s="580">
        <f t="shared" si="8"/>
        <v>0</v>
      </c>
      <c r="AF112" s="580">
        <f t="shared" si="8"/>
        <v>0</v>
      </c>
      <c r="AG112" s="580">
        <f t="shared" si="8"/>
        <v>0</v>
      </c>
      <c r="AH112" s="580">
        <f t="shared" si="8"/>
        <v>0</v>
      </c>
      <c r="AI112" s="580">
        <f t="shared" si="8"/>
        <v>0</v>
      </c>
      <c r="AJ112" s="580">
        <f t="shared" si="8"/>
        <v>0</v>
      </c>
      <c r="AK112" s="580">
        <f t="shared" si="8"/>
        <v>0</v>
      </c>
      <c r="AL112" s="580">
        <f t="shared" si="8"/>
        <v>0</v>
      </c>
      <c r="AM112" s="581">
        <f t="shared" si="8"/>
        <v>0</v>
      </c>
    </row>
    <row r="113" spans="1:39" s="497" customFormat="1" ht="12.95">
      <c r="B113" s="608" t="s">
        <v>440</v>
      </c>
      <c r="C113" s="609" t="s">
        <v>441</v>
      </c>
      <c r="D113" s="610">
        <f t="shared" ref="D113:AM113" si="9">(D104-D131)/(1+$D42)^D77</f>
        <v>27100964.893631451</v>
      </c>
      <c r="E113" s="611">
        <f t="shared" si="9"/>
        <v>1523233.565208836</v>
      </c>
      <c r="F113" s="611">
        <f t="shared" si="9"/>
        <v>1269361.3043406967</v>
      </c>
      <c r="G113" s="611">
        <f t="shared" si="9"/>
        <v>1057801.0869505804</v>
      </c>
      <c r="H113" s="611">
        <f t="shared" si="9"/>
        <v>881500.90579215041</v>
      </c>
      <c r="I113" s="611">
        <f t="shared" si="9"/>
        <v>734584.08816012531</v>
      </c>
      <c r="J113" s="611">
        <f t="shared" si="9"/>
        <v>612153.40680010442</v>
      </c>
      <c r="K113" s="611">
        <f t="shared" si="9"/>
        <v>510127.83900008706</v>
      </c>
      <c r="L113" s="611">
        <f t="shared" si="9"/>
        <v>425106.53250007256</v>
      </c>
      <c r="M113" s="611">
        <f t="shared" si="9"/>
        <v>354255.44375006045</v>
      </c>
      <c r="N113" s="611">
        <f t="shared" si="9"/>
        <v>295212.86979171709</v>
      </c>
      <c r="O113" s="611">
        <f t="shared" si="9"/>
        <v>246010.7248264309</v>
      </c>
      <c r="P113" s="611">
        <f t="shared" si="9"/>
        <v>205008.93735535908</v>
      </c>
      <c r="Q113" s="611">
        <f t="shared" si="9"/>
        <v>170840.7811294659</v>
      </c>
      <c r="R113" s="611">
        <f t="shared" si="9"/>
        <v>142367.31760788825</v>
      </c>
      <c r="S113" s="611">
        <f t="shared" si="9"/>
        <v>118639.43133990688</v>
      </c>
      <c r="T113" s="611">
        <f t="shared" si="9"/>
        <v>98866.192783255756</v>
      </c>
      <c r="U113" s="611">
        <f t="shared" si="9"/>
        <v>82388.493986046451</v>
      </c>
      <c r="V113" s="611">
        <f t="shared" si="9"/>
        <v>68657.078321705383</v>
      </c>
      <c r="W113" s="611">
        <f t="shared" si="9"/>
        <v>57214.231934754484</v>
      </c>
      <c r="X113" s="611">
        <f t="shared" si="9"/>
        <v>47678.526612295405</v>
      </c>
      <c r="Y113" s="611">
        <f t="shared" si="9"/>
        <v>39732.105510246169</v>
      </c>
      <c r="Z113" s="611">
        <f t="shared" si="9"/>
        <v>33110.087925205145</v>
      </c>
      <c r="AA113" s="611">
        <f t="shared" si="9"/>
        <v>27591.739937670955</v>
      </c>
      <c r="AB113" s="611">
        <f t="shared" si="9"/>
        <v>22993.116614725797</v>
      </c>
      <c r="AC113" s="611">
        <f t="shared" si="9"/>
        <v>35104.455849953629</v>
      </c>
      <c r="AD113" s="611">
        <f t="shared" si="9"/>
        <v>0</v>
      </c>
      <c r="AE113" s="611">
        <f t="shared" si="9"/>
        <v>0</v>
      </c>
      <c r="AF113" s="611">
        <f t="shared" si="9"/>
        <v>0</v>
      </c>
      <c r="AG113" s="611">
        <f t="shared" si="9"/>
        <v>0</v>
      </c>
      <c r="AH113" s="611">
        <f t="shared" si="9"/>
        <v>0</v>
      </c>
      <c r="AI113" s="611">
        <f t="shared" si="9"/>
        <v>0</v>
      </c>
      <c r="AJ113" s="611">
        <f t="shared" si="9"/>
        <v>0</v>
      </c>
      <c r="AK113" s="611">
        <f t="shared" si="9"/>
        <v>0</v>
      </c>
      <c r="AL113" s="611">
        <f t="shared" si="9"/>
        <v>0</v>
      </c>
      <c r="AM113" s="612">
        <f t="shared" si="9"/>
        <v>0</v>
      </c>
    </row>
    <row r="114" spans="1:39" s="497" customFormat="1" ht="12.95">
      <c r="B114" s="577" t="s">
        <v>442</v>
      </c>
      <c r="C114" s="607" t="s">
        <v>439</v>
      </c>
      <c r="D114" s="579">
        <f t="shared" ref="D114:AM114" si="10">(D150)/(1+$D42)^D77</f>
        <v>3589368.0484879417</v>
      </c>
      <c r="E114" s="580">
        <f t="shared" si="10"/>
        <v>2991140.0404066183</v>
      </c>
      <c r="F114" s="580">
        <f t="shared" si="10"/>
        <v>2492616.7003388484</v>
      </c>
      <c r="G114" s="580">
        <f t="shared" si="10"/>
        <v>2077180.583615707</v>
      </c>
      <c r="H114" s="580">
        <f t="shared" si="10"/>
        <v>1730983.819679756</v>
      </c>
      <c r="I114" s="580">
        <f t="shared" si="10"/>
        <v>1442486.5163997966</v>
      </c>
      <c r="J114" s="580">
        <f t="shared" si="10"/>
        <v>1202072.0969998306</v>
      </c>
      <c r="K114" s="580">
        <f t="shared" si="10"/>
        <v>1001726.7474998588</v>
      </c>
      <c r="L114" s="580">
        <f t="shared" si="10"/>
        <v>834772.28958321572</v>
      </c>
      <c r="M114" s="580">
        <f t="shared" si="10"/>
        <v>695643.57465267973</v>
      </c>
      <c r="N114" s="580">
        <f t="shared" si="10"/>
        <v>579702.97887723311</v>
      </c>
      <c r="O114" s="580">
        <f t="shared" si="10"/>
        <v>483085.81573102763</v>
      </c>
      <c r="P114" s="580">
        <f t="shared" si="10"/>
        <v>402571.51310918969</v>
      </c>
      <c r="Q114" s="580">
        <f t="shared" si="10"/>
        <v>335476.26092432474</v>
      </c>
      <c r="R114" s="716">
        <f t="shared" si="10"/>
        <v>279563.55077027064</v>
      </c>
      <c r="S114" s="580">
        <f t="shared" si="10"/>
        <v>232969.6256418922</v>
      </c>
      <c r="T114" s="580">
        <f t="shared" si="10"/>
        <v>194141.35470157687</v>
      </c>
      <c r="U114" s="580">
        <f t="shared" si="10"/>
        <v>161784.46225131405</v>
      </c>
      <c r="V114" s="580">
        <f t="shared" si="10"/>
        <v>134820.38520942838</v>
      </c>
      <c r="W114" s="580">
        <f t="shared" si="10"/>
        <v>112350.32100785697</v>
      </c>
      <c r="X114" s="580">
        <f t="shared" si="10"/>
        <v>93625.267506547476</v>
      </c>
      <c r="Y114" s="580">
        <f t="shared" si="10"/>
        <v>78021.056255456235</v>
      </c>
      <c r="Z114" s="580">
        <f t="shared" si="10"/>
        <v>65017.54687954687</v>
      </c>
      <c r="AA114" s="580">
        <f t="shared" si="10"/>
        <v>54181.289066289057</v>
      </c>
      <c r="AB114" s="580">
        <f t="shared" si="10"/>
        <v>45151.074221907547</v>
      </c>
      <c r="AC114" s="580">
        <f t="shared" si="10"/>
        <v>37625.895184922956</v>
      </c>
      <c r="AD114" s="580">
        <f t="shared" si="10"/>
        <v>0</v>
      </c>
      <c r="AE114" s="580">
        <f t="shared" si="10"/>
        <v>0</v>
      </c>
      <c r="AF114" s="580">
        <f t="shared" si="10"/>
        <v>0</v>
      </c>
      <c r="AG114" s="580">
        <f t="shared" si="10"/>
        <v>0</v>
      </c>
      <c r="AH114" s="580">
        <f t="shared" si="10"/>
        <v>0</v>
      </c>
      <c r="AI114" s="580">
        <f t="shared" si="10"/>
        <v>0</v>
      </c>
      <c r="AJ114" s="580">
        <f t="shared" si="10"/>
        <v>0</v>
      </c>
      <c r="AK114" s="580">
        <f t="shared" si="10"/>
        <v>0</v>
      </c>
      <c r="AL114" s="580">
        <f t="shared" si="10"/>
        <v>0</v>
      </c>
      <c r="AM114" s="581">
        <f t="shared" si="10"/>
        <v>0</v>
      </c>
    </row>
    <row r="115" spans="1:39" s="497" customFormat="1" ht="12.95">
      <c r="B115" s="577" t="s">
        <v>443</v>
      </c>
      <c r="C115" s="607" t="s">
        <v>439</v>
      </c>
      <c r="D115" s="579">
        <f t="shared" ref="D115:AM115" si="11">(D125)/(1+$D42)^D77</f>
        <v>-2118965.2393735638</v>
      </c>
      <c r="E115" s="580">
        <f t="shared" si="11"/>
        <v>-1765804.3661446366</v>
      </c>
      <c r="F115" s="580">
        <f t="shared" si="11"/>
        <v>-1471503.6384538638</v>
      </c>
      <c r="G115" s="580">
        <f t="shared" si="11"/>
        <v>-1226253.0320448864</v>
      </c>
      <c r="H115" s="580">
        <f t="shared" si="11"/>
        <v>-1021877.5267040721</v>
      </c>
      <c r="I115" s="580">
        <f t="shared" si="11"/>
        <v>-851564.6055867268</v>
      </c>
      <c r="J115" s="580">
        <f t="shared" si="11"/>
        <v>-709637.17132227228</v>
      </c>
      <c r="K115" s="580">
        <f t="shared" si="11"/>
        <v>-591364.30943522695</v>
      </c>
      <c r="L115" s="580">
        <f t="shared" si="11"/>
        <v>-492803.59119602246</v>
      </c>
      <c r="M115" s="580">
        <f t="shared" si="11"/>
        <v>-410669.65933001874</v>
      </c>
      <c r="N115" s="580">
        <f t="shared" si="11"/>
        <v>-342224.71610834892</v>
      </c>
      <c r="O115" s="580">
        <f t="shared" si="11"/>
        <v>-285187.2634236241</v>
      </c>
      <c r="P115" s="580">
        <f t="shared" si="11"/>
        <v>-237656.05285302011</v>
      </c>
      <c r="Q115" s="580">
        <f t="shared" si="11"/>
        <v>-198046.71071085008</v>
      </c>
      <c r="R115" s="716">
        <f t="shared" si="11"/>
        <v>-165038.9255923751</v>
      </c>
      <c r="S115" s="580">
        <f t="shared" si="11"/>
        <v>-137532.4379936459</v>
      </c>
      <c r="T115" s="580">
        <f t="shared" si="11"/>
        <v>-114610.36499470493</v>
      </c>
      <c r="U115" s="580">
        <f t="shared" si="11"/>
        <v>-95508.637495587449</v>
      </c>
      <c r="V115" s="580">
        <f t="shared" si="11"/>
        <v>-79590.531246322877</v>
      </c>
      <c r="W115" s="580">
        <f t="shared" si="11"/>
        <v>-66325.442705269059</v>
      </c>
      <c r="X115" s="580">
        <f t="shared" si="11"/>
        <v>-55271.202254390882</v>
      </c>
      <c r="Y115" s="580">
        <f t="shared" si="11"/>
        <v>-46059.335211992402</v>
      </c>
      <c r="Z115" s="580">
        <f t="shared" si="11"/>
        <v>-38382.779343327005</v>
      </c>
      <c r="AA115" s="580">
        <f t="shared" si="11"/>
        <v>-31985.649452772504</v>
      </c>
      <c r="AB115" s="580">
        <f t="shared" si="11"/>
        <v>-26654.707877310422</v>
      </c>
      <c r="AC115" s="580">
        <f t="shared" si="11"/>
        <v>-22212.256564425348</v>
      </c>
      <c r="AD115" s="580">
        <f t="shared" si="11"/>
        <v>0</v>
      </c>
      <c r="AE115" s="580">
        <f t="shared" si="11"/>
        <v>0</v>
      </c>
      <c r="AF115" s="580">
        <f t="shared" si="11"/>
        <v>0</v>
      </c>
      <c r="AG115" s="580">
        <f t="shared" si="11"/>
        <v>0</v>
      </c>
      <c r="AH115" s="580">
        <f t="shared" si="11"/>
        <v>0</v>
      </c>
      <c r="AI115" s="580">
        <f t="shared" si="11"/>
        <v>0</v>
      </c>
      <c r="AJ115" s="580">
        <f t="shared" si="11"/>
        <v>0</v>
      </c>
      <c r="AK115" s="580">
        <f t="shared" si="11"/>
        <v>0</v>
      </c>
      <c r="AL115" s="580">
        <f t="shared" si="11"/>
        <v>0</v>
      </c>
      <c r="AM115" s="581">
        <f t="shared" si="11"/>
        <v>0</v>
      </c>
    </row>
    <row r="116" spans="1:39" s="497" customFormat="1" ht="12.95">
      <c r="B116" s="577" t="s">
        <v>444</v>
      </c>
      <c r="C116" s="607" t="s">
        <v>439</v>
      </c>
      <c r="D116" s="579">
        <f t="shared" ref="D116:AM116" si="12">(D131)/(1+$D42)^D77</f>
        <v>-371031.18048817426</v>
      </c>
      <c r="E116" s="580">
        <f t="shared" si="12"/>
        <v>-309192.65040681191</v>
      </c>
      <c r="F116" s="580">
        <f t="shared" si="12"/>
        <v>-257660.54200567657</v>
      </c>
      <c r="G116" s="580">
        <f t="shared" si="12"/>
        <v>-214717.1183380638</v>
      </c>
      <c r="H116" s="580">
        <f t="shared" si="12"/>
        <v>-178930.93194838651</v>
      </c>
      <c r="I116" s="580">
        <f t="shared" si="12"/>
        <v>-149109.10995698877</v>
      </c>
      <c r="J116" s="580">
        <f t="shared" si="12"/>
        <v>-124257.59163082397</v>
      </c>
      <c r="K116" s="580">
        <f t="shared" si="12"/>
        <v>-103547.99302568665</v>
      </c>
      <c r="L116" s="580">
        <f t="shared" si="12"/>
        <v>-86289.994188072204</v>
      </c>
      <c r="M116" s="580">
        <f t="shared" si="12"/>
        <v>-71908.328490060172</v>
      </c>
      <c r="N116" s="580">
        <f t="shared" si="12"/>
        <v>-59923.607075050146</v>
      </c>
      <c r="O116" s="580">
        <f t="shared" si="12"/>
        <v>-49936.339229208454</v>
      </c>
      <c r="P116" s="580">
        <f t="shared" si="12"/>
        <v>-41613.616024340379</v>
      </c>
      <c r="Q116" s="580">
        <f t="shared" si="12"/>
        <v>-34678.013353616981</v>
      </c>
      <c r="R116" s="716">
        <f t="shared" si="12"/>
        <v>-28898.344461347489</v>
      </c>
      <c r="S116" s="580">
        <f t="shared" si="12"/>
        <v>-24081.953717789573</v>
      </c>
      <c r="T116" s="580">
        <f t="shared" si="12"/>
        <v>-20068.294764824648</v>
      </c>
      <c r="U116" s="580">
        <f t="shared" si="12"/>
        <v>-16723.578970687206</v>
      </c>
      <c r="V116" s="580">
        <f t="shared" si="12"/>
        <v>-13936.315808906005</v>
      </c>
      <c r="W116" s="580">
        <f t="shared" si="12"/>
        <v>-11613.596507421671</v>
      </c>
      <c r="X116" s="580">
        <f t="shared" si="12"/>
        <v>-9677.9970895180595</v>
      </c>
      <c r="Y116" s="580">
        <f t="shared" si="12"/>
        <v>-8064.9975745983829</v>
      </c>
      <c r="Z116" s="580">
        <f t="shared" si="12"/>
        <v>-6720.83131216532</v>
      </c>
      <c r="AA116" s="580">
        <f t="shared" si="12"/>
        <v>-5600.6927601377665</v>
      </c>
      <c r="AB116" s="580">
        <f t="shared" si="12"/>
        <v>-4667.2439667814724</v>
      </c>
      <c r="AC116" s="580">
        <f t="shared" si="12"/>
        <v>-6845.3261433620146</v>
      </c>
      <c r="AD116" s="580">
        <f t="shared" si="12"/>
        <v>0</v>
      </c>
      <c r="AE116" s="580">
        <f t="shared" si="12"/>
        <v>0</v>
      </c>
      <c r="AF116" s="580">
        <f t="shared" si="12"/>
        <v>0</v>
      </c>
      <c r="AG116" s="580">
        <f t="shared" si="12"/>
        <v>0</v>
      </c>
      <c r="AH116" s="580">
        <f t="shared" si="12"/>
        <v>0</v>
      </c>
      <c r="AI116" s="580">
        <f t="shared" si="12"/>
        <v>0</v>
      </c>
      <c r="AJ116" s="580">
        <f t="shared" si="12"/>
        <v>0</v>
      </c>
      <c r="AK116" s="580">
        <f t="shared" si="12"/>
        <v>0</v>
      </c>
      <c r="AL116" s="580">
        <f t="shared" si="12"/>
        <v>0</v>
      </c>
      <c r="AM116" s="581">
        <f t="shared" si="12"/>
        <v>0</v>
      </c>
    </row>
    <row r="117" spans="1:39" s="497" customFormat="1" ht="12.95">
      <c r="B117" s="498"/>
      <c r="C117" s="499"/>
      <c r="D117" s="500"/>
      <c r="E117" s="500"/>
      <c r="F117" s="500"/>
      <c r="G117" s="500"/>
      <c r="H117" s="500"/>
      <c r="I117" s="500"/>
      <c r="J117" s="500"/>
      <c r="K117" s="500"/>
      <c r="L117" s="500"/>
      <c r="M117" s="500"/>
      <c r="N117" s="500"/>
      <c r="O117" s="500"/>
      <c r="P117" s="500"/>
      <c r="Q117" s="500"/>
      <c r="R117" s="500"/>
      <c r="S117" s="500"/>
      <c r="T117" s="500"/>
      <c r="U117" s="500"/>
      <c r="V117" s="500"/>
      <c r="W117" s="500"/>
      <c r="X117" s="500"/>
      <c r="Y117" s="500"/>
      <c r="Z117" s="500"/>
      <c r="AA117" s="500"/>
      <c r="AB117" s="500"/>
      <c r="AC117" s="500"/>
      <c r="AD117" s="500"/>
      <c r="AE117" s="500"/>
      <c r="AF117" s="500"/>
      <c r="AG117" s="500"/>
      <c r="AH117" s="500"/>
      <c r="AI117" s="500"/>
      <c r="AJ117" s="500"/>
      <c r="AK117" s="500"/>
      <c r="AL117" s="500"/>
      <c r="AM117" s="500"/>
    </row>
    <row r="118" spans="1:39">
      <c r="R118" s="474"/>
    </row>
    <row r="119" spans="1:39" ht="12.95">
      <c r="B119" s="565" t="s">
        <v>445</v>
      </c>
      <c r="C119" s="592" t="s">
        <v>364</v>
      </c>
      <c r="R119" s="474"/>
    </row>
    <row r="120" spans="1:39">
      <c r="B120" s="561" t="str">
        <f>'SolarPV Financial Analysis'!B117</f>
        <v>Annual emissions Avoided (tCO2eq)</v>
      </c>
      <c r="C120" s="594" t="s">
        <v>446</v>
      </c>
      <c r="D120" s="724">
        <f>D79*(0-$D$23)*C32</f>
        <v>-11968.747757683041</v>
      </c>
      <c r="E120" s="613">
        <f>'ProgrBiogas Electricity Fin Anl'!$D$120</f>
        <v>-11968.747757683041</v>
      </c>
      <c r="F120" s="613">
        <f>'ProgrBiogas Electricity Fin Anl'!$D$120</f>
        <v>-11968.747757683041</v>
      </c>
      <c r="G120" s="613">
        <f>'ProgrBiogas Electricity Fin Anl'!$D$120</f>
        <v>-11968.747757683041</v>
      </c>
      <c r="H120" s="613">
        <f>'ProgrBiogas Electricity Fin Anl'!$D$120</f>
        <v>-11968.747757683041</v>
      </c>
      <c r="I120" s="613">
        <f>'ProgrBiogas Electricity Fin Anl'!$D$120</f>
        <v>-11968.747757683041</v>
      </c>
      <c r="J120" s="613">
        <f>'ProgrBiogas Electricity Fin Anl'!$D$120</f>
        <v>-11968.747757683041</v>
      </c>
      <c r="K120" s="613">
        <f>'ProgrBiogas Electricity Fin Anl'!$D$120</f>
        <v>-11968.747757683041</v>
      </c>
      <c r="L120" s="613">
        <f>'ProgrBiogas Electricity Fin Anl'!$D$120</f>
        <v>-11968.747757683041</v>
      </c>
      <c r="M120" s="613">
        <f>'ProgrBiogas Electricity Fin Anl'!$D$120</f>
        <v>-11968.747757683041</v>
      </c>
      <c r="N120" s="613">
        <f>'ProgrBiogas Electricity Fin Anl'!$D$120</f>
        <v>-11968.747757683041</v>
      </c>
      <c r="O120" s="613">
        <f>'ProgrBiogas Electricity Fin Anl'!$D$120</f>
        <v>-11968.747757683041</v>
      </c>
      <c r="P120" s="613">
        <f>'ProgrBiogas Electricity Fin Anl'!$D$120</f>
        <v>-11968.747757683041</v>
      </c>
      <c r="Q120" s="613">
        <f>'ProgrBiogas Electricity Fin Anl'!$D$120</f>
        <v>-11968.747757683041</v>
      </c>
      <c r="R120" s="718">
        <f>'ProgrBiogas Electricity Fin Anl'!$D$120</f>
        <v>-11968.747757683041</v>
      </c>
      <c r="S120" s="613">
        <f>'ProgrBiogas Electricity Fin Anl'!$D$120</f>
        <v>-11968.747757683041</v>
      </c>
      <c r="T120" s="613">
        <f>'ProgrBiogas Electricity Fin Anl'!$D$120</f>
        <v>-11968.747757683041</v>
      </c>
      <c r="U120" s="613">
        <f>'ProgrBiogas Electricity Fin Anl'!$D$120</f>
        <v>-11968.747757683041</v>
      </c>
      <c r="V120" s="613">
        <f>'ProgrBiogas Electricity Fin Anl'!$D$120</f>
        <v>-11968.747757683041</v>
      </c>
      <c r="W120" s="613">
        <f>'ProgrBiogas Electricity Fin Anl'!$D$120</f>
        <v>-11968.747757683041</v>
      </c>
      <c r="X120" s="613">
        <f>'ProgrBiogas Electricity Fin Anl'!$D$120</f>
        <v>-11968.747757683041</v>
      </c>
      <c r="Y120" s="613">
        <f>'ProgrBiogas Electricity Fin Anl'!$D$120</f>
        <v>-11968.747757683041</v>
      </c>
      <c r="Z120" s="613">
        <f>'ProgrBiogas Electricity Fin Anl'!$D$120</f>
        <v>-11968.747757683041</v>
      </c>
      <c r="AA120" s="613">
        <f>'ProgrBiogas Electricity Fin Anl'!$D$120</f>
        <v>-11968.747757683041</v>
      </c>
      <c r="AB120" s="613">
        <f>'ProgrBiogas Electricity Fin Anl'!$D$120</f>
        <v>-11968.747757683041</v>
      </c>
      <c r="AC120" s="613">
        <f t="shared" ref="AC120:AM120" si="13">AC79*(0-$D$21)/$C$31</f>
        <v>-21065.103734563607</v>
      </c>
      <c r="AD120" s="613">
        <f t="shared" si="13"/>
        <v>0</v>
      </c>
      <c r="AE120" s="613">
        <f t="shared" si="13"/>
        <v>0</v>
      </c>
      <c r="AF120" s="613">
        <f t="shared" si="13"/>
        <v>0</v>
      </c>
      <c r="AG120" s="613">
        <f t="shared" si="13"/>
        <v>0</v>
      </c>
      <c r="AH120" s="613">
        <f t="shared" si="13"/>
        <v>0</v>
      </c>
      <c r="AI120" s="613">
        <f t="shared" si="13"/>
        <v>0</v>
      </c>
      <c r="AJ120" s="613">
        <f t="shared" si="13"/>
        <v>0</v>
      </c>
      <c r="AK120" s="613">
        <f t="shared" si="13"/>
        <v>0</v>
      </c>
      <c r="AL120" s="613">
        <f t="shared" si="13"/>
        <v>0</v>
      </c>
      <c r="AM120" s="614">
        <f t="shared" si="13"/>
        <v>0</v>
      </c>
    </row>
    <row r="121" spans="1:39">
      <c r="B121" s="561" t="str">
        <f>'SolarPV Financial Analysis'!B118</f>
        <v xml:space="preserve">Cumulative Avoided Emissions </v>
      </c>
      <c r="C121" s="545" t="s">
        <v>373</v>
      </c>
      <c r="D121" s="615">
        <f>SUM(D120:AB120)</f>
        <v>-299218.693942076</v>
      </c>
      <c r="R121" s="474"/>
    </row>
    <row r="122" spans="1:39">
      <c r="D122" s="501"/>
    </row>
    <row r="123" spans="1:39">
      <c r="D123" s="501"/>
    </row>
    <row r="124" spans="1:39" ht="12.95">
      <c r="B124" s="616" t="s">
        <v>447</v>
      </c>
      <c r="C124" s="592" t="s">
        <v>364</v>
      </c>
      <c r="D124" s="501"/>
    </row>
    <row r="125" spans="1:39">
      <c r="B125" s="577" t="s">
        <v>448</v>
      </c>
      <c r="C125" s="578" t="s">
        <v>417</v>
      </c>
      <c r="D125" s="617">
        <f t="shared" ref="D125:AM125" si="14">D79*($D$16-$D$61)</f>
        <v>-2118965.2393735638</v>
      </c>
      <c r="E125" s="618">
        <f t="shared" si="14"/>
        <v>-2118965.2393735638</v>
      </c>
      <c r="F125" s="618">
        <f t="shared" si="14"/>
        <v>-2118965.2393735638</v>
      </c>
      <c r="G125" s="618">
        <f t="shared" si="14"/>
        <v>-2118965.2393735638</v>
      </c>
      <c r="H125" s="618">
        <f t="shared" si="14"/>
        <v>-2118965.2393735638</v>
      </c>
      <c r="I125" s="618">
        <f t="shared" si="14"/>
        <v>-2118965.2393735638</v>
      </c>
      <c r="J125" s="618">
        <f t="shared" si="14"/>
        <v>-2118965.2393735638</v>
      </c>
      <c r="K125" s="618">
        <f t="shared" si="14"/>
        <v>-2118965.2393735638</v>
      </c>
      <c r="L125" s="618">
        <f t="shared" si="14"/>
        <v>-2118965.2393735638</v>
      </c>
      <c r="M125" s="618">
        <f t="shared" si="14"/>
        <v>-2118965.2393735638</v>
      </c>
      <c r="N125" s="618">
        <f t="shared" si="14"/>
        <v>-2118965.2393735638</v>
      </c>
      <c r="O125" s="618">
        <f t="shared" si="14"/>
        <v>-2118965.2393735638</v>
      </c>
      <c r="P125" s="618">
        <f t="shared" si="14"/>
        <v>-2118965.2393735638</v>
      </c>
      <c r="Q125" s="618">
        <f t="shared" si="14"/>
        <v>-2118965.2393735638</v>
      </c>
      <c r="R125" s="722">
        <f t="shared" si="14"/>
        <v>-2118965.2393735638</v>
      </c>
      <c r="S125" s="618">
        <f t="shared" si="14"/>
        <v>-2118965.2393735638</v>
      </c>
      <c r="T125" s="618">
        <f t="shared" si="14"/>
        <v>-2118965.2393735638</v>
      </c>
      <c r="U125" s="618">
        <f t="shared" si="14"/>
        <v>-2118965.2393735638</v>
      </c>
      <c r="V125" s="618">
        <f t="shared" si="14"/>
        <v>-2118965.2393735638</v>
      </c>
      <c r="W125" s="618">
        <f t="shared" si="14"/>
        <v>-2118965.2393735638</v>
      </c>
      <c r="X125" s="618">
        <f t="shared" si="14"/>
        <v>-2118965.2393735638</v>
      </c>
      <c r="Y125" s="618">
        <f t="shared" si="14"/>
        <v>-2118965.2393735638</v>
      </c>
      <c r="Z125" s="618">
        <f t="shared" si="14"/>
        <v>-2118965.2393735638</v>
      </c>
      <c r="AA125" s="618">
        <f t="shared" si="14"/>
        <v>-2118965.2393735638</v>
      </c>
      <c r="AB125" s="618">
        <f t="shared" si="14"/>
        <v>-2118965.2393735638</v>
      </c>
      <c r="AC125" s="618">
        <f t="shared" si="14"/>
        <v>-2118965.2393735638</v>
      </c>
      <c r="AD125" s="618">
        <f t="shared" si="14"/>
        <v>0</v>
      </c>
      <c r="AE125" s="618">
        <f t="shared" si="14"/>
        <v>0</v>
      </c>
      <c r="AF125" s="618">
        <f t="shared" si="14"/>
        <v>0</v>
      </c>
      <c r="AG125" s="618">
        <f t="shared" si="14"/>
        <v>0</v>
      </c>
      <c r="AH125" s="618">
        <f t="shared" si="14"/>
        <v>0</v>
      </c>
      <c r="AI125" s="618">
        <f t="shared" si="14"/>
        <v>0</v>
      </c>
      <c r="AJ125" s="618">
        <f t="shared" si="14"/>
        <v>0</v>
      </c>
      <c r="AK125" s="618">
        <f t="shared" si="14"/>
        <v>0</v>
      </c>
      <c r="AL125" s="618">
        <f t="shared" si="14"/>
        <v>0</v>
      </c>
      <c r="AM125" s="619">
        <f t="shared" si="14"/>
        <v>0</v>
      </c>
    </row>
    <row r="126" spans="1:39" s="487" customFormat="1" ht="12.95">
      <c r="A126" s="474"/>
      <c r="B126" s="620" t="s">
        <v>449</v>
      </c>
      <c r="C126" s="592" t="s">
        <v>331</v>
      </c>
      <c r="D126" s="621">
        <f>SUM(D125:AM125)</f>
        <v>-55093096.223712675</v>
      </c>
      <c r="E126" s="352"/>
      <c r="F126" s="352"/>
      <c r="G126" s="352"/>
      <c r="H126" s="352"/>
      <c r="I126" s="352"/>
      <c r="J126" s="352"/>
      <c r="K126" s="352"/>
      <c r="L126" s="352"/>
      <c r="M126" s="352"/>
      <c r="N126" s="352"/>
      <c r="O126" s="352"/>
      <c r="P126" s="352"/>
      <c r="Q126" s="352"/>
      <c r="R126" s="723"/>
      <c r="S126" s="352"/>
      <c r="T126" s="352"/>
      <c r="U126" s="352"/>
      <c r="V126" s="352"/>
      <c r="W126" s="352"/>
      <c r="X126" s="352"/>
      <c r="Y126" s="352"/>
      <c r="Z126" s="352"/>
      <c r="AA126" s="352"/>
      <c r="AB126" s="352"/>
      <c r="AC126" s="352"/>
      <c r="AD126" s="352"/>
      <c r="AE126" s="352"/>
      <c r="AF126" s="352"/>
      <c r="AG126" s="352"/>
      <c r="AH126" s="352"/>
      <c r="AI126" s="352"/>
      <c r="AJ126" s="352"/>
      <c r="AK126" s="352"/>
      <c r="AL126" s="352"/>
      <c r="AM126" s="352"/>
    </row>
    <row r="127" spans="1:39" s="487" customFormat="1">
      <c r="A127" s="474"/>
      <c r="B127" s="501"/>
      <c r="C127" s="501"/>
      <c r="D127" s="501"/>
      <c r="E127" s="352"/>
      <c r="F127" s="352"/>
      <c r="G127" s="352"/>
      <c r="H127" s="352"/>
      <c r="I127" s="352"/>
      <c r="J127" s="352"/>
      <c r="K127" s="352"/>
      <c r="L127" s="352"/>
      <c r="M127" s="352"/>
      <c r="N127" s="352"/>
      <c r="O127" s="352"/>
      <c r="P127" s="352"/>
      <c r="Q127" s="352"/>
      <c r="R127" s="723"/>
      <c r="S127" s="352"/>
      <c r="T127" s="352"/>
      <c r="U127" s="352"/>
      <c r="V127" s="352"/>
      <c r="W127" s="352"/>
      <c r="X127" s="352"/>
      <c r="Y127" s="352"/>
      <c r="Z127" s="352"/>
      <c r="AA127" s="352"/>
      <c r="AB127" s="352"/>
      <c r="AC127" s="352"/>
      <c r="AD127" s="352"/>
      <c r="AE127" s="352"/>
      <c r="AF127" s="352"/>
      <c r="AG127" s="352"/>
      <c r="AH127" s="352"/>
      <c r="AI127" s="352"/>
      <c r="AJ127" s="352"/>
      <c r="AK127" s="352"/>
      <c r="AL127" s="352"/>
      <c r="AM127" s="352"/>
    </row>
    <row r="128" spans="1:39" ht="12.95">
      <c r="B128" s="616" t="s">
        <v>450</v>
      </c>
      <c r="C128" s="501"/>
      <c r="D128" s="501"/>
      <c r="R128" s="474"/>
    </row>
    <row r="129" spans="1:39" s="487" customFormat="1" ht="12.95">
      <c r="A129" s="474"/>
      <c r="B129" s="622" t="s">
        <v>451</v>
      </c>
      <c r="C129" s="592" t="s">
        <v>364</v>
      </c>
      <c r="D129" s="501"/>
      <c r="E129" s="352"/>
      <c r="F129" s="352"/>
      <c r="G129" s="352"/>
      <c r="H129" s="352"/>
      <c r="I129" s="352"/>
      <c r="J129" s="352"/>
      <c r="K129" s="352"/>
      <c r="L129" s="352"/>
      <c r="M129" s="352"/>
      <c r="N129" s="352"/>
      <c r="O129" s="352"/>
      <c r="P129" s="352"/>
      <c r="Q129" s="352"/>
      <c r="R129" s="723"/>
      <c r="S129" s="352"/>
      <c r="T129" s="352"/>
      <c r="U129" s="352"/>
      <c r="V129" s="352"/>
      <c r="W129" s="352"/>
      <c r="X129" s="352"/>
      <c r="Y129" s="352"/>
      <c r="Z129" s="352"/>
      <c r="AA129" s="352"/>
      <c r="AB129" s="352"/>
      <c r="AC129" s="352"/>
      <c r="AD129" s="352"/>
      <c r="AE129" s="352"/>
      <c r="AF129" s="352"/>
      <c r="AG129" s="352"/>
      <c r="AH129" s="352"/>
      <c r="AI129" s="352"/>
      <c r="AJ129" s="352"/>
      <c r="AK129" s="352"/>
      <c r="AL129" s="352"/>
      <c r="AM129" s="352"/>
    </row>
    <row r="130" spans="1:39">
      <c r="B130" s="623" t="s">
        <v>452</v>
      </c>
      <c r="C130" s="624" t="s">
        <v>453</v>
      </c>
      <c r="D130" s="625">
        <v>31</v>
      </c>
      <c r="R130" s="474"/>
    </row>
    <row r="131" spans="1:39">
      <c r="B131" s="568" t="s">
        <v>79</v>
      </c>
      <c r="C131" s="574" t="s">
        <v>417</v>
      </c>
      <c r="D131" s="617">
        <f t="shared" ref="D131:AM131" si="15">$D$130*D120</f>
        <v>-371031.18048817426</v>
      </c>
      <c r="E131" s="618">
        <f t="shared" si="15"/>
        <v>-371031.18048817426</v>
      </c>
      <c r="F131" s="618">
        <f t="shared" si="15"/>
        <v>-371031.18048817426</v>
      </c>
      <c r="G131" s="618">
        <f t="shared" si="15"/>
        <v>-371031.18048817426</v>
      </c>
      <c r="H131" s="618">
        <f t="shared" si="15"/>
        <v>-371031.18048817426</v>
      </c>
      <c r="I131" s="618">
        <f t="shared" si="15"/>
        <v>-371031.18048817426</v>
      </c>
      <c r="J131" s="618">
        <f t="shared" si="15"/>
        <v>-371031.18048817426</v>
      </c>
      <c r="K131" s="618">
        <f t="shared" si="15"/>
        <v>-371031.18048817426</v>
      </c>
      <c r="L131" s="618">
        <f t="shared" si="15"/>
        <v>-371031.18048817426</v>
      </c>
      <c r="M131" s="618">
        <f t="shared" si="15"/>
        <v>-371031.18048817426</v>
      </c>
      <c r="N131" s="618">
        <f t="shared" si="15"/>
        <v>-371031.18048817426</v>
      </c>
      <c r="O131" s="618">
        <f t="shared" si="15"/>
        <v>-371031.18048817426</v>
      </c>
      <c r="P131" s="618">
        <f t="shared" si="15"/>
        <v>-371031.18048817426</v>
      </c>
      <c r="Q131" s="618">
        <f t="shared" si="15"/>
        <v>-371031.18048817426</v>
      </c>
      <c r="R131" s="722">
        <f t="shared" si="15"/>
        <v>-371031.18048817426</v>
      </c>
      <c r="S131" s="618">
        <f t="shared" si="15"/>
        <v>-371031.18048817426</v>
      </c>
      <c r="T131" s="618">
        <f t="shared" si="15"/>
        <v>-371031.18048817426</v>
      </c>
      <c r="U131" s="618">
        <f t="shared" si="15"/>
        <v>-371031.18048817426</v>
      </c>
      <c r="V131" s="618">
        <f t="shared" si="15"/>
        <v>-371031.18048817426</v>
      </c>
      <c r="W131" s="618">
        <f t="shared" si="15"/>
        <v>-371031.18048817426</v>
      </c>
      <c r="X131" s="618">
        <f t="shared" si="15"/>
        <v>-371031.18048817426</v>
      </c>
      <c r="Y131" s="618">
        <f t="shared" si="15"/>
        <v>-371031.18048817426</v>
      </c>
      <c r="Z131" s="618">
        <f t="shared" si="15"/>
        <v>-371031.18048817426</v>
      </c>
      <c r="AA131" s="618">
        <f t="shared" si="15"/>
        <v>-371031.18048817426</v>
      </c>
      <c r="AB131" s="618">
        <f t="shared" si="15"/>
        <v>-371031.18048817426</v>
      </c>
      <c r="AC131" s="618">
        <f t="shared" si="15"/>
        <v>-653018.21577147185</v>
      </c>
      <c r="AD131" s="618">
        <f t="shared" si="15"/>
        <v>0</v>
      </c>
      <c r="AE131" s="618">
        <f t="shared" si="15"/>
        <v>0</v>
      </c>
      <c r="AF131" s="618">
        <f t="shared" si="15"/>
        <v>0</v>
      </c>
      <c r="AG131" s="618">
        <f t="shared" si="15"/>
        <v>0</v>
      </c>
      <c r="AH131" s="618">
        <f t="shared" si="15"/>
        <v>0</v>
      </c>
      <c r="AI131" s="618">
        <f t="shared" si="15"/>
        <v>0</v>
      </c>
      <c r="AJ131" s="618">
        <f t="shared" si="15"/>
        <v>0</v>
      </c>
      <c r="AK131" s="618">
        <f t="shared" si="15"/>
        <v>0</v>
      </c>
      <c r="AL131" s="618">
        <f t="shared" si="15"/>
        <v>0</v>
      </c>
      <c r="AM131" s="619">
        <f t="shared" si="15"/>
        <v>0</v>
      </c>
    </row>
    <row r="132" spans="1:39" ht="12.95">
      <c r="B132" s="620" t="s">
        <v>454</v>
      </c>
      <c r="C132" s="592" t="s">
        <v>331</v>
      </c>
      <c r="D132" s="590">
        <f>SUM(D131:AM131)</f>
        <v>-9928797.7279758248</v>
      </c>
      <c r="R132" s="474"/>
    </row>
    <row r="133" spans="1:39">
      <c r="B133" s="568" t="s">
        <v>455</v>
      </c>
      <c r="C133" s="574" t="s">
        <v>417</v>
      </c>
      <c r="D133" s="617">
        <f t="shared" ref="D133:AM133" si="16">(0-$D$21)*D79*$D$130/$C$31</f>
        <v>-653018.21577147185</v>
      </c>
      <c r="E133" s="618">
        <f t="shared" si="16"/>
        <v>-653018.21577147185</v>
      </c>
      <c r="F133" s="618">
        <f t="shared" si="16"/>
        <v>-653018.21577147185</v>
      </c>
      <c r="G133" s="618">
        <f t="shared" si="16"/>
        <v>-653018.21577147185</v>
      </c>
      <c r="H133" s="618">
        <f t="shared" si="16"/>
        <v>-653018.21577147185</v>
      </c>
      <c r="I133" s="618">
        <f t="shared" si="16"/>
        <v>-653018.21577147185</v>
      </c>
      <c r="J133" s="618">
        <f t="shared" si="16"/>
        <v>-653018.21577147185</v>
      </c>
      <c r="K133" s="618">
        <f t="shared" si="16"/>
        <v>-653018.21577147185</v>
      </c>
      <c r="L133" s="618">
        <f t="shared" si="16"/>
        <v>-653018.21577147185</v>
      </c>
      <c r="M133" s="618">
        <f t="shared" si="16"/>
        <v>-653018.21577147185</v>
      </c>
      <c r="N133" s="618">
        <f t="shared" si="16"/>
        <v>-653018.21577147185</v>
      </c>
      <c r="O133" s="618">
        <f t="shared" si="16"/>
        <v>-653018.21577147185</v>
      </c>
      <c r="P133" s="618">
        <f t="shared" si="16"/>
        <v>-653018.21577147185</v>
      </c>
      <c r="Q133" s="618">
        <f t="shared" si="16"/>
        <v>-653018.21577147185</v>
      </c>
      <c r="R133" s="722">
        <f t="shared" si="16"/>
        <v>-653018.21577147185</v>
      </c>
      <c r="S133" s="618">
        <f t="shared" si="16"/>
        <v>-653018.21577147185</v>
      </c>
      <c r="T133" s="618">
        <f t="shared" si="16"/>
        <v>-653018.21577147185</v>
      </c>
      <c r="U133" s="618">
        <f t="shared" si="16"/>
        <v>-653018.21577147185</v>
      </c>
      <c r="V133" s="618">
        <f t="shared" si="16"/>
        <v>-653018.21577147185</v>
      </c>
      <c r="W133" s="618">
        <f t="shared" si="16"/>
        <v>-653018.21577147185</v>
      </c>
      <c r="X133" s="618">
        <f t="shared" si="16"/>
        <v>-653018.21577147185</v>
      </c>
      <c r="Y133" s="618">
        <f t="shared" si="16"/>
        <v>-653018.21577147185</v>
      </c>
      <c r="Z133" s="618">
        <f t="shared" si="16"/>
        <v>-653018.21577147185</v>
      </c>
      <c r="AA133" s="618">
        <f t="shared" si="16"/>
        <v>-653018.21577147185</v>
      </c>
      <c r="AB133" s="618">
        <f t="shared" si="16"/>
        <v>-653018.21577147185</v>
      </c>
      <c r="AC133" s="618">
        <f t="shared" si="16"/>
        <v>-653018.21577147185</v>
      </c>
      <c r="AD133" s="618">
        <f t="shared" si="16"/>
        <v>0</v>
      </c>
      <c r="AE133" s="618">
        <f t="shared" si="16"/>
        <v>0</v>
      </c>
      <c r="AF133" s="618">
        <f t="shared" si="16"/>
        <v>0</v>
      </c>
      <c r="AG133" s="618">
        <f t="shared" si="16"/>
        <v>0</v>
      </c>
      <c r="AH133" s="618">
        <f t="shared" si="16"/>
        <v>0</v>
      </c>
      <c r="AI133" s="618">
        <f t="shared" si="16"/>
        <v>0</v>
      </c>
      <c r="AJ133" s="618">
        <f t="shared" si="16"/>
        <v>0</v>
      </c>
      <c r="AK133" s="618">
        <f t="shared" si="16"/>
        <v>0</v>
      </c>
      <c r="AL133" s="618">
        <f t="shared" si="16"/>
        <v>0</v>
      </c>
      <c r="AM133" s="619">
        <f t="shared" si="16"/>
        <v>0</v>
      </c>
    </row>
    <row r="134" spans="1:39" ht="12.95">
      <c r="B134" s="620" t="s">
        <v>456</v>
      </c>
      <c r="C134" s="592" t="s">
        <v>331</v>
      </c>
      <c r="D134" s="590">
        <f>SUM(D133:AM133)</f>
        <v>-16978473.61005827</v>
      </c>
      <c r="R134" s="474"/>
    </row>
    <row r="135" spans="1:39">
      <c r="R135" s="474"/>
    </row>
    <row r="136" spans="1:39" ht="12.95">
      <c r="B136" s="626" t="s">
        <v>457</v>
      </c>
      <c r="C136" s="566" t="s">
        <v>364</v>
      </c>
      <c r="R136" s="474"/>
    </row>
    <row r="137" spans="1:39">
      <c r="B137" s="568" t="str">
        <f>B125</f>
        <v>Avoided electricity cost (grid)</v>
      </c>
      <c r="C137" s="627" t="s">
        <v>417</v>
      </c>
      <c r="D137" s="571">
        <f t="shared" ref="D137:AM137" si="17">D125</f>
        <v>-2118965.2393735638</v>
      </c>
      <c r="E137" s="571">
        <f t="shared" si="17"/>
        <v>-2118965.2393735638</v>
      </c>
      <c r="F137" s="571">
        <f t="shared" si="17"/>
        <v>-2118965.2393735638</v>
      </c>
      <c r="G137" s="571">
        <f t="shared" si="17"/>
        <v>-2118965.2393735638</v>
      </c>
      <c r="H137" s="571">
        <f t="shared" si="17"/>
        <v>-2118965.2393735638</v>
      </c>
      <c r="I137" s="571">
        <f t="shared" si="17"/>
        <v>-2118965.2393735638</v>
      </c>
      <c r="J137" s="571">
        <f t="shared" si="17"/>
        <v>-2118965.2393735638</v>
      </c>
      <c r="K137" s="571">
        <f t="shared" si="17"/>
        <v>-2118965.2393735638</v>
      </c>
      <c r="L137" s="571">
        <f t="shared" si="17"/>
        <v>-2118965.2393735638</v>
      </c>
      <c r="M137" s="571">
        <f t="shared" si="17"/>
        <v>-2118965.2393735638</v>
      </c>
      <c r="N137" s="571">
        <f t="shared" si="17"/>
        <v>-2118965.2393735638</v>
      </c>
      <c r="O137" s="571">
        <f t="shared" si="17"/>
        <v>-2118965.2393735638</v>
      </c>
      <c r="P137" s="571">
        <f t="shared" si="17"/>
        <v>-2118965.2393735638</v>
      </c>
      <c r="Q137" s="571">
        <f t="shared" si="17"/>
        <v>-2118965.2393735638</v>
      </c>
      <c r="R137" s="715">
        <f t="shared" si="17"/>
        <v>-2118965.2393735638</v>
      </c>
      <c r="S137" s="571">
        <f t="shared" si="17"/>
        <v>-2118965.2393735638</v>
      </c>
      <c r="T137" s="571">
        <f t="shared" si="17"/>
        <v>-2118965.2393735638</v>
      </c>
      <c r="U137" s="571">
        <f t="shared" si="17"/>
        <v>-2118965.2393735638</v>
      </c>
      <c r="V137" s="571">
        <f t="shared" si="17"/>
        <v>-2118965.2393735638</v>
      </c>
      <c r="W137" s="571">
        <f t="shared" si="17"/>
        <v>-2118965.2393735638</v>
      </c>
      <c r="X137" s="571">
        <f t="shared" si="17"/>
        <v>-2118965.2393735638</v>
      </c>
      <c r="Y137" s="571">
        <f t="shared" si="17"/>
        <v>-2118965.2393735638</v>
      </c>
      <c r="Z137" s="571">
        <f t="shared" si="17"/>
        <v>-2118965.2393735638</v>
      </c>
      <c r="AA137" s="571">
        <f t="shared" si="17"/>
        <v>-2118965.2393735638</v>
      </c>
      <c r="AB137" s="571">
        <f t="shared" si="17"/>
        <v>-2118965.2393735638</v>
      </c>
      <c r="AC137" s="571">
        <f t="shared" si="17"/>
        <v>-2118965.2393735638</v>
      </c>
      <c r="AD137" s="571">
        <f t="shared" si="17"/>
        <v>0</v>
      </c>
      <c r="AE137" s="571">
        <f t="shared" si="17"/>
        <v>0</v>
      </c>
      <c r="AF137" s="571">
        <f t="shared" si="17"/>
        <v>0</v>
      </c>
      <c r="AG137" s="571">
        <f t="shared" si="17"/>
        <v>0</v>
      </c>
      <c r="AH137" s="571">
        <f t="shared" si="17"/>
        <v>0</v>
      </c>
      <c r="AI137" s="571">
        <f t="shared" si="17"/>
        <v>0</v>
      </c>
      <c r="AJ137" s="571">
        <f t="shared" si="17"/>
        <v>0</v>
      </c>
      <c r="AK137" s="571">
        <f t="shared" si="17"/>
        <v>0</v>
      </c>
      <c r="AL137" s="571">
        <f t="shared" si="17"/>
        <v>0</v>
      </c>
      <c r="AM137" s="572">
        <f t="shared" si="17"/>
        <v>0</v>
      </c>
    </row>
    <row r="138" spans="1:39">
      <c r="B138" s="577" t="str">
        <f>B131</f>
        <v>Avoided annual social cost of carbon</v>
      </c>
      <c r="C138" s="607" t="s">
        <v>417</v>
      </c>
      <c r="D138" s="541">
        <f t="shared" ref="D138:AM138" si="18">D131</f>
        <v>-371031.18048817426</v>
      </c>
      <c r="E138" s="541">
        <f t="shared" si="18"/>
        <v>-371031.18048817426</v>
      </c>
      <c r="F138" s="541">
        <f t="shared" si="18"/>
        <v>-371031.18048817426</v>
      </c>
      <c r="G138" s="541">
        <f t="shared" si="18"/>
        <v>-371031.18048817426</v>
      </c>
      <c r="H138" s="541">
        <f t="shared" si="18"/>
        <v>-371031.18048817426</v>
      </c>
      <c r="I138" s="541">
        <f t="shared" si="18"/>
        <v>-371031.18048817426</v>
      </c>
      <c r="J138" s="541">
        <f t="shared" si="18"/>
        <v>-371031.18048817426</v>
      </c>
      <c r="K138" s="541">
        <f t="shared" si="18"/>
        <v>-371031.18048817426</v>
      </c>
      <c r="L138" s="541">
        <f t="shared" si="18"/>
        <v>-371031.18048817426</v>
      </c>
      <c r="M138" s="541">
        <f t="shared" si="18"/>
        <v>-371031.18048817426</v>
      </c>
      <c r="N138" s="541">
        <f t="shared" si="18"/>
        <v>-371031.18048817426</v>
      </c>
      <c r="O138" s="541">
        <f t="shared" si="18"/>
        <v>-371031.18048817426</v>
      </c>
      <c r="P138" s="541">
        <f t="shared" si="18"/>
        <v>-371031.18048817426</v>
      </c>
      <c r="Q138" s="541">
        <f t="shared" si="18"/>
        <v>-371031.18048817426</v>
      </c>
      <c r="R138" s="721">
        <f t="shared" si="18"/>
        <v>-371031.18048817426</v>
      </c>
      <c r="S138" s="541">
        <f t="shared" si="18"/>
        <v>-371031.18048817426</v>
      </c>
      <c r="T138" s="541">
        <f t="shared" si="18"/>
        <v>-371031.18048817426</v>
      </c>
      <c r="U138" s="541">
        <f t="shared" si="18"/>
        <v>-371031.18048817426</v>
      </c>
      <c r="V138" s="541">
        <f t="shared" si="18"/>
        <v>-371031.18048817426</v>
      </c>
      <c r="W138" s="541">
        <f t="shared" si="18"/>
        <v>-371031.18048817426</v>
      </c>
      <c r="X138" s="541">
        <f t="shared" si="18"/>
        <v>-371031.18048817426</v>
      </c>
      <c r="Y138" s="541">
        <f t="shared" si="18"/>
        <v>-371031.18048817426</v>
      </c>
      <c r="Z138" s="541">
        <f t="shared" si="18"/>
        <v>-371031.18048817426</v>
      </c>
      <c r="AA138" s="541">
        <f t="shared" si="18"/>
        <v>-371031.18048817426</v>
      </c>
      <c r="AB138" s="541">
        <f t="shared" si="18"/>
        <v>-371031.18048817426</v>
      </c>
      <c r="AC138" s="541">
        <f t="shared" si="18"/>
        <v>-653018.21577147185</v>
      </c>
      <c r="AD138" s="541">
        <f t="shared" si="18"/>
        <v>0</v>
      </c>
      <c r="AE138" s="541">
        <f t="shared" si="18"/>
        <v>0</v>
      </c>
      <c r="AF138" s="541">
        <f t="shared" si="18"/>
        <v>0</v>
      </c>
      <c r="AG138" s="541">
        <f t="shared" si="18"/>
        <v>0</v>
      </c>
      <c r="AH138" s="541">
        <f t="shared" si="18"/>
        <v>0</v>
      </c>
      <c r="AI138" s="541">
        <f t="shared" si="18"/>
        <v>0</v>
      </c>
      <c r="AJ138" s="541">
        <f t="shared" si="18"/>
        <v>0</v>
      </c>
      <c r="AK138" s="541">
        <f t="shared" si="18"/>
        <v>0</v>
      </c>
      <c r="AL138" s="541">
        <f t="shared" si="18"/>
        <v>0</v>
      </c>
      <c r="AM138" s="576">
        <f t="shared" si="18"/>
        <v>0</v>
      </c>
    </row>
    <row r="139" spans="1:39" ht="12.95">
      <c r="B139" s="628" t="s">
        <v>458</v>
      </c>
      <c r="C139" s="602" t="s">
        <v>417</v>
      </c>
      <c r="D139" s="600">
        <f>D137+D138</f>
        <v>-2489996.4198617381</v>
      </c>
      <c r="E139" s="600">
        <f t="shared" ref="E139:AM139" si="19">E137+E138</f>
        <v>-2489996.4198617381</v>
      </c>
      <c r="F139" s="600">
        <f t="shared" si="19"/>
        <v>-2489996.4198617381</v>
      </c>
      <c r="G139" s="600">
        <f t="shared" si="19"/>
        <v>-2489996.4198617381</v>
      </c>
      <c r="H139" s="600">
        <f t="shared" si="19"/>
        <v>-2489996.4198617381</v>
      </c>
      <c r="I139" s="600">
        <f t="shared" si="19"/>
        <v>-2489996.4198617381</v>
      </c>
      <c r="J139" s="600">
        <f t="shared" si="19"/>
        <v>-2489996.4198617381</v>
      </c>
      <c r="K139" s="600">
        <f t="shared" si="19"/>
        <v>-2489996.4198617381</v>
      </c>
      <c r="L139" s="600">
        <f t="shared" si="19"/>
        <v>-2489996.4198617381</v>
      </c>
      <c r="M139" s="600">
        <f t="shared" si="19"/>
        <v>-2489996.4198617381</v>
      </c>
      <c r="N139" s="600">
        <f t="shared" si="19"/>
        <v>-2489996.4198617381</v>
      </c>
      <c r="O139" s="600">
        <f t="shared" si="19"/>
        <v>-2489996.4198617381</v>
      </c>
      <c r="P139" s="600">
        <f t="shared" si="19"/>
        <v>-2489996.4198617381</v>
      </c>
      <c r="Q139" s="600">
        <f t="shared" si="19"/>
        <v>-2489996.4198617381</v>
      </c>
      <c r="R139" s="600">
        <f t="shared" si="19"/>
        <v>-2489996.4198617381</v>
      </c>
      <c r="S139" s="600">
        <f t="shared" si="19"/>
        <v>-2489996.4198617381</v>
      </c>
      <c r="T139" s="600">
        <f t="shared" si="19"/>
        <v>-2489996.4198617381</v>
      </c>
      <c r="U139" s="600">
        <f t="shared" si="19"/>
        <v>-2489996.4198617381</v>
      </c>
      <c r="V139" s="600">
        <f t="shared" si="19"/>
        <v>-2489996.4198617381</v>
      </c>
      <c r="W139" s="600">
        <f t="shared" si="19"/>
        <v>-2489996.4198617381</v>
      </c>
      <c r="X139" s="600">
        <f t="shared" si="19"/>
        <v>-2489996.4198617381</v>
      </c>
      <c r="Y139" s="600">
        <f t="shared" si="19"/>
        <v>-2489996.4198617381</v>
      </c>
      <c r="Z139" s="600">
        <f t="shared" si="19"/>
        <v>-2489996.4198617381</v>
      </c>
      <c r="AA139" s="600">
        <f t="shared" si="19"/>
        <v>-2489996.4198617381</v>
      </c>
      <c r="AB139" s="600">
        <f t="shared" si="19"/>
        <v>-2489996.4198617381</v>
      </c>
      <c r="AC139" s="600">
        <f t="shared" si="19"/>
        <v>-2771983.4551450359</v>
      </c>
      <c r="AD139" s="600">
        <f t="shared" si="19"/>
        <v>0</v>
      </c>
      <c r="AE139" s="600">
        <f t="shared" si="19"/>
        <v>0</v>
      </c>
      <c r="AF139" s="600">
        <f t="shared" si="19"/>
        <v>0</v>
      </c>
      <c r="AG139" s="600">
        <f t="shared" si="19"/>
        <v>0</v>
      </c>
      <c r="AH139" s="600">
        <f t="shared" si="19"/>
        <v>0</v>
      </c>
      <c r="AI139" s="600">
        <f t="shared" si="19"/>
        <v>0</v>
      </c>
      <c r="AJ139" s="600">
        <f t="shared" si="19"/>
        <v>0</v>
      </c>
      <c r="AK139" s="600">
        <f t="shared" si="19"/>
        <v>0</v>
      </c>
      <c r="AL139" s="600">
        <f t="shared" si="19"/>
        <v>0</v>
      </c>
      <c r="AM139" s="601">
        <f t="shared" si="19"/>
        <v>0</v>
      </c>
    </row>
    <row r="140" spans="1:39">
      <c r="B140" s="629" t="s">
        <v>424</v>
      </c>
      <c r="C140" s="627" t="s">
        <v>417</v>
      </c>
      <c r="D140" s="571">
        <f t="shared" ref="D140:M140" si="20">D97</f>
        <v>26326129.807688385</v>
      </c>
      <c r="E140" s="571">
        <f t="shared" si="20"/>
        <v>0</v>
      </c>
      <c r="F140" s="571">
        <f t="shared" si="20"/>
        <v>0</v>
      </c>
      <c r="G140" s="571">
        <f t="shared" si="20"/>
        <v>0</v>
      </c>
      <c r="H140" s="571">
        <f t="shared" si="20"/>
        <v>0</v>
      </c>
      <c r="I140" s="571">
        <f t="shared" si="20"/>
        <v>0</v>
      </c>
      <c r="J140" s="571">
        <f t="shared" si="20"/>
        <v>0</v>
      </c>
      <c r="K140" s="571">
        <f t="shared" si="20"/>
        <v>0</v>
      </c>
      <c r="L140" s="571">
        <f t="shared" si="20"/>
        <v>0</v>
      </c>
      <c r="M140" s="572">
        <f t="shared" si="20"/>
        <v>0</v>
      </c>
      <c r="N140" s="352"/>
      <c r="R140" s="474"/>
    </row>
    <row r="141" spans="1:39">
      <c r="B141" s="630" t="s">
        <v>459</v>
      </c>
      <c r="C141" s="627" t="s">
        <v>417</v>
      </c>
      <c r="D141" s="571">
        <f t="shared" ref="D141:AM141" si="21">D84+D85</f>
        <v>403803.90545489348</v>
      </c>
      <c r="E141" s="571">
        <f t="shared" si="21"/>
        <v>403803.90545489348</v>
      </c>
      <c r="F141" s="571">
        <f t="shared" si="21"/>
        <v>403803.90545489348</v>
      </c>
      <c r="G141" s="571">
        <f t="shared" si="21"/>
        <v>403803.90545489348</v>
      </c>
      <c r="H141" s="571">
        <f t="shared" si="21"/>
        <v>403803.90545489348</v>
      </c>
      <c r="I141" s="571">
        <f t="shared" si="21"/>
        <v>403803.90545489348</v>
      </c>
      <c r="J141" s="571">
        <f t="shared" si="21"/>
        <v>403803.90545489348</v>
      </c>
      <c r="K141" s="571">
        <f t="shared" si="21"/>
        <v>403803.90545489348</v>
      </c>
      <c r="L141" s="571">
        <f t="shared" si="21"/>
        <v>403803.90545489348</v>
      </c>
      <c r="M141" s="571">
        <f t="shared" si="21"/>
        <v>403803.90545489348</v>
      </c>
      <c r="N141" s="571">
        <f t="shared" si="21"/>
        <v>403803.90545489348</v>
      </c>
      <c r="O141" s="571">
        <f t="shared" si="21"/>
        <v>403803.90545489348</v>
      </c>
      <c r="P141" s="571">
        <f t="shared" si="21"/>
        <v>403803.90545489348</v>
      </c>
      <c r="Q141" s="571">
        <f t="shared" si="21"/>
        <v>403803.90545489348</v>
      </c>
      <c r="R141" s="715">
        <f t="shared" si="21"/>
        <v>403803.90545489348</v>
      </c>
      <c r="S141" s="571">
        <f t="shared" si="21"/>
        <v>403803.90545489348</v>
      </c>
      <c r="T141" s="571">
        <f t="shared" si="21"/>
        <v>403803.90545489348</v>
      </c>
      <c r="U141" s="571">
        <f t="shared" si="21"/>
        <v>403803.90545489348</v>
      </c>
      <c r="V141" s="571">
        <f t="shared" si="21"/>
        <v>403803.90545489348</v>
      </c>
      <c r="W141" s="571">
        <f t="shared" si="21"/>
        <v>403803.90545489348</v>
      </c>
      <c r="X141" s="571">
        <f t="shared" si="21"/>
        <v>403803.90545489348</v>
      </c>
      <c r="Y141" s="571">
        <f t="shared" si="21"/>
        <v>403803.90545489348</v>
      </c>
      <c r="Z141" s="571">
        <f t="shared" si="21"/>
        <v>403803.90545489348</v>
      </c>
      <c r="AA141" s="571">
        <f t="shared" si="21"/>
        <v>403803.90545489348</v>
      </c>
      <c r="AB141" s="571">
        <f t="shared" si="21"/>
        <v>403803.90545489348</v>
      </c>
      <c r="AC141" s="571">
        <f t="shared" si="21"/>
        <v>1642768.8673553236</v>
      </c>
      <c r="AD141" s="571">
        <f t="shared" si="21"/>
        <v>0</v>
      </c>
      <c r="AE141" s="571">
        <f t="shared" si="21"/>
        <v>0</v>
      </c>
      <c r="AF141" s="571">
        <f t="shared" si="21"/>
        <v>0</v>
      </c>
      <c r="AG141" s="571">
        <f t="shared" si="21"/>
        <v>0</v>
      </c>
      <c r="AH141" s="571">
        <f t="shared" si="21"/>
        <v>0</v>
      </c>
      <c r="AI141" s="571">
        <f t="shared" si="21"/>
        <v>0</v>
      </c>
      <c r="AJ141" s="571">
        <f t="shared" si="21"/>
        <v>0</v>
      </c>
      <c r="AK141" s="571">
        <f t="shared" si="21"/>
        <v>0</v>
      </c>
      <c r="AL141" s="571">
        <f t="shared" si="21"/>
        <v>0</v>
      </c>
      <c r="AM141" s="572">
        <f t="shared" si="21"/>
        <v>0</v>
      </c>
    </row>
    <row r="142" spans="1:39">
      <c r="B142" s="631" t="s">
        <v>460</v>
      </c>
      <c r="C142" s="632" t="s">
        <v>417</v>
      </c>
      <c r="D142" s="541">
        <f t="shared" ref="D142:AM142" si="22">D86</f>
        <v>0</v>
      </c>
      <c r="E142" s="541">
        <f t="shared" si="22"/>
        <v>0</v>
      </c>
      <c r="F142" s="541">
        <f t="shared" si="22"/>
        <v>0</v>
      </c>
      <c r="G142" s="541">
        <f t="shared" si="22"/>
        <v>0</v>
      </c>
      <c r="H142" s="541">
        <f t="shared" si="22"/>
        <v>0</v>
      </c>
      <c r="I142" s="541">
        <f t="shared" si="22"/>
        <v>0</v>
      </c>
      <c r="J142" s="541">
        <f t="shared" si="22"/>
        <v>0</v>
      </c>
      <c r="K142" s="541">
        <f t="shared" si="22"/>
        <v>0</v>
      </c>
      <c r="L142" s="541">
        <f t="shared" si="22"/>
        <v>0</v>
      </c>
      <c r="M142" s="541">
        <f t="shared" si="22"/>
        <v>0</v>
      </c>
      <c r="N142" s="541">
        <f t="shared" si="22"/>
        <v>0</v>
      </c>
      <c r="O142" s="541">
        <f t="shared" si="22"/>
        <v>0</v>
      </c>
      <c r="P142" s="541">
        <f t="shared" si="22"/>
        <v>0</v>
      </c>
      <c r="Q142" s="541">
        <f t="shared" si="22"/>
        <v>0</v>
      </c>
      <c r="R142" s="721">
        <f t="shared" si="22"/>
        <v>0</v>
      </c>
      <c r="S142" s="541">
        <f t="shared" si="22"/>
        <v>0</v>
      </c>
      <c r="T142" s="541">
        <f t="shared" si="22"/>
        <v>0</v>
      </c>
      <c r="U142" s="541">
        <f t="shared" si="22"/>
        <v>0</v>
      </c>
      <c r="V142" s="541">
        <f t="shared" si="22"/>
        <v>0</v>
      </c>
      <c r="W142" s="541">
        <f t="shared" si="22"/>
        <v>0</v>
      </c>
      <c r="X142" s="541">
        <f t="shared" si="22"/>
        <v>0</v>
      </c>
      <c r="Y142" s="541">
        <f t="shared" si="22"/>
        <v>0</v>
      </c>
      <c r="Z142" s="541">
        <f t="shared" si="22"/>
        <v>0</v>
      </c>
      <c r="AA142" s="541">
        <f t="shared" si="22"/>
        <v>0</v>
      </c>
      <c r="AB142" s="541">
        <f t="shared" si="22"/>
        <v>0</v>
      </c>
      <c r="AC142" s="541">
        <f t="shared" si="22"/>
        <v>0</v>
      </c>
      <c r="AD142" s="541">
        <f t="shared" si="22"/>
        <v>0</v>
      </c>
      <c r="AE142" s="541">
        <f t="shared" si="22"/>
        <v>0</v>
      </c>
      <c r="AF142" s="541">
        <f t="shared" si="22"/>
        <v>0</v>
      </c>
      <c r="AG142" s="541">
        <f t="shared" si="22"/>
        <v>0</v>
      </c>
      <c r="AH142" s="541">
        <f t="shared" si="22"/>
        <v>0</v>
      </c>
      <c r="AI142" s="541">
        <f t="shared" si="22"/>
        <v>0</v>
      </c>
      <c r="AJ142" s="541">
        <f t="shared" si="22"/>
        <v>0</v>
      </c>
      <c r="AK142" s="541">
        <f t="shared" si="22"/>
        <v>0</v>
      </c>
      <c r="AL142" s="541">
        <f t="shared" si="22"/>
        <v>0</v>
      </c>
      <c r="AM142" s="576">
        <f t="shared" si="22"/>
        <v>0</v>
      </c>
    </row>
    <row r="143" spans="1:39">
      <c r="B143" s="631" t="s">
        <v>428</v>
      </c>
      <c r="C143" s="632" t="s">
        <v>417</v>
      </c>
      <c r="D143" s="541">
        <f t="shared" ref="D143:AM143" si="23">D100</f>
        <v>0</v>
      </c>
      <c r="E143" s="541">
        <f t="shared" si="23"/>
        <v>0</v>
      </c>
      <c r="F143" s="541">
        <f t="shared" si="23"/>
        <v>0</v>
      </c>
      <c r="G143" s="541">
        <f t="shared" si="23"/>
        <v>0</v>
      </c>
      <c r="H143" s="541">
        <f t="shared" si="23"/>
        <v>0</v>
      </c>
      <c r="I143" s="541">
        <f t="shared" si="23"/>
        <v>0</v>
      </c>
      <c r="J143" s="541">
        <f t="shared" si="23"/>
        <v>0</v>
      </c>
      <c r="K143" s="541">
        <f t="shared" si="23"/>
        <v>0</v>
      </c>
      <c r="L143" s="541">
        <f t="shared" si="23"/>
        <v>0</v>
      </c>
      <c r="M143" s="541">
        <f t="shared" si="23"/>
        <v>0</v>
      </c>
      <c r="N143" s="541">
        <f t="shared" si="23"/>
        <v>0</v>
      </c>
      <c r="O143" s="541">
        <f t="shared" si="23"/>
        <v>0</v>
      </c>
      <c r="P143" s="541">
        <f t="shared" si="23"/>
        <v>0</v>
      </c>
      <c r="Q143" s="541">
        <f t="shared" si="23"/>
        <v>0</v>
      </c>
      <c r="R143" s="721">
        <f t="shared" si="23"/>
        <v>0</v>
      </c>
      <c r="S143" s="541">
        <f t="shared" si="23"/>
        <v>0</v>
      </c>
      <c r="T143" s="541">
        <f t="shared" si="23"/>
        <v>0</v>
      </c>
      <c r="U143" s="541">
        <f t="shared" si="23"/>
        <v>0</v>
      </c>
      <c r="V143" s="541">
        <f t="shared" si="23"/>
        <v>0</v>
      </c>
      <c r="W143" s="541">
        <f t="shared" si="23"/>
        <v>0</v>
      </c>
      <c r="X143" s="541">
        <f t="shared" si="23"/>
        <v>0</v>
      </c>
      <c r="Y143" s="541">
        <f t="shared" si="23"/>
        <v>0</v>
      </c>
      <c r="Z143" s="541">
        <f t="shared" si="23"/>
        <v>0</v>
      </c>
      <c r="AA143" s="541">
        <f t="shared" si="23"/>
        <v>0</v>
      </c>
      <c r="AB143" s="541">
        <f t="shared" si="23"/>
        <v>0</v>
      </c>
      <c r="AC143" s="541">
        <f t="shared" si="23"/>
        <v>0</v>
      </c>
      <c r="AD143" s="541">
        <f t="shared" si="23"/>
        <v>0</v>
      </c>
      <c r="AE143" s="541">
        <f t="shared" si="23"/>
        <v>0</v>
      </c>
      <c r="AF143" s="541">
        <f t="shared" si="23"/>
        <v>0</v>
      </c>
      <c r="AG143" s="541">
        <f t="shared" si="23"/>
        <v>0</v>
      </c>
      <c r="AH143" s="541">
        <f t="shared" si="23"/>
        <v>0</v>
      </c>
      <c r="AI143" s="541">
        <f t="shared" si="23"/>
        <v>0</v>
      </c>
      <c r="AJ143" s="541">
        <f t="shared" si="23"/>
        <v>0</v>
      </c>
      <c r="AK143" s="541">
        <f t="shared" si="23"/>
        <v>0</v>
      </c>
      <c r="AL143" s="541">
        <f t="shared" si="23"/>
        <v>0</v>
      </c>
      <c r="AM143" s="576">
        <f t="shared" si="23"/>
        <v>0</v>
      </c>
    </row>
    <row r="144" spans="1:39">
      <c r="B144" s="633" t="s">
        <v>429</v>
      </c>
      <c r="C144" s="607" t="s">
        <v>417</v>
      </c>
      <c r="D144" s="580">
        <f t="shared" ref="D144:AM144" si="24">D101</f>
        <v>0</v>
      </c>
      <c r="E144" s="580">
        <f t="shared" si="24"/>
        <v>1053045.1923075353</v>
      </c>
      <c r="F144" s="580">
        <f t="shared" si="24"/>
        <v>1053045.1923075353</v>
      </c>
      <c r="G144" s="580">
        <f t="shared" si="24"/>
        <v>1053045.1923075353</v>
      </c>
      <c r="H144" s="580">
        <f t="shared" si="24"/>
        <v>1053045.1923075353</v>
      </c>
      <c r="I144" s="580">
        <f t="shared" si="24"/>
        <v>1053045.1923075353</v>
      </c>
      <c r="J144" s="580">
        <f t="shared" si="24"/>
        <v>1053045.1923075353</v>
      </c>
      <c r="K144" s="580">
        <f t="shared" si="24"/>
        <v>1053045.1923075353</v>
      </c>
      <c r="L144" s="580">
        <f t="shared" si="24"/>
        <v>1053045.1923075353</v>
      </c>
      <c r="M144" s="580">
        <f t="shared" si="24"/>
        <v>1053045.1923075353</v>
      </c>
      <c r="N144" s="580">
        <f t="shared" si="24"/>
        <v>1053045.1923075353</v>
      </c>
      <c r="O144" s="580">
        <f t="shared" si="24"/>
        <v>1053045.1923075353</v>
      </c>
      <c r="P144" s="580">
        <f t="shared" si="24"/>
        <v>1053045.1923075353</v>
      </c>
      <c r="Q144" s="580">
        <f t="shared" si="24"/>
        <v>1053045.1923075353</v>
      </c>
      <c r="R144" s="716">
        <f t="shared" si="24"/>
        <v>1053045.1923075353</v>
      </c>
      <c r="S144" s="580">
        <f t="shared" si="24"/>
        <v>1053045.1923075353</v>
      </c>
      <c r="T144" s="580">
        <f t="shared" si="24"/>
        <v>1053045.1923075353</v>
      </c>
      <c r="U144" s="580">
        <f t="shared" si="24"/>
        <v>1053045.1923075353</v>
      </c>
      <c r="V144" s="580">
        <f t="shared" si="24"/>
        <v>1053045.1923075353</v>
      </c>
      <c r="W144" s="580">
        <f t="shared" si="24"/>
        <v>1053045.1923075353</v>
      </c>
      <c r="X144" s="580">
        <f t="shared" si="24"/>
        <v>1053045.1923075353</v>
      </c>
      <c r="Y144" s="580">
        <f t="shared" si="24"/>
        <v>1053045.1923075353</v>
      </c>
      <c r="Z144" s="580">
        <f t="shared" si="24"/>
        <v>1053045.1923075353</v>
      </c>
      <c r="AA144" s="580">
        <f t="shared" si="24"/>
        <v>1053045.1923075353</v>
      </c>
      <c r="AB144" s="580">
        <f t="shared" si="24"/>
        <v>1053045.1923075353</v>
      </c>
      <c r="AC144" s="580">
        <f t="shared" si="24"/>
        <v>1053045.1923075353</v>
      </c>
      <c r="AD144" s="580">
        <f t="shared" si="24"/>
        <v>0</v>
      </c>
      <c r="AE144" s="580">
        <f t="shared" si="24"/>
        <v>0</v>
      </c>
      <c r="AF144" s="580">
        <f t="shared" si="24"/>
        <v>0</v>
      </c>
      <c r="AG144" s="580">
        <f t="shared" si="24"/>
        <v>0</v>
      </c>
      <c r="AH144" s="580">
        <f t="shared" si="24"/>
        <v>0</v>
      </c>
      <c r="AI144" s="580">
        <f t="shared" si="24"/>
        <v>0</v>
      </c>
      <c r="AJ144" s="580">
        <f t="shared" si="24"/>
        <v>0</v>
      </c>
      <c r="AK144" s="580">
        <f t="shared" si="24"/>
        <v>0</v>
      </c>
      <c r="AL144" s="580">
        <f t="shared" si="24"/>
        <v>0</v>
      </c>
      <c r="AM144" s="581">
        <f t="shared" si="24"/>
        <v>0</v>
      </c>
    </row>
    <row r="145" spans="1:39" ht="12.95">
      <c r="B145" s="634" t="s">
        <v>461</v>
      </c>
      <c r="C145" s="635" t="s">
        <v>417</v>
      </c>
      <c r="D145" s="585">
        <f>SUM(D140:D144)</f>
        <v>26729933.713143278</v>
      </c>
      <c r="E145" s="585">
        <f t="shared" ref="E145:AM145" si="25">SUM(E140:E144)</f>
        <v>1456849.0977624287</v>
      </c>
      <c r="F145" s="585">
        <f t="shared" si="25"/>
        <v>1456849.0977624287</v>
      </c>
      <c r="G145" s="585">
        <f t="shared" si="25"/>
        <v>1456849.0977624287</v>
      </c>
      <c r="H145" s="585">
        <f t="shared" si="25"/>
        <v>1456849.0977624287</v>
      </c>
      <c r="I145" s="585">
        <f t="shared" si="25"/>
        <v>1456849.0977624287</v>
      </c>
      <c r="J145" s="585">
        <f t="shared" si="25"/>
        <v>1456849.0977624287</v>
      </c>
      <c r="K145" s="585">
        <f t="shared" si="25"/>
        <v>1456849.0977624287</v>
      </c>
      <c r="L145" s="585">
        <f t="shared" si="25"/>
        <v>1456849.0977624287</v>
      </c>
      <c r="M145" s="585">
        <f t="shared" si="25"/>
        <v>1456849.0977624287</v>
      </c>
      <c r="N145" s="585">
        <f t="shared" si="25"/>
        <v>1456849.0977624287</v>
      </c>
      <c r="O145" s="585">
        <f t="shared" si="25"/>
        <v>1456849.0977624287</v>
      </c>
      <c r="P145" s="585">
        <f t="shared" si="25"/>
        <v>1456849.0977624287</v>
      </c>
      <c r="Q145" s="585">
        <f t="shared" si="25"/>
        <v>1456849.0977624287</v>
      </c>
      <c r="R145" s="585">
        <f t="shared" si="25"/>
        <v>1456849.0977624287</v>
      </c>
      <c r="S145" s="585">
        <f t="shared" si="25"/>
        <v>1456849.0977624287</v>
      </c>
      <c r="T145" s="585">
        <f t="shared" si="25"/>
        <v>1456849.0977624287</v>
      </c>
      <c r="U145" s="585">
        <f t="shared" si="25"/>
        <v>1456849.0977624287</v>
      </c>
      <c r="V145" s="585">
        <f t="shared" si="25"/>
        <v>1456849.0977624287</v>
      </c>
      <c r="W145" s="585">
        <f t="shared" si="25"/>
        <v>1456849.0977624287</v>
      </c>
      <c r="X145" s="585">
        <f t="shared" si="25"/>
        <v>1456849.0977624287</v>
      </c>
      <c r="Y145" s="585">
        <f t="shared" si="25"/>
        <v>1456849.0977624287</v>
      </c>
      <c r="Z145" s="585">
        <f t="shared" si="25"/>
        <v>1456849.0977624287</v>
      </c>
      <c r="AA145" s="585">
        <f t="shared" si="25"/>
        <v>1456849.0977624287</v>
      </c>
      <c r="AB145" s="585">
        <f t="shared" si="25"/>
        <v>1456849.0977624287</v>
      </c>
      <c r="AC145" s="585">
        <f t="shared" si="25"/>
        <v>2695814.059662859</v>
      </c>
      <c r="AD145" s="585">
        <f t="shared" si="25"/>
        <v>0</v>
      </c>
      <c r="AE145" s="585">
        <f t="shared" si="25"/>
        <v>0</v>
      </c>
      <c r="AF145" s="585">
        <f t="shared" si="25"/>
        <v>0</v>
      </c>
      <c r="AG145" s="585">
        <f t="shared" si="25"/>
        <v>0</v>
      </c>
      <c r="AH145" s="585">
        <f t="shared" si="25"/>
        <v>0</v>
      </c>
      <c r="AI145" s="585">
        <f t="shared" si="25"/>
        <v>0</v>
      </c>
      <c r="AJ145" s="585">
        <f t="shared" si="25"/>
        <v>0</v>
      </c>
      <c r="AK145" s="585">
        <f t="shared" si="25"/>
        <v>0</v>
      </c>
      <c r="AL145" s="585">
        <f t="shared" si="25"/>
        <v>0</v>
      </c>
      <c r="AM145" s="585">
        <f t="shared" si="25"/>
        <v>0</v>
      </c>
    </row>
    <row r="146" spans="1:39" ht="12.95">
      <c r="B146" s="636" t="s">
        <v>462</v>
      </c>
      <c r="C146" s="635" t="s">
        <v>417</v>
      </c>
      <c r="D146" s="599">
        <f>D139-D145</f>
        <v>-29219930.133005016</v>
      </c>
      <c r="E146" s="600">
        <f t="shared" ref="E146:AM146" si="26">E139-E141-E142</f>
        <v>-2893800.3253166317</v>
      </c>
      <c r="F146" s="600">
        <f t="shared" si="26"/>
        <v>-2893800.3253166317</v>
      </c>
      <c r="G146" s="600">
        <f t="shared" si="26"/>
        <v>-2893800.3253166317</v>
      </c>
      <c r="H146" s="600">
        <f t="shared" si="26"/>
        <v>-2893800.3253166317</v>
      </c>
      <c r="I146" s="600">
        <f t="shared" si="26"/>
        <v>-2893800.3253166317</v>
      </c>
      <c r="J146" s="600">
        <f t="shared" si="26"/>
        <v>-2893800.3253166317</v>
      </c>
      <c r="K146" s="600">
        <f t="shared" si="26"/>
        <v>-2893800.3253166317</v>
      </c>
      <c r="L146" s="600">
        <f t="shared" si="26"/>
        <v>-2893800.3253166317</v>
      </c>
      <c r="M146" s="600">
        <f t="shared" si="26"/>
        <v>-2893800.3253166317</v>
      </c>
      <c r="N146" s="600">
        <f t="shared" si="26"/>
        <v>-2893800.3253166317</v>
      </c>
      <c r="O146" s="600">
        <f t="shared" si="26"/>
        <v>-2893800.3253166317</v>
      </c>
      <c r="P146" s="600">
        <f t="shared" si="26"/>
        <v>-2893800.3253166317</v>
      </c>
      <c r="Q146" s="600">
        <f t="shared" si="26"/>
        <v>-2893800.3253166317</v>
      </c>
      <c r="R146" s="600">
        <f t="shared" si="26"/>
        <v>-2893800.3253166317</v>
      </c>
      <c r="S146" s="600">
        <f t="shared" si="26"/>
        <v>-2893800.3253166317</v>
      </c>
      <c r="T146" s="600">
        <f t="shared" si="26"/>
        <v>-2893800.3253166317</v>
      </c>
      <c r="U146" s="600">
        <f t="shared" si="26"/>
        <v>-2893800.3253166317</v>
      </c>
      <c r="V146" s="600">
        <f t="shared" si="26"/>
        <v>-2893800.3253166317</v>
      </c>
      <c r="W146" s="600">
        <f t="shared" si="26"/>
        <v>-2893800.3253166317</v>
      </c>
      <c r="X146" s="600">
        <f t="shared" si="26"/>
        <v>-2893800.3253166317</v>
      </c>
      <c r="Y146" s="600">
        <f t="shared" si="26"/>
        <v>-2893800.3253166317</v>
      </c>
      <c r="Z146" s="600">
        <f t="shared" si="26"/>
        <v>-2893800.3253166317</v>
      </c>
      <c r="AA146" s="600">
        <f t="shared" si="26"/>
        <v>-2893800.3253166317</v>
      </c>
      <c r="AB146" s="600">
        <f t="shared" si="26"/>
        <v>-2893800.3253166317</v>
      </c>
      <c r="AC146" s="600">
        <f t="shared" si="26"/>
        <v>-4414752.3225003593</v>
      </c>
      <c r="AD146" s="600">
        <f t="shared" si="26"/>
        <v>0</v>
      </c>
      <c r="AE146" s="600">
        <f t="shared" si="26"/>
        <v>0</v>
      </c>
      <c r="AF146" s="600">
        <f t="shared" si="26"/>
        <v>0</v>
      </c>
      <c r="AG146" s="600">
        <f t="shared" si="26"/>
        <v>0</v>
      </c>
      <c r="AH146" s="600">
        <f t="shared" si="26"/>
        <v>0</v>
      </c>
      <c r="AI146" s="600">
        <f t="shared" si="26"/>
        <v>0</v>
      </c>
      <c r="AJ146" s="600">
        <f t="shared" si="26"/>
        <v>0</v>
      </c>
      <c r="AK146" s="600">
        <f t="shared" si="26"/>
        <v>0</v>
      </c>
      <c r="AL146" s="600">
        <f t="shared" si="26"/>
        <v>0</v>
      </c>
      <c r="AM146" s="601">
        <f t="shared" si="26"/>
        <v>0</v>
      </c>
    </row>
    <row r="147" spans="1:39">
      <c r="R147" s="474"/>
    </row>
    <row r="148" spans="1:39">
      <c r="R148" s="474"/>
    </row>
    <row r="149" spans="1:39" ht="12.95">
      <c r="B149" s="626" t="s">
        <v>463</v>
      </c>
      <c r="C149" s="566" t="s">
        <v>364</v>
      </c>
      <c r="R149" s="474"/>
    </row>
    <row r="150" spans="1:39">
      <c r="B150" s="561" t="s">
        <v>464</v>
      </c>
      <c r="C150" s="545" t="s">
        <v>417</v>
      </c>
      <c r="D150" s="617">
        <f t="shared" ref="D150:AM150" si="27">D79*$D$16</f>
        <v>3589368.0484879417</v>
      </c>
      <c r="E150" s="618">
        <f t="shared" si="27"/>
        <v>3589368.0484879417</v>
      </c>
      <c r="F150" s="618">
        <f t="shared" si="27"/>
        <v>3589368.0484879417</v>
      </c>
      <c r="G150" s="618">
        <f t="shared" si="27"/>
        <v>3589368.0484879417</v>
      </c>
      <c r="H150" s="618">
        <f t="shared" si="27"/>
        <v>3589368.0484879417</v>
      </c>
      <c r="I150" s="618">
        <f t="shared" si="27"/>
        <v>3589368.0484879417</v>
      </c>
      <c r="J150" s="618">
        <f t="shared" si="27"/>
        <v>3589368.0484879417</v>
      </c>
      <c r="K150" s="618">
        <f t="shared" si="27"/>
        <v>3589368.0484879417</v>
      </c>
      <c r="L150" s="618">
        <f t="shared" si="27"/>
        <v>3589368.0484879417</v>
      </c>
      <c r="M150" s="618">
        <f t="shared" si="27"/>
        <v>3589368.0484879417</v>
      </c>
      <c r="N150" s="618">
        <f t="shared" si="27"/>
        <v>3589368.0484879417</v>
      </c>
      <c r="O150" s="618">
        <f t="shared" si="27"/>
        <v>3589368.0484879417</v>
      </c>
      <c r="P150" s="618">
        <f t="shared" si="27"/>
        <v>3589368.0484879417</v>
      </c>
      <c r="Q150" s="618">
        <f t="shared" si="27"/>
        <v>3589368.0484879417</v>
      </c>
      <c r="R150" s="722">
        <f t="shared" si="27"/>
        <v>3589368.0484879417</v>
      </c>
      <c r="S150" s="618">
        <f t="shared" si="27"/>
        <v>3589368.0484879417</v>
      </c>
      <c r="T150" s="618">
        <f t="shared" si="27"/>
        <v>3589368.0484879417</v>
      </c>
      <c r="U150" s="618">
        <f t="shared" si="27"/>
        <v>3589368.0484879417</v>
      </c>
      <c r="V150" s="618">
        <f t="shared" si="27"/>
        <v>3589368.0484879417</v>
      </c>
      <c r="W150" s="618">
        <f t="shared" si="27"/>
        <v>3589368.0484879417</v>
      </c>
      <c r="X150" s="618">
        <f t="shared" si="27"/>
        <v>3589368.0484879417</v>
      </c>
      <c r="Y150" s="618">
        <f t="shared" si="27"/>
        <v>3589368.0484879417</v>
      </c>
      <c r="Z150" s="618">
        <f t="shared" si="27"/>
        <v>3589368.0484879417</v>
      </c>
      <c r="AA150" s="618">
        <f t="shared" si="27"/>
        <v>3589368.0484879417</v>
      </c>
      <c r="AB150" s="618">
        <f t="shared" si="27"/>
        <v>3589368.0484879417</v>
      </c>
      <c r="AC150" s="618">
        <f t="shared" si="27"/>
        <v>3589368.0484879417</v>
      </c>
      <c r="AD150" s="618">
        <f t="shared" si="27"/>
        <v>0</v>
      </c>
      <c r="AE150" s="618">
        <f t="shared" si="27"/>
        <v>0</v>
      </c>
      <c r="AF150" s="618">
        <f t="shared" si="27"/>
        <v>0</v>
      </c>
      <c r="AG150" s="618">
        <f t="shared" si="27"/>
        <v>0</v>
      </c>
      <c r="AH150" s="618">
        <f t="shared" si="27"/>
        <v>0</v>
      </c>
      <c r="AI150" s="618">
        <f t="shared" si="27"/>
        <v>0</v>
      </c>
      <c r="AJ150" s="618">
        <f t="shared" si="27"/>
        <v>0</v>
      </c>
      <c r="AK150" s="618">
        <f t="shared" si="27"/>
        <v>0</v>
      </c>
      <c r="AL150" s="618">
        <f t="shared" si="27"/>
        <v>0</v>
      </c>
      <c r="AM150" s="619">
        <f t="shared" si="27"/>
        <v>0</v>
      </c>
    </row>
    <row r="151" spans="1:39">
      <c r="B151" s="561" t="s">
        <v>465</v>
      </c>
      <c r="C151" s="545" t="s">
        <v>417</v>
      </c>
      <c r="D151" s="617">
        <f>SUM(D140:D144)</f>
        <v>26729933.713143278</v>
      </c>
      <c r="E151" s="618">
        <f t="shared" ref="E151:AM151" si="28">SUM(E140:E144)</f>
        <v>1456849.0977624287</v>
      </c>
      <c r="F151" s="618">
        <f t="shared" si="28"/>
        <v>1456849.0977624287</v>
      </c>
      <c r="G151" s="618">
        <f t="shared" si="28"/>
        <v>1456849.0977624287</v>
      </c>
      <c r="H151" s="618">
        <f t="shared" si="28"/>
        <v>1456849.0977624287</v>
      </c>
      <c r="I151" s="618">
        <f t="shared" si="28"/>
        <v>1456849.0977624287</v>
      </c>
      <c r="J151" s="618">
        <f t="shared" si="28"/>
        <v>1456849.0977624287</v>
      </c>
      <c r="K151" s="618">
        <f t="shared" si="28"/>
        <v>1456849.0977624287</v>
      </c>
      <c r="L151" s="618">
        <f t="shared" si="28"/>
        <v>1456849.0977624287</v>
      </c>
      <c r="M151" s="618">
        <f t="shared" si="28"/>
        <v>1456849.0977624287</v>
      </c>
      <c r="N151" s="618">
        <f t="shared" si="28"/>
        <v>1456849.0977624287</v>
      </c>
      <c r="O151" s="618">
        <f t="shared" si="28"/>
        <v>1456849.0977624287</v>
      </c>
      <c r="P151" s="618">
        <f t="shared" si="28"/>
        <v>1456849.0977624287</v>
      </c>
      <c r="Q151" s="618">
        <f t="shared" si="28"/>
        <v>1456849.0977624287</v>
      </c>
      <c r="R151" s="722">
        <f t="shared" si="28"/>
        <v>1456849.0977624287</v>
      </c>
      <c r="S151" s="618">
        <f t="shared" si="28"/>
        <v>1456849.0977624287</v>
      </c>
      <c r="T151" s="618">
        <f t="shared" si="28"/>
        <v>1456849.0977624287</v>
      </c>
      <c r="U151" s="618">
        <f t="shared" si="28"/>
        <v>1456849.0977624287</v>
      </c>
      <c r="V151" s="618">
        <f t="shared" si="28"/>
        <v>1456849.0977624287</v>
      </c>
      <c r="W151" s="618">
        <f t="shared" si="28"/>
        <v>1456849.0977624287</v>
      </c>
      <c r="X151" s="618">
        <f t="shared" si="28"/>
        <v>1456849.0977624287</v>
      </c>
      <c r="Y151" s="618">
        <f t="shared" si="28"/>
        <v>1456849.0977624287</v>
      </c>
      <c r="Z151" s="618">
        <f t="shared" si="28"/>
        <v>1456849.0977624287</v>
      </c>
      <c r="AA151" s="618">
        <f t="shared" si="28"/>
        <v>1456849.0977624287</v>
      </c>
      <c r="AB151" s="618">
        <f t="shared" si="28"/>
        <v>1456849.0977624287</v>
      </c>
      <c r="AC151" s="618">
        <f t="shared" si="28"/>
        <v>2695814.059662859</v>
      </c>
      <c r="AD151" s="618">
        <f t="shared" si="28"/>
        <v>0</v>
      </c>
      <c r="AE151" s="618">
        <f t="shared" si="28"/>
        <v>0</v>
      </c>
      <c r="AF151" s="618">
        <f t="shared" si="28"/>
        <v>0</v>
      </c>
      <c r="AG151" s="618">
        <f t="shared" si="28"/>
        <v>0</v>
      </c>
      <c r="AH151" s="618">
        <f t="shared" si="28"/>
        <v>0</v>
      </c>
      <c r="AI151" s="618">
        <f t="shared" si="28"/>
        <v>0</v>
      </c>
      <c r="AJ151" s="618">
        <f t="shared" si="28"/>
        <v>0</v>
      </c>
      <c r="AK151" s="618">
        <f t="shared" si="28"/>
        <v>0</v>
      </c>
      <c r="AL151" s="618">
        <f t="shared" si="28"/>
        <v>0</v>
      </c>
      <c r="AM151" s="619">
        <f t="shared" si="28"/>
        <v>0</v>
      </c>
    </row>
    <row r="152" spans="1:39" ht="12.95">
      <c r="B152" s="636" t="s">
        <v>466</v>
      </c>
      <c r="C152" s="635" t="s">
        <v>417</v>
      </c>
      <c r="D152" s="584">
        <f>D150-D151</f>
        <v>-23140565.664655335</v>
      </c>
      <c r="E152" s="585">
        <f t="shared" ref="E152:AM152" si="29">E150-E151</f>
        <v>2132518.950725513</v>
      </c>
      <c r="F152" s="585">
        <f t="shared" si="29"/>
        <v>2132518.950725513</v>
      </c>
      <c r="G152" s="585">
        <f t="shared" si="29"/>
        <v>2132518.950725513</v>
      </c>
      <c r="H152" s="585">
        <f t="shared" si="29"/>
        <v>2132518.950725513</v>
      </c>
      <c r="I152" s="585">
        <f t="shared" si="29"/>
        <v>2132518.950725513</v>
      </c>
      <c r="J152" s="585">
        <f t="shared" si="29"/>
        <v>2132518.950725513</v>
      </c>
      <c r="K152" s="585">
        <f t="shared" si="29"/>
        <v>2132518.950725513</v>
      </c>
      <c r="L152" s="585">
        <f t="shared" si="29"/>
        <v>2132518.950725513</v>
      </c>
      <c r="M152" s="585">
        <f t="shared" si="29"/>
        <v>2132518.950725513</v>
      </c>
      <c r="N152" s="585">
        <f t="shared" si="29"/>
        <v>2132518.950725513</v>
      </c>
      <c r="O152" s="585">
        <f t="shared" si="29"/>
        <v>2132518.950725513</v>
      </c>
      <c r="P152" s="585">
        <f t="shared" si="29"/>
        <v>2132518.950725513</v>
      </c>
      <c r="Q152" s="585">
        <f t="shared" si="29"/>
        <v>2132518.950725513</v>
      </c>
      <c r="R152" s="585">
        <f t="shared" si="29"/>
        <v>2132518.950725513</v>
      </c>
      <c r="S152" s="585">
        <f t="shared" si="29"/>
        <v>2132518.950725513</v>
      </c>
      <c r="T152" s="585">
        <f t="shared" si="29"/>
        <v>2132518.950725513</v>
      </c>
      <c r="U152" s="585">
        <f t="shared" si="29"/>
        <v>2132518.950725513</v>
      </c>
      <c r="V152" s="585">
        <f t="shared" si="29"/>
        <v>2132518.950725513</v>
      </c>
      <c r="W152" s="585">
        <f t="shared" si="29"/>
        <v>2132518.950725513</v>
      </c>
      <c r="X152" s="585">
        <f t="shared" si="29"/>
        <v>2132518.950725513</v>
      </c>
      <c r="Y152" s="585">
        <f t="shared" si="29"/>
        <v>2132518.950725513</v>
      </c>
      <c r="Z152" s="585">
        <f t="shared" si="29"/>
        <v>2132518.950725513</v>
      </c>
      <c r="AA152" s="585">
        <f t="shared" si="29"/>
        <v>2132518.950725513</v>
      </c>
      <c r="AB152" s="585">
        <f t="shared" si="29"/>
        <v>2132518.950725513</v>
      </c>
      <c r="AC152" s="585">
        <f t="shared" si="29"/>
        <v>893553.98882508278</v>
      </c>
      <c r="AD152" s="585">
        <f t="shared" si="29"/>
        <v>0</v>
      </c>
      <c r="AE152" s="585">
        <f t="shared" si="29"/>
        <v>0</v>
      </c>
      <c r="AF152" s="585">
        <f t="shared" si="29"/>
        <v>0</v>
      </c>
      <c r="AG152" s="585">
        <f t="shared" si="29"/>
        <v>0</v>
      </c>
      <c r="AH152" s="585">
        <f t="shared" si="29"/>
        <v>0</v>
      </c>
      <c r="AI152" s="585">
        <f t="shared" si="29"/>
        <v>0</v>
      </c>
      <c r="AJ152" s="585">
        <f t="shared" si="29"/>
        <v>0</v>
      </c>
      <c r="AK152" s="585">
        <f t="shared" si="29"/>
        <v>0</v>
      </c>
      <c r="AL152" s="585">
        <f t="shared" si="29"/>
        <v>0</v>
      </c>
      <c r="AM152" s="586">
        <f t="shared" si="29"/>
        <v>0</v>
      </c>
    </row>
    <row r="153" spans="1:39" s="497" customFormat="1" ht="12.95">
      <c r="B153" s="637" t="s">
        <v>467</v>
      </c>
      <c r="C153" s="609" t="s">
        <v>417</v>
      </c>
      <c r="D153" s="638">
        <f>D152+D131</f>
        <v>-23511596.845143508</v>
      </c>
      <c r="E153" s="639">
        <f t="shared" ref="E153:AM153" si="30">E152+E131</f>
        <v>1761487.7702373387</v>
      </c>
      <c r="F153" s="639">
        <f t="shared" si="30"/>
        <v>1761487.7702373387</v>
      </c>
      <c r="G153" s="639">
        <f t="shared" si="30"/>
        <v>1761487.7702373387</v>
      </c>
      <c r="H153" s="639">
        <f t="shared" si="30"/>
        <v>1761487.7702373387</v>
      </c>
      <c r="I153" s="639">
        <f t="shared" si="30"/>
        <v>1761487.7702373387</v>
      </c>
      <c r="J153" s="639">
        <f t="shared" si="30"/>
        <v>1761487.7702373387</v>
      </c>
      <c r="K153" s="639">
        <f t="shared" si="30"/>
        <v>1761487.7702373387</v>
      </c>
      <c r="L153" s="639">
        <f t="shared" si="30"/>
        <v>1761487.7702373387</v>
      </c>
      <c r="M153" s="639">
        <f t="shared" si="30"/>
        <v>1761487.7702373387</v>
      </c>
      <c r="N153" s="639">
        <f t="shared" si="30"/>
        <v>1761487.7702373387</v>
      </c>
      <c r="O153" s="639">
        <f t="shared" si="30"/>
        <v>1761487.7702373387</v>
      </c>
      <c r="P153" s="639">
        <f t="shared" si="30"/>
        <v>1761487.7702373387</v>
      </c>
      <c r="Q153" s="639">
        <f t="shared" si="30"/>
        <v>1761487.7702373387</v>
      </c>
      <c r="R153" s="639">
        <f t="shared" si="30"/>
        <v>1761487.7702373387</v>
      </c>
      <c r="S153" s="639">
        <f t="shared" si="30"/>
        <v>1761487.7702373387</v>
      </c>
      <c r="T153" s="639">
        <f t="shared" si="30"/>
        <v>1761487.7702373387</v>
      </c>
      <c r="U153" s="639">
        <f t="shared" si="30"/>
        <v>1761487.7702373387</v>
      </c>
      <c r="V153" s="639">
        <f t="shared" si="30"/>
        <v>1761487.7702373387</v>
      </c>
      <c r="W153" s="639">
        <f t="shared" si="30"/>
        <v>1761487.7702373387</v>
      </c>
      <c r="X153" s="639">
        <f t="shared" si="30"/>
        <v>1761487.7702373387</v>
      </c>
      <c r="Y153" s="639">
        <f t="shared" si="30"/>
        <v>1761487.7702373387</v>
      </c>
      <c r="Z153" s="639">
        <f t="shared" si="30"/>
        <v>1761487.7702373387</v>
      </c>
      <c r="AA153" s="639">
        <f t="shared" si="30"/>
        <v>1761487.7702373387</v>
      </c>
      <c r="AB153" s="639">
        <f t="shared" si="30"/>
        <v>1761487.7702373387</v>
      </c>
      <c r="AC153" s="639">
        <f t="shared" si="30"/>
        <v>240535.77305361093</v>
      </c>
      <c r="AD153" s="639">
        <f t="shared" si="30"/>
        <v>0</v>
      </c>
      <c r="AE153" s="639">
        <f t="shared" si="30"/>
        <v>0</v>
      </c>
      <c r="AF153" s="639">
        <f t="shared" si="30"/>
        <v>0</v>
      </c>
      <c r="AG153" s="639">
        <f t="shared" si="30"/>
        <v>0</v>
      </c>
      <c r="AH153" s="639">
        <f t="shared" si="30"/>
        <v>0</v>
      </c>
      <c r="AI153" s="639">
        <f t="shared" si="30"/>
        <v>0</v>
      </c>
      <c r="AJ153" s="639">
        <f t="shared" si="30"/>
        <v>0</v>
      </c>
      <c r="AK153" s="639">
        <f t="shared" si="30"/>
        <v>0</v>
      </c>
      <c r="AL153" s="639">
        <f t="shared" si="30"/>
        <v>0</v>
      </c>
      <c r="AM153" s="640">
        <f t="shared" si="30"/>
        <v>0</v>
      </c>
    </row>
    <row r="154" spans="1:39" s="502" customFormat="1" ht="12.95">
      <c r="A154" s="497"/>
      <c r="B154" s="561" t="s">
        <v>468</v>
      </c>
      <c r="C154" s="545" t="s">
        <v>331</v>
      </c>
      <c r="D154" s="603">
        <f>SUM(D150:AB150)</f>
        <v>89734201.212198555</v>
      </c>
      <c r="F154" s="373"/>
      <c r="G154" s="373"/>
      <c r="H154" s="373"/>
      <c r="I154" s="373"/>
      <c r="J154" s="373"/>
      <c r="K154" s="373"/>
      <c r="L154" s="373"/>
      <c r="M154" s="373"/>
      <c r="N154" s="373"/>
      <c r="O154" s="373"/>
      <c r="P154" s="373"/>
      <c r="Q154" s="373"/>
      <c r="R154" s="503"/>
      <c r="S154" s="373"/>
      <c r="T154" s="373"/>
      <c r="U154" s="373"/>
      <c r="V154" s="373"/>
      <c r="W154" s="373"/>
      <c r="X154" s="373"/>
      <c r="Y154" s="373"/>
      <c r="Z154" s="373"/>
      <c r="AA154" s="373"/>
      <c r="AB154" s="373"/>
      <c r="AC154" s="373"/>
      <c r="AD154" s="373"/>
      <c r="AE154" s="373"/>
      <c r="AF154" s="373"/>
      <c r="AG154" s="373"/>
      <c r="AH154" s="373"/>
      <c r="AI154" s="373"/>
      <c r="AJ154" s="373"/>
      <c r="AK154" s="373"/>
      <c r="AL154" s="373"/>
      <c r="AM154" s="373"/>
    </row>
    <row r="155" spans="1:39" s="502" customFormat="1" ht="12.95">
      <c r="A155" s="497"/>
      <c r="B155" s="561" t="s">
        <v>469</v>
      </c>
      <c r="C155" s="545" t="s">
        <v>331</v>
      </c>
      <c r="D155" s="603">
        <f>SUM(D152:AB152)</f>
        <v>28039889.152756982</v>
      </c>
      <c r="E155" s="373"/>
      <c r="F155" s="373"/>
      <c r="G155" s="373"/>
      <c r="H155" s="373"/>
      <c r="I155" s="373"/>
      <c r="J155" s="373"/>
      <c r="K155" s="373"/>
      <c r="L155" s="373"/>
      <c r="M155" s="373"/>
      <c r="N155" s="373"/>
      <c r="O155" s="373"/>
      <c r="P155" s="373"/>
      <c r="Q155" s="373"/>
      <c r="R155" s="503"/>
      <c r="S155" s="373"/>
      <c r="T155" s="373"/>
      <c r="U155" s="373"/>
      <c r="V155" s="373"/>
      <c r="W155" s="373"/>
      <c r="X155" s="373"/>
      <c r="Y155" s="373"/>
      <c r="Z155" s="373"/>
      <c r="AA155" s="373"/>
      <c r="AB155" s="373"/>
      <c r="AC155" s="373"/>
      <c r="AD155" s="373"/>
      <c r="AE155" s="373"/>
      <c r="AF155" s="373"/>
      <c r="AG155" s="373"/>
      <c r="AH155" s="373"/>
      <c r="AI155" s="373"/>
      <c r="AJ155" s="373"/>
      <c r="AK155" s="373"/>
      <c r="AL155" s="373"/>
      <c r="AM155" s="373"/>
    </row>
    <row r="156" spans="1:39" s="502" customFormat="1" ht="12.95">
      <c r="A156" s="497"/>
      <c r="B156" s="561" t="s">
        <v>470</v>
      </c>
      <c r="C156" s="545" t="s">
        <v>331</v>
      </c>
      <c r="D156" s="603">
        <f>SUM(D153:AB153)</f>
        <v>18764109.64055261</v>
      </c>
      <c r="E156" s="373"/>
      <c r="F156" s="373"/>
      <c r="G156" s="373"/>
      <c r="H156" s="373"/>
      <c r="I156" s="373"/>
      <c r="J156" s="373"/>
      <c r="K156" s="373"/>
      <c r="L156" s="373"/>
      <c r="M156" s="373"/>
      <c r="N156" s="373"/>
      <c r="O156" s="373"/>
      <c r="P156" s="373"/>
      <c r="Q156" s="373"/>
      <c r="R156" s="503"/>
      <c r="S156" s="373"/>
      <c r="T156" s="373"/>
      <c r="U156" s="373"/>
      <c r="V156" s="373"/>
      <c r="W156" s="373"/>
      <c r="X156" s="373"/>
      <c r="Y156" s="373"/>
      <c r="Z156" s="373"/>
      <c r="AA156" s="373"/>
      <c r="AB156" s="373"/>
      <c r="AC156" s="373"/>
      <c r="AD156" s="373"/>
      <c r="AE156" s="373"/>
      <c r="AF156" s="373"/>
      <c r="AG156" s="373"/>
      <c r="AH156" s="373"/>
      <c r="AI156" s="373"/>
      <c r="AJ156" s="373"/>
      <c r="AK156" s="373"/>
      <c r="AL156" s="373"/>
      <c r="AM156" s="373"/>
    </row>
    <row r="158" spans="1:39">
      <c r="B158" s="564" t="s">
        <v>99</v>
      </c>
      <c r="C158" s="641">
        <f>IRR(D152:AB152)</f>
        <v>7.6414984994286339E-2</v>
      </c>
    </row>
    <row r="159" spans="1:39">
      <c r="B159" s="564" t="s">
        <v>100</v>
      </c>
      <c r="C159" s="641">
        <f>IRR(D153:AB153)</f>
        <v>5.3446891414332898E-2</v>
      </c>
    </row>
    <row r="160" spans="1:39">
      <c r="B160" s="878" t="s">
        <v>101</v>
      </c>
      <c r="C160" s="712" t="s">
        <v>102</v>
      </c>
      <c r="D160" s="625">
        <f>NPV(CostofCapImpDiscountRate,$D$152:$AB$152)</f>
        <v>23363229.070601247</v>
      </c>
    </row>
    <row r="161" spans="2:4">
      <c r="B161" s="878"/>
      <c r="C161" s="713" t="s">
        <v>103</v>
      </c>
      <c r="D161" s="546">
        <f>NPV(SocialDiscountRate,$D$152:$AB$152)</f>
        <v>-5839611.3312216401</v>
      </c>
    </row>
    <row r="162" spans="2:4">
      <c r="B162" s="879"/>
      <c r="C162" s="714" t="s">
        <v>104</v>
      </c>
      <c r="D162" s="642">
        <f>NPV(PrvESCODiscountRate,$D$152:$AB$152)</f>
        <v>-10510080.765747989</v>
      </c>
    </row>
    <row r="163" spans="2:4">
      <c r="B163" s="877" t="s">
        <v>471</v>
      </c>
      <c r="C163" s="712" t="str">
        <f>C160</f>
        <v>Cost of Capital Imp Rate</v>
      </c>
      <c r="D163" s="625">
        <f>NPV(CostofCapImpDiscountRate,$D$153:$AB$153)</f>
        <v>14933862.408824721</v>
      </c>
    </row>
    <row r="164" spans="2:4">
      <c r="B164" s="878"/>
      <c r="C164" s="713" t="str">
        <f>C161</f>
        <v xml:space="preserve">Social Discount </v>
      </c>
      <c r="D164" s="546">
        <f>NPV(SocialDiscountRate,$D$153:$AB$153)</f>
        <v>-8749660.494703915</v>
      </c>
    </row>
    <row r="165" spans="2:4">
      <c r="B165" s="879"/>
      <c r="C165" s="714" t="str">
        <f>C162</f>
        <v>ESCO Discount Rate</v>
      </c>
      <c r="D165" s="642">
        <f>NPV(PrvESCODiscountRate,$D$153:$AB$153)</f>
        <v>-12345789.818327269</v>
      </c>
    </row>
    <row r="168" spans="2:4">
      <c r="B168" s="475" t="s">
        <v>285</v>
      </c>
    </row>
    <row r="169" spans="2:4" ht="99.95">
      <c r="B169" s="707" t="s">
        <v>472</v>
      </c>
    </row>
    <row r="170" spans="2:4" ht="137.44999999999999">
      <c r="B170" s="707" t="s">
        <v>473</v>
      </c>
    </row>
    <row r="171" spans="2:4">
      <c r="B171" s="474" t="s">
        <v>474</v>
      </c>
    </row>
    <row r="173" spans="2:4">
      <c r="B173" t="s">
        <v>475</v>
      </c>
    </row>
  </sheetData>
  <mergeCells count="6">
    <mergeCell ref="B163:B165"/>
    <mergeCell ref="B34:D34"/>
    <mergeCell ref="B44:D44"/>
    <mergeCell ref="B52:D52"/>
    <mergeCell ref="B60:D60"/>
    <mergeCell ref="B160:B162"/>
  </mergeCells>
  <hyperlinks>
    <hyperlink ref="E23" r:id="rId1" xr:uid="{5199C634-8885-4AC9-806B-C902DCA35A2F}"/>
  </hyperlinks>
  <pageMargins left="0.75" right="0.75" top="1" bottom="1" header="0.5" footer="0.5"/>
  <pageSetup orientation="portrait" horizontalDpi="1200" verticalDpi="1200" r:id="rId2"/>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C1F85D-7CA1-4FB5-8C01-5C597CE7030B}">
  <sheetPr codeName="Sheet26">
    <tabColor rgb="FF7030A0"/>
  </sheetPr>
  <dimension ref="A1:AM170"/>
  <sheetViews>
    <sheetView showGridLines="0" topLeftCell="A15" zoomScale="130" zoomScaleNormal="130" workbookViewId="0">
      <selection activeCell="B23" sqref="B23"/>
    </sheetView>
  </sheetViews>
  <sheetFormatPr defaultColWidth="8.85546875" defaultRowHeight="12.6"/>
  <cols>
    <col min="1" max="1" width="7.42578125" style="215" customWidth="1"/>
    <col min="2" max="2" width="41" style="215" customWidth="1"/>
    <col min="3" max="3" width="16" style="215" customWidth="1"/>
    <col min="4" max="4" width="23" style="215" customWidth="1"/>
    <col min="5" max="7" width="16.140625" style="215" customWidth="1"/>
    <col min="8" max="9" width="14.42578125" style="215" customWidth="1"/>
    <col min="10" max="10" width="17.5703125" style="215" customWidth="1"/>
    <col min="11" max="11" width="13.5703125" style="215" bestFit="1" customWidth="1"/>
    <col min="12" max="12" width="14.5703125" style="215" bestFit="1" customWidth="1"/>
    <col min="13" max="13" width="14.85546875" style="215" bestFit="1" customWidth="1"/>
    <col min="14" max="14" width="17.140625" style="215" customWidth="1"/>
    <col min="15" max="15" width="16.42578125" style="215" bestFit="1" customWidth="1"/>
    <col min="16" max="16" width="17.140625" style="215" bestFit="1" customWidth="1"/>
    <col min="17" max="17" width="24.42578125" style="215" customWidth="1"/>
    <col min="18" max="18" width="18.42578125" style="215" bestFit="1" customWidth="1"/>
    <col min="19" max="19" width="18.5703125" style="215" bestFit="1" customWidth="1"/>
    <col min="20" max="20" width="19.42578125" style="215" bestFit="1" customWidth="1"/>
    <col min="21" max="21" width="20.42578125" style="215" bestFit="1" customWidth="1"/>
    <col min="22" max="22" width="20.85546875" style="215" bestFit="1" customWidth="1"/>
    <col min="23" max="23" width="21.42578125" style="215" bestFit="1" customWidth="1"/>
    <col min="24" max="25" width="22.42578125" style="215" bestFit="1" customWidth="1"/>
    <col min="26" max="27" width="23.85546875" style="215" bestFit="1" customWidth="1"/>
    <col min="28" max="29" width="24.85546875" style="215" bestFit="1" customWidth="1"/>
    <col min="30" max="34" width="11.42578125" style="215" bestFit="1" customWidth="1"/>
    <col min="35" max="39" width="12.42578125" style="215" bestFit="1" customWidth="1"/>
    <col min="40" max="40" width="12" style="215" bestFit="1" customWidth="1"/>
    <col min="41" max="256" width="8.85546875" style="215"/>
    <col min="257" max="257" width="7.42578125" style="215" customWidth="1"/>
    <col min="258" max="258" width="41" style="215" customWidth="1"/>
    <col min="259" max="259" width="16" style="215" customWidth="1"/>
    <col min="260" max="260" width="16.140625" style="215" bestFit="1" customWidth="1"/>
    <col min="261" max="261" width="11.85546875" style="215" customWidth="1"/>
    <col min="262" max="262" width="12.42578125" style="215" bestFit="1" customWidth="1"/>
    <col min="263" max="264" width="13" style="215" bestFit="1" customWidth="1"/>
    <col min="265" max="265" width="12.5703125" style="215" bestFit="1" customWidth="1"/>
    <col min="266" max="266" width="13.42578125" style="215" bestFit="1" customWidth="1"/>
    <col min="267" max="267" width="13.5703125" style="215" bestFit="1" customWidth="1"/>
    <col min="268" max="268" width="14.5703125" style="215" bestFit="1" customWidth="1"/>
    <col min="269" max="269" width="14.85546875" style="215" bestFit="1" customWidth="1"/>
    <col min="270" max="270" width="17.140625" style="215" customWidth="1"/>
    <col min="271" max="271" width="16.42578125" style="215" bestFit="1" customWidth="1"/>
    <col min="272" max="272" width="17.140625" style="215" bestFit="1" customWidth="1"/>
    <col min="273" max="273" width="24.42578125" style="215" customWidth="1"/>
    <col min="274" max="274" width="18.42578125" style="215" bestFit="1" customWidth="1"/>
    <col min="275" max="275" width="18.5703125" style="215" bestFit="1" customWidth="1"/>
    <col min="276" max="276" width="19.42578125" style="215" bestFit="1" customWidth="1"/>
    <col min="277" max="277" width="20.42578125" style="215" bestFit="1" customWidth="1"/>
    <col min="278" max="278" width="20.85546875" style="215" bestFit="1" customWidth="1"/>
    <col min="279" max="279" width="21.42578125" style="215" bestFit="1" customWidth="1"/>
    <col min="280" max="281" width="22.42578125" style="215" bestFit="1" customWidth="1"/>
    <col min="282" max="283" width="23.85546875" style="215" bestFit="1" customWidth="1"/>
    <col min="284" max="285" width="24.85546875" style="215" bestFit="1" customWidth="1"/>
    <col min="286" max="290" width="11.42578125" style="215" bestFit="1" customWidth="1"/>
    <col min="291" max="295" width="12.42578125" style="215" bestFit="1" customWidth="1"/>
    <col min="296" max="296" width="12" style="215" bestFit="1" customWidth="1"/>
    <col min="297" max="512" width="8.85546875" style="215"/>
    <col min="513" max="513" width="7.42578125" style="215" customWidth="1"/>
    <col min="514" max="514" width="41" style="215" customWidth="1"/>
    <col min="515" max="515" width="16" style="215" customWidth="1"/>
    <col min="516" max="516" width="16.140625" style="215" bestFit="1" customWidth="1"/>
    <col min="517" max="517" width="11.85546875" style="215" customWidth="1"/>
    <col min="518" max="518" width="12.42578125" style="215" bestFit="1" customWidth="1"/>
    <col min="519" max="520" width="13" style="215" bestFit="1" customWidth="1"/>
    <col min="521" max="521" width="12.5703125" style="215" bestFit="1" customWidth="1"/>
    <col min="522" max="522" width="13.42578125" style="215" bestFit="1" customWidth="1"/>
    <col min="523" max="523" width="13.5703125" style="215" bestFit="1" customWidth="1"/>
    <col min="524" max="524" width="14.5703125" style="215" bestFit="1" customWidth="1"/>
    <col min="525" max="525" width="14.85546875" style="215" bestFit="1" customWidth="1"/>
    <col min="526" max="526" width="17.140625" style="215" customWidth="1"/>
    <col min="527" max="527" width="16.42578125" style="215" bestFit="1" customWidth="1"/>
    <col min="528" max="528" width="17.140625" style="215" bestFit="1" customWidth="1"/>
    <col min="529" max="529" width="24.42578125" style="215" customWidth="1"/>
    <col min="530" max="530" width="18.42578125" style="215" bestFit="1" customWidth="1"/>
    <col min="531" max="531" width="18.5703125" style="215" bestFit="1" customWidth="1"/>
    <col min="532" max="532" width="19.42578125" style="215" bestFit="1" customWidth="1"/>
    <col min="533" max="533" width="20.42578125" style="215" bestFit="1" customWidth="1"/>
    <col min="534" max="534" width="20.85546875" style="215" bestFit="1" customWidth="1"/>
    <col min="535" max="535" width="21.42578125" style="215" bestFit="1" customWidth="1"/>
    <col min="536" max="537" width="22.42578125" style="215" bestFit="1" customWidth="1"/>
    <col min="538" max="539" width="23.85546875" style="215" bestFit="1" customWidth="1"/>
    <col min="540" max="541" width="24.85546875" style="215" bestFit="1" customWidth="1"/>
    <col min="542" max="546" width="11.42578125" style="215" bestFit="1" customWidth="1"/>
    <col min="547" max="551" width="12.42578125" style="215" bestFit="1" customWidth="1"/>
    <col min="552" max="552" width="12" style="215" bestFit="1" customWidth="1"/>
    <col min="553" max="768" width="8.85546875" style="215"/>
    <col min="769" max="769" width="7.42578125" style="215" customWidth="1"/>
    <col min="770" max="770" width="41" style="215" customWidth="1"/>
    <col min="771" max="771" width="16" style="215" customWidth="1"/>
    <col min="772" max="772" width="16.140625" style="215" bestFit="1" customWidth="1"/>
    <col min="773" max="773" width="11.85546875" style="215" customWidth="1"/>
    <col min="774" max="774" width="12.42578125" style="215" bestFit="1" customWidth="1"/>
    <col min="775" max="776" width="13" style="215" bestFit="1" customWidth="1"/>
    <col min="777" max="777" width="12.5703125" style="215" bestFit="1" customWidth="1"/>
    <col min="778" max="778" width="13.42578125" style="215" bestFit="1" customWidth="1"/>
    <col min="779" max="779" width="13.5703125" style="215" bestFit="1" customWidth="1"/>
    <col min="780" max="780" width="14.5703125" style="215" bestFit="1" customWidth="1"/>
    <col min="781" max="781" width="14.85546875" style="215" bestFit="1" customWidth="1"/>
    <col min="782" max="782" width="17.140625" style="215" customWidth="1"/>
    <col min="783" max="783" width="16.42578125" style="215" bestFit="1" customWidth="1"/>
    <col min="784" max="784" width="17.140625" style="215" bestFit="1" customWidth="1"/>
    <col min="785" max="785" width="24.42578125" style="215" customWidth="1"/>
    <col min="786" max="786" width="18.42578125" style="215" bestFit="1" customWidth="1"/>
    <col min="787" max="787" width="18.5703125" style="215" bestFit="1" customWidth="1"/>
    <col min="788" max="788" width="19.42578125" style="215" bestFit="1" customWidth="1"/>
    <col min="789" max="789" width="20.42578125" style="215" bestFit="1" customWidth="1"/>
    <col min="790" max="790" width="20.85546875" style="215" bestFit="1" customWidth="1"/>
    <col min="791" max="791" width="21.42578125" style="215" bestFit="1" customWidth="1"/>
    <col min="792" max="793" width="22.42578125" style="215" bestFit="1" customWidth="1"/>
    <col min="794" max="795" width="23.85546875" style="215" bestFit="1" customWidth="1"/>
    <col min="796" max="797" width="24.85546875" style="215" bestFit="1" customWidth="1"/>
    <col min="798" max="802" width="11.42578125" style="215" bestFit="1" customWidth="1"/>
    <col min="803" max="807" width="12.42578125" style="215" bestFit="1" customWidth="1"/>
    <col min="808" max="808" width="12" style="215" bestFit="1" customWidth="1"/>
    <col min="809" max="1024" width="8.85546875" style="215"/>
    <col min="1025" max="1025" width="7.42578125" style="215" customWidth="1"/>
    <col min="1026" max="1026" width="41" style="215" customWidth="1"/>
    <col min="1027" max="1027" width="16" style="215" customWidth="1"/>
    <col min="1028" max="1028" width="16.140625" style="215" bestFit="1" customWidth="1"/>
    <col min="1029" max="1029" width="11.85546875" style="215" customWidth="1"/>
    <col min="1030" max="1030" width="12.42578125" style="215" bestFit="1" customWidth="1"/>
    <col min="1031" max="1032" width="13" style="215" bestFit="1" customWidth="1"/>
    <col min="1033" max="1033" width="12.5703125" style="215" bestFit="1" customWidth="1"/>
    <col min="1034" max="1034" width="13.42578125" style="215" bestFit="1" customWidth="1"/>
    <col min="1035" max="1035" width="13.5703125" style="215" bestFit="1" customWidth="1"/>
    <col min="1036" max="1036" width="14.5703125" style="215" bestFit="1" customWidth="1"/>
    <col min="1037" max="1037" width="14.85546875" style="215" bestFit="1" customWidth="1"/>
    <col min="1038" max="1038" width="17.140625" style="215" customWidth="1"/>
    <col min="1039" max="1039" width="16.42578125" style="215" bestFit="1" customWidth="1"/>
    <col min="1040" max="1040" width="17.140625" style="215" bestFit="1" customWidth="1"/>
    <col min="1041" max="1041" width="24.42578125" style="215" customWidth="1"/>
    <col min="1042" max="1042" width="18.42578125" style="215" bestFit="1" customWidth="1"/>
    <col min="1043" max="1043" width="18.5703125" style="215" bestFit="1" customWidth="1"/>
    <col min="1044" max="1044" width="19.42578125" style="215" bestFit="1" customWidth="1"/>
    <col min="1045" max="1045" width="20.42578125" style="215" bestFit="1" customWidth="1"/>
    <col min="1046" max="1046" width="20.85546875" style="215" bestFit="1" customWidth="1"/>
    <col min="1047" max="1047" width="21.42578125" style="215" bestFit="1" customWidth="1"/>
    <col min="1048" max="1049" width="22.42578125" style="215" bestFit="1" customWidth="1"/>
    <col min="1050" max="1051" width="23.85546875" style="215" bestFit="1" customWidth="1"/>
    <col min="1052" max="1053" width="24.85546875" style="215" bestFit="1" customWidth="1"/>
    <col min="1054" max="1058" width="11.42578125" style="215" bestFit="1" customWidth="1"/>
    <col min="1059" max="1063" width="12.42578125" style="215" bestFit="1" customWidth="1"/>
    <col min="1064" max="1064" width="12" style="215" bestFit="1" customWidth="1"/>
    <col min="1065" max="1280" width="8.85546875" style="215"/>
    <col min="1281" max="1281" width="7.42578125" style="215" customWidth="1"/>
    <col min="1282" max="1282" width="41" style="215" customWidth="1"/>
    <col min="1283" max="1283" width="16" style="215" customWidth="1"/>
    <col min="1284" max="1284" width="16.140625" style="215" bestFit="1" customWidth="1"/>
    <col min="1285" max="1285" width="11.85546875" style="215" customWidth="1"/>
    <col min="1286" max="1286" width="12.42578125" style="215" bestFit="1" customWidth="1"/>
    <col min="1287" max="1288" width="13" style="215" bestFit="1" customWidth="1"/>
    <col min="1289" max="1289" width="12.5703125" style="215" bestFit="1" customWidth="1"/>
    <col min="1290" max="1290" width="13.42578125" style="215" bestFit="1" customWidth="1"/>
    <col min="1291" max="1291" width="13.5703125" style="215" bestFit="1" customWidth="1"/>
    <col min="1292" max="1292" width="14.5703125" style="215" bestFit="1" customWidth="1"/>
    <col min="1293" max="1293" width="14.85546875" style="215" bestFit="1" customWidth="1"/>
    <col min="1294" max="1294" width="17.140625" style="215" customWidth="1"/>
    <col min="1295" max="1295" width="16.42578125" style="215" bestFit="1" customWidth="1"/>
    <col min="1296" max="1296" width="17.140625" style="215" bestFit="1" customWidth="1"/>
    <col min="1297" max="1297" width="24.42578125" style="215" customWidth="1"/>
    <col min="1298" max="1298" width="18.42578125" style="215" bestFit="1" customWidth="1"/>
    <col min="1299" max="1299" width="18.5703125" style="215" bestFit="1" customWidth="1"/>
    <col min="1300" max="1300" width="19.42578125" style="215" bestFit="1" customWidth="1"/>
    <col min="1301" max="1301" width="20.42578125" style="215" bestFit="1" customWidth="1"/>
    <col min="1302" max="1302" width="20.85546875" style="215" bestFit="1" customWidth="1"/>
    <col min="1303" max="1303" width="21.42578125" style="215" bestFit="1" customWidth="1"/>
    <col min="1304" max="1305" width="22.42578125" style="215" bestFit="1" customWidth="1"/>
    <col min="1306" max="1307" width="23.85546875" style="215" bestFit="1" customWidth="1"/>
    <col min="1308" max="1309" width="24.85546875" style="215" bestFit="1" customWidth="1"/>
    <col min="1310" max="1314" width="11.42578125" style="215" bestFit="1" customWidth="1"/>
    <col min="1315" max="1319" width="12.42578125" style="215" bestFit="1" customWidth="1"/>
    <col min="1320" max="1320" width="12" style="215" bestFit="1" customWidth="1"/>
    <col min="1321" max="1536" width="8.85546875" style="215"/>
    <col min="1537" max="1537" width="7.42578125" style="215" customWidth="1"/>
    <col min="1538" max="1538" width="41" style="215" customWidth="1"/>
    <col min="1539" max="1539" width="16" style="215" customWidth="1"/>
    <col min="1540" max="1540" width="16.140625" style="215" bestFit="1" customWidth="1"/>
    <col min="1541" max="1541" width="11.85546875" style="215" customWidth="1"/>
    <col min="1542" max="1542" width="12.42578125" style="215" bestFit="1" customWidth="1"/>
    <col min="1543" max="1544" width="13" style="215" bestFit="1" customWidth="1"/>
    <col min="1545" max="1545" width="12.5703125" style="215" bestFit="1" customWidth="1"/>
    <col min="1546" max="1546" width="13.42578125" style="215" bestFit="1" customWidth="1"/>
    <col min="1547" max="1547" width="13.5703125" style="215" bestFit="1" customWidth="1"/>
    <col min="1548" max="1548" width="14.5703125" style="215" bestFit="1" customWidth="1"/>
    <col min="1549" max="1549" width="14.85546875" style="215" bestFit="1" customWidth="1"/>
    <col min="1550" max="1550" width="17.140625" style="215" customWidth="1"/>
    <col min="1551" max="1551" width="16.42578125" style="215" bestFit="1" customWidth="1"/>
    <col min="1552" max="1552" width="17.140625" style="215" bestFit="1" customWidth="1"/>
    <col min="1553" max="1553" width="24.42578125" style="215" customWidth="1"/>
    <col min="1554" max="1554" width="18.42578125" style="215" bestFit="1" customWidth="1"/>
    <col min="1555" max="1555" width="18.5703125" style="215" bestFit="1" customWidth="1"/>
    <col min="1556" max="1556" width="19.42578125" style="215" bestFit="1" customWidth="1"/>
    <col min="1557" max="1557" width="20.42578125" style="215" bestFit="1" customWidth="1"/>
    <col min="1558" max="1558" width="20.85546875" style="215" bestFit="1" customWidth="1"/>
    <col min="1559" max="1559" width="21.42578125" style="215" bestFit="1" customWidth="1"/>
    <col min="1560" max="1561" width="22.42578125" style="215" bestFit="1" customWidth="1"/>
    <col min="1562" max="1563" width="23.85546875" style="215" bestFit="1" customWidth="1"/>
    <col min="1564" max="1565" width="24.85546875" style="215" bestFit="1" customWidth="1"/>
    <col min="1566" max="1570" width="11.42578125" style="215" bestFit="1" customWidth="1"/>
    <col min="1571" max="1575" width="12.42578125" style="215" bestFit="1" customWidth="1"/>
    <col min="1576" max="1576" width="12" style="215" bestFit="1" customWidth="1"/>
    <col min="1577" max="1792" width="8.85546875" style="215"/>
    <col min="1793" max="1793" width="7.42578125" style="215" customWidth="1"/>
    <col min="1794" max="1794" width="41" style="215" customWidth="1"/>
    <col min="1795" max="1795" width="16" style="215" customWidth="1"/>
    <col min="1796" max="1796" width="16.140625" style="215" bestFit="1" customWidth="1"/>
    <col min="1797" max="1797" width="11.85546875" style="215" customWidth="1"/>
    <col min="1798" max="1798" width="12.42578125" style="215" bestFit="1" customWidth="1"/>
    <col min="1799" max="1800" width="13" style="215" bestFit="1" customWidth="1"/>
    <col min="1801" max="1801" width="12.5703125" style="215" bestFit="1" customWidth="1"/>
    <col min="1802" max="1802" width="13.42578125" style="215" bestFit="1" customWidth="1"/>
    <col min="1803" max="1803" width="13.5703125" style="215" bestFit="1" customWidth="1"/>
    <col min="1804" max="1804" width="14.5703125" style="215" bestFit="1" customWidth="1"/>
    <col min="1805" max="1805" width="14.85546875" style="215" bestFit="1" customWidth="1"/>
    <col min="1806" max="1806" width="17.140625" style="215" customWidth="1"/>
    <col min="1807" max="1807" width="16.42578125" style="215" bestFit="1" customWidth="1"/>
    <col min="1808" max="1808" width="17.140625" style="215" bestFit="1" customWidth="1"/>
    <col min="1809" max="1809" width="24.42578125" style="215" customWidth="1"/>
    <col min="1810" max="1810" width="18.42578125" style="215" bestFit="1" customWidth="1"/>
    <col min="1811" max="1811" width="18.5703125" style="215" bestFit="1" customWidth="1"/>
    <col min="1812" max="1812" width="19.42578125" style="215" bestFit="1" customWidth="1"/>
    <col min="1813" max="1813" width="20.42578125" style="215" bestFit="1" customWidth="1"/>
    <col min="1814" max="1814" width="20.85546875" style="215" bestFit="1" customWidth="1"/>
    <col min="1815" max="1815" width="21.42578125" style="215" bestFit="1" customWidth="1"/>
    <col min="1816" max="1817" width="22.42578125" style="215" bestFit="1" customWidth="1"/>
    <col min="1818" max="1819" width="23.85546875" style="215" bestFit="1" customWidth="1"/>
    <col min="1820" max="1821" width="24.85546875" style="215" bestFit="1" customWidth="1"/>
    <col min="1822" max="1826" width="11.42578125" style="215" bestFit="1" customWidth="1"/>
    <col min="1827" max="1831" width="12.42578125" style="215" bestFit="1" customWidth="1"/>
    <col min="1832" max="1832" width="12" style="215" bestFit="1" customWidth="1"/>
    <col min="1833" max="2048" width="8.85546875" style="215"/>
    <col min="2049" max="2049" width="7.42578125" style="215" customWidth="1"/>
    <col min="2050" max="2050" width="41" style="215" customWidth="1"/>
    <col min="2051" max="2051" width="16" style="215" customWidth="1"/>
    <col min="2052" max="2052" width="16.140625" style="215" bestFit="1" customWidth="1"/>
    <col min="2053" max="2053" width="11.85546875" style="215" customWidth="1"/>
    <col min="2054" max="2054" width="12.42578125" style="215" bestFit="1" customWidth="1"/>
    <col min="2055" max="2056" width="13" style="215" bestFit="1" customWidth="1"/>
    <col min="2057" max="2057" width="12.5703125" style="215" bestFit="1" customWidth="1"/>
    <col min="2058" max="2058" width="13.42578125" style="215" bestFit="1" customWidth="1"/>
    <col min="2059" max="2059" width="13.5703125" style="215" bestFit="1" customWidth="1"/>
    <col min="2060" max="2060" width="14.5703125" style="215" bestFit="1" customWidth="1"/>
    <col min="2061" max="2061" width="14.85546875" style="215" bestFit="1" customWidth="1"/>
    <col min="2062" max="2062" width="17.140625" style="215" customWidth="1"/>
    <col min="2063" max="2063" width="16.42578125" style="215" bestFit="1" customWidth="1"/>
    <col min="2064" max="2064" width="17.140625" style="215" bestFit="1" customWidth="1"/>
    <col min="2065" max="2065" width="24.42578125" style="215" customWidth="1"/>
    <col min="2066" max="2066" width="18.42578125" style="215" bestFit="1" customWidth="1"/>
    <col min="2067" max="2067" width="18.5703125" style="215" bestFit="1" customWidth="1"/>
    <col min="2068" max="2068" width="19.42578125" style="215" bestFit="1" customWidth="1"/>
    <col min="2069" max="2069" width="20.42578125" style="215" bestFit="1" customWidth="1"/>
    <col min="2070" max="2070" width="20.85546875" style="215" bestFit="1" customWidth="1"/>
    <col min="2071" max="2071" width="21.42578125" style="215" bestFit="1" customWidth="1"/>
    <col min="2072" max="2073" width="22.42578125" style="215" bestFit="1" customWidth="1"/>
    <col min="2074" max="2075" width="23.85546875" style="215" bestFit="1" customWidth="1"/>
    <col min="2076" max="2077" width="24.85546875" style="215" bestFit="1" customWidth="1"/>
    <col min="2078" max="2082" width="11.42578125" style="215" bestFit="1" customWidth="1"/>
    <col min="2083" max="2087" width="12.42578125" style="215" bestFit="1" customWidth="1"/>
    <col min="2088" max="2088" width="12" style="215" bestFit="1" customWidth="1"/>
    <col min="2089" max="2304" width="8.85546875" style="215"/>
    <col min="2305" max="2305" width="7.42578125" style="215" customWidth="1"/>
    <col min="2306" max="2306" width="41" style="215" customWidth="1"/>
    <col min="2307" max="2307" width="16" style="215" customWidth="1"/>
    <col min="2308" max="2308" width="16.140625" style="215" bestFit="1" customWidth="1"/>
    <col min="2309" max="2309" width="11.85546875" style="215" customWidth="1"/>
    <col min="2310" max="2310" width="12.42578125" style="215" bestFit="1" customWidth="1"/>
    <col min="2311" max="2312" width="13" style="215" bestFit="1" customWidth="1"/>
    <col min="2313" max="2313" width="12.5703125" style="215" bestFit="1" customWidth="1"/>
    <col min="2314" max="2314" width="13.42578125" style="215" bestFit="1" customWidth="1"/>
    <col min="2315" max="2315" width="13.5703125" style="215" bestFit="1" customWidth="1"/>
    <col min="2316" max="2316" width="14.5703125" style="215" bestFit="1" customWidth="1"/>
    <col min="2317" max="2317" width="14.85546875" style="215" bestFit="1" customWidth="1"/>
    <col min="2318" max="2318" width="17.140625" style="215" customWidth="1"/>
    <col min="2319" max="2319" width="16.42578125" style="215" bestFit="1" customWidth="1"/>
    <col min="2320" max="2320" width="17.140625" style="215" bestFit="1" customWidth="1"/>
    <col min="2321" max="2321" width="24.42578125" style="215" customWidth="1"/>
    <col min="2322" max="2322" width="18.42578125" style="215" bestFit="1" customWidth="1"/>
    <col min="2323" max="2323" width="18.5703125" style="215" bestFit="1" customWidth="1"/>
    <col min="2324" max="2324" width="19.42578125" style="215" bestFit="1" customWidth="1"/>
    <col min="2325" max="2325" width="20.42578125" style="215" bestFit="1" customWidth="1"/>
    <col min="2326" max="2326" width="20.85546875" style="215" bestFit="1" customWidth="1"/>
    <col min="2327" max="2327" width="21.42578125" style="215" bestFit="1" customWidth="1"/>
    <col min="2328" max="2329" width="22.42578125" style="215" bestFit="1" customWidth="1"/>
    <col min="2330" max="2331" width="23.85546875" style="215" bestFit="1" customWidth="1"/>
    <col min="2332" max="2333" width="24.85546875" style="215" bestFit="1" customWidth="1"/>
    <col min="2334" max="2338" width="11.42578125" style="215" bestFit="1" customWidth="1"/>
    <col min="2339" max="2343" width="12.42578125" style="215" bestFit="1" customWidth="1"/>
    <col min="2344" max="2344" width="12" style="215" bestFit="1" customWidth="1"/>
    <col min="2345" max="2560" width="8.85546875" style="215"/>
    <col min="2561" max="2561" width="7.42578125" style="215" customWidth="1"/>
    <col min="2562" max="2562" width="41" style="215" customWidth="1"/>
    <col min="2563" max="2563" width="16" style="215" customWidth="1"/>
    <col min="2564" max="2564" width="16.140625" style="215" bestFit="1" customWidth="1"/>
    <col min="2565" max="2565" width="11.85546875" style="215" customWidth="1"/>
    <col min="2566" max="2566" width="12.42578125" style="215" bestFit="1" customWidth="1"/>
    <col min="2567" max="2568" width="13" style="215" bestFit="1" customWidth="1"/>
    <col min="2569" max="2569" width="12.5703125" style="215" bestFit="1" customWidth="1"/>
    <col min="2570" max="2570" width="13.42578125" style="215" bestFit="1" customWidth="1"/>
    <col min="2571" max="2571" width="13.5703125" style="215" bestFit="1" customWidth="1"/>
    <col min="2572" max="2572" width="14.5703125" style="215" bestFit="1" customWidth="1"/>
    <col min="2573" max="2573" width="14.85546875" style="215" bestFit="1" customWidth="1"/>
    <col min="2574" max="2574" width="17.140625" style="215" customWidth="1"/>
    <col min="2575" max="2575" width="16.42578125" style="215" bestFit="1" customWidth="1"/>
    <col min="2576" max="2576" width="17.140625" style="215" bestFit="1" customWidth="1"/>
    <col min="2577" max="2577" width="24.42578125" style="215" customWidth="1"/>
    <col min="2578" max="2578" width="18.42578125" style="215" bestFit="1" customWidth="1"/>
    <col min="2579" max="2579" width="18.5703125" style="215" bestFit="1" customWidth="1"/>
    <col min="2580" max="2580" width="19.42578125" style="215" bestFit="1" customWidth="1"/>
    <col min="2581" max="2581" width="20.42578125" style="215" bestFit="1" customWidth="1"/>
    <col min="2582" max="2582" width="20.85546875" style="215" bestFit="1" customWidth="1"/>
    <col min="2583" max="2583" width="21.42578125" style="215" bestFit="1" customWidth="1"/>
    <col min="2584" max="2585" width="22.42578125" style="215" bestFit="1" customWidth="1"/>
    <col min="2586" max="2587" width="23.85546875" style="215" bestFit="1" customWidth="1"/>
    <col min="2588" max="2589" width="24.85546875" style="215" bestFit="1" customWidth="1"/>
    <col min="2590" max="2594" width="11.42578125" style="215" bestFit="1" customWidth="1"/>
    <col min="2595" max="2599" width="12.42578125" style="215" bestFit="1" customWidth="1"/>
    <col min="2600" max="2600" width="12" style="215" bestFit="1" customWidth="1"/>
    <col min="2601" max="2816" width="8.85546875" style="215"/>
    <col min="2817" max="2817" width="7.42578125" style="215" customWidth="1"/>
    <col min="2818" max="2818" width="41" style="215" customWidth="1"/>
    <col min="2819" max="2819" width="16" style="215" customWidth="1"/>
    <col min="2820" max="2820" width="16.140625" style="215" bestFit="1" customWidth="1"/>
    <col min="2821" max="2821" width="11.85546875" style="215" customWidth="1"/>
    <col min="2822" max="2822" width="12.42578125" style="215" bestFit="1" customWidth="1"/>
    <col min="2823" max="2824" width="13" style="215" bestFit="1" customWidth="1"/>
    <col min="2825" max="2825" width="12.5703125" style="215" bestFit="1" customWidth="1"/>
    <col min="2826" max="2826" width="13.42578125" style="215" bestFit="1" customWidth="1"/>
    <col min="2827" max="2827" width="13.5703125" style="215" bestFit="1" customWidth="1"/>
    <col min="2828" max="2828" width="14.5703125" style="215" bestFit="1" customWidth="1"/>
    <col min="2829" max="2829" width="14.85546875" style="215" bestFit="1" customWidth="1"/>
    <col min="2830" max="2830" width="17.140625" style="215" customWidth="1"/>
    <col min="2831" max="2831" width="16.42578125" style="215" bestFit="1" customWidth="1"/>
    <col min="2832" max="2832" width="17.140625" style="215" bestFit="1" customWidth="1"/>
    <col min="2833" max="2833" width="24.42578125" style="215" customWidth="1"/>
    <col min="2834" max="2834" width="18.42578125" style="215" bestFit="1" customWidth="1"/>
    <col min="2835" max="2835" width="18.5703125" style="215" bestFit="1" customWidth="1"/>
    <col min="2836" max="2836" width="19.42578125" style="215" bestFit="1" customWidth="1"/>
    <col min="2837" max="2837" width="20.42578125" style="215" bestFit="1" customWidth="1"/>
    <col min="2838" max="2838" width="20.85546875" style="215" bestFit="1" customWidth="1"/>
    <col min="2839" max="2839" width="21.42578125" style="215" bestFit="1" customWidth="1"/>
    <col min="2840" max="2841" width="22.42578125" style="215" bestFit="1" customWidth="1"/>
    <col min="2842" max="2843" width="23.85546875" style="215" bestFit="1" customWidth="1"/>
    <col min="2844" max="2845" width="24.85546875" style="215" bestFit="1" customWidth="1"/>
    <col min="2846" max="2850" width="11.42578125" style="215" bestFit="1" customWidth="1"/>
    <col min="2851" max="2855" width="12.42578125" style="215" bestFit="1" customWidth="1"/>
    <col min="2856" max="2856" width="12" style="215" bestFit="1" customWidth="1"/>
    <col min="2857" max="3072" width="8.85546875" style="215"/>
    <col min="3073" max="3073" width="7.42578125" style="215" customWidth="1"/>
    <col min="3074" max="3074" width="41" style="215" customWidth="1"/>
    <col min="3075" max="3075" width="16" style="215" customWidth="1"/>
    <col min="3076" max="3076" width="16.140625" style="215" bestFit="1" customWidth="1"/>
    <col min="3077" max="3077" width="11.85546875" style="215" customWidth="1"/>
    <col min="3078" max="3078" width="12.42578125" style="215" bestFit="1" customWidth="1"/>
    <col min="3079" max="3080" width="13" style="215" bestFit="1" customWidth="1"/>
    <col min="3081" max="3081" width="12.5703125" style="215" bestFit="1" customWidth="1"/>
    <col min="3082" max="3082" width="13.42578125" style="215" bestFit="1" customWidth="1"/>
    <col min="3083" max="3083" width="13.5703125" style="215" bestFit="1" customWidth="1"/>
    <col min="3084" max="3084" width="14.5703125" style="215" bestFit="1" customWidth="1"/>
    <col min="3085" max="3085" width="14.85546875" style="215" bestFit="1" customWidth="1"/>
    <col min="3086" max="3086" width="17.140625" style="215" customWidth="1"/>
    <col min="3087" max="3087" width="16.42578125" style="215" bestFit="1" customWidth="1"/>
    <col min="3088" max="3088" width="17.140625" style="215" bestFit="1" customWidth="1"/>
    <col min="3089" max="3089" width="24.42578125" style="215" customWidth="1"/>
    <col min="3090" max="3090" width="18.42578125" style="215" bestFit="1" customWidth="1"/>
    <col min="3091" max="3091" width="18.5703125" style="215" bestFit="1" customWidth="1"/>
    <col min="3092" max="3092" width="19.42578125" style="215" bestFit="1" customWidth="1"/>
    <col min="3093" max="3093" width="20.42578125" style="215" bestFit="1" customWidth="1"/>
    <col min="3094" max="3094" width="20.85546875" style="215" bestFit="1" customWidth="1"/>
    <col min="3095" max="3095" width="21.42578125" style="215" bestFit="1" customWidth="1"/>
    <col min="3096" max="3097" width="22.42578125" style="215" bestFit="1" customWidth="1"/>
    <col min="3098" max="3099" width="23.85546875" style="215" bestFit="1" customWidth="1"/>
    <col min="3100" max="3101" width="24.85546875" style="215" bestFit="1" customWidth="1"/>
    <col min="3102" max="3106" width="11.42578125" style="215" bestFit="1" customWidth="1"/>
    <col min="3107" max="3111" width="12.42578125" style="215" bestFit="1" customWidth="1"/>
    <col min="3112" max="3112" width="12" style="215" bestFit="1" customWidth="1"/>
    <col min="3113" max="3328" width="8.85546875" style="215"/>
    <col min="3329" max="3329" width="7.42578125" style="215" customWidth="1"/>
    <col min="3330" max="3330" width="41" style="215" customWidth="1"/>
    <col min="3331" max="3331" width="16" style="215" customWidth="1"/>
    <col min="3332" max="3332" width="16.140625" style="215" bestFit="1" customWidth="1"/>
    <col min="3333" max="3333" width="11.85546875" style="215" customWidth="1"/>
    <col min="3334" max="3334" width="12.42578125" style="215" bestFit="1" customWidth="1"/>
    <col min="3335" max="3336" width="13" style="215" bestFit="1" customWidth="1"/>
    <col min="3337" max="3337" width="12.5703125" style="215" bestFit="1" customWidth="1"/>
    <col min="3338" max="3338" width="13.42578125" style="215" bestFit="1" customWidth="1"/>
    <col min="3339" max="3339" width="13.5703125" style="215" bestFit="1" customWidth="1"/>
    <col min="3340" max="3340" width="14.5703125" style="215" bestFit="1" customWidth="1"/>
    <col min="3341" max="3341" width="14.85546875" style="215" bestFit="1" customWidth="1"/>
    <col min="3342" max="3342" width="17.140625" style="215" customWidth="1"/>
    <col min="3343" max="3343" width="16.42578125" style="215" bestFit="1" customWidth="1"/>
    <col min="3344" max="3344" width="17.140625" style="215" bestFit="1" customWidth="1"/>
    <col min="3345" max="3345" width="24.42578125" style="215" customWidth="1"/>
    <col min="3346" max="3346" width="18.42578125" style="215" bestFit="1" customWidth="1"/>
    <col min="3347" max="3347" width="18.5703125" style="215" bestFit="1" customWidth="1"/>
    <col min="3348" max="3348" width="19.42578125" style="215" bestFit="1" customWidth="1"/>
    <col min="3349" max="3349" width="20.42578125" style="215" bestFit="1" customWidth="1"/>
    <col min="3350" max="3350" width="20.85546875" style="215" bestFit="1" customWidth="1"/>
    <col min="3351" max="3351" width="21.42578125" style="215" bestFit="1" customWidth="1"/>
    <col min="3352" max="3353" width="22.42578125" style="215" bestFit="1" customWidth="1"/>
    <col min="3354" max="3355" width="23.85546875" style="215" bestFit="1" customWidth="1"/>
    <col min="3356" max="3357" width="24.85546875" style="215" bestFit="1" customWidth="1"/>
    <col min="3358" max="3362" width="11.42578125" style="215" bestFit="1" customWidth="1"/>
    <col min="3363" max="3367" width="12.42578125" style="215" bestFit="1" customWidth="1"/>
    <col min="3368" max="3368" width="12" style="215" bestFit="1" customWidth="1"/>
    <col min="3369" max="3584" width="8.85546875" style="215"/>
    <col min="3585" max="3585" width="7.42578125" style="215" customWidth="1"/>
    <col min="3586" max="3586" width="41" style="215" customWidth="1"/>
    <col min="3587" max="3587" width="16" style="215" customWidth="1"/>
    <col min="3588" max="3588" width="16.140625" style="215" bestFit="1" customWidth="1"/>
    <col min="3589" max="3589" width="11.85546875" style="215" customWidth="1"/>
    <col min="3590" max="3590" width="12.42578125" style="215" bestFit="1" customWidth="1"/>
    <col min="3591" max="3592" width="13" style="215" bestFit="1" customWidth="1"/>
    <col min="3593" max="3593" width="12.5703125" style="215" bestFit="1" customWidth="1"/>
    <col min="3594" max="3594" width="13.42578125" style="215" bestFit="1" customWidth="1"/>
    <col min="3595" max="3595" width="13.5703125" style="215" bestFit="1" customWidth="1"/>
    <col min="3596" max="3596" width="14.5703125" style="215" bestFit="1" customWidth="1"/>
    <col min="3597" max="3597" width="14.85546875" style="215" bestFit="1" customWidth="1"/>
    <col min="3598" max="3598" width="17.140625" style="215" customWidth="1"/>
    <col min="3599" max="3599" width="16.42578125" style="215" bestFit="1" customWidth="1"/>
    <col min="3600" max="3600" width="17.140625" style="215" bestFit="1" customWidth="1"/>
    <col min="3601" max="3601" width="24.42578125" style="215" customWidth="1"/>
    <col min="3602" max="3602" width="18.42578125" style="215" bestFit="1" customWidth="1"/>
    <col min="3603" max="3603" width="18.5703125" style="215" bestFit="1" customWidth="1"/>
    <col min="3604" max="3604" width="19.42578125" style="215" bestFit="1" customWidth="1"/>
    <col min="3605" max="3605" width="20.42578125" style="215" bestFit="1" customWidth="1"/>
    <col min="3606" max="3606" width="20.85546875" style="215" bestFit="1" customWidth="1"/>
    <col min="3607" max="3607" width="21.42578125" style="215" bestFit="1" customWidth="1"/>
    <col min="3608" max="3609" width="22.42578125" style="215" bestFit="1" customWidth="1"/>
    <col min="3610" max="3611" width="23.85546875" style="215" bestFit="1" customWidth="1"/>
    <col min="3612" max="3613" width="24.85546875" style="215" bestFit="1" customWidth="1"/>
    <col min="3614" max="3618" width="11.42578125" style="215" bestFit="1" customWidth="1"/>
    <col min="3619" max="3623" width="12.42578125" style="215" bestFit="1" customWidth="1"/>
    <col min="3624" max="3624" width="12" style="215" bestFit="1" customWidth="1"/>
    <col min="3625" max="3840" width="8.85546875" style="215"/>
    <col min="3841" max="3841" width="7.42578125" style="215" customWidth="1"/>
    <col min="3842" max="3842" width="41" style="215" customWidth="1"/>
    <col min="3843" max="3843" width="16" style="215" customWidth="1"/>
    <col min="3844" max="3844" width="16.140625" style="215" bestFit="1" customWidth="1"/>
    <col min="3845" max="3845" width="11.85546875" style="215" customWidth="1"/>
    <col min="3846" max="3846" width="12.42578125" style="215" bestFit="1" customWidth="1"/>
    <col min="3847" max="3848" width="13" style="215" bestFit="1" customWidth="1"/>
    <col min="3849" max="3849" width="12.5703125" style="215" bestFit="1" customWidth="1"/>
    <col min="3850" max="3850" width="13.42578125" style="215" bestFit="1" customWidth="1"/>
    <col min="3851" max="3851" width="13.5703125" style="215" bestFit="1" customWidth="1"/>
    <col min="3852" max="3852" width="14.5703125" style="215" bestFit="1" customWidth="1"/>
    <col min="3853" max="3853" width="14.85546875" style="215" bestFit="1" customWidth="1"/>
    <col min="3854" max="3854" width="17.140625" style="215" customWidth="1"/>
    <col min="3855" max="3855" width="16.42578125" style="215" bestFit="1" customWidth="1"/>
    <col min="3856" max="3856" width="17.140625" style="215" bestFit="1" customWidth="1"/>
    <col min="3857" max="3857" width="24.42578125" style="215" customWidth="1"/>
    <col min="3858" max="3858" width="18.42578125" style="215" bestFit="1" customWidth="1"/>
    <col min="3859" max="3859" width="18.5703125" style="215" bestFit="1" customWidth="1"/>
    <col min="3860" max="3860" width="19.42578125" style="215" bestFit="1" customWidth="1"/>
    <col min="3861" max="3861" width="20.42578125" style="215" bestFit="1" customWidth="1"/>
    <col min="3862" max="3862" width="20.85546875" style="215" bestFit="1" customWidth="1"/>
    <col min="3863" max="3863" width="21.42578125" style="215" bestFit="1" customWidth="1"/>
    <col min="3864" max="3865" width="22.42578125" style="215" bestFit="1" customWidth="1"/>
    <col min="3866" max="3867" width="23.85546875" style="215" bestFit="1" customWidth="1"/>
    <col min="3868" max="3869" width="24.85546875" style="215" bestFit="1" customWidth="1"/>
    <col min="3870" max="3874" width="11.42578125" style="215" bestFit="1" customWidth="1"/>
    <col min="3875" max="3879" width="12.42578125" style="215" bestFit="1" customWidth="1"/>
    <col min="3880" max="3880" width="12" style="215" bestFit="1" customWidth="1"/>
    <col min="3881" max="4096" width="8.85546875" style="215"/>
    <col min="4097" max="4097" width="7.42578125" style="215" customWidth="1"/>
    <col min="4098" max="4098" width="41" style="215" customWidth="1"/>
    <col min="4099" max="4099" width="16" style="215" customWidth="1"/>
    <col min="4100" max="4100" width="16.140625" style="215" bestFit="1" customWidth="1"/>
    <col min="4101" max="4101" width="11.85546875" style="215" customWidth="1"/>
    <col min="4102" max="4102" width="12.42578125" style="215" bestFit="1" customWidth="1"/>
    <col min="4103" max="4104" width="13" style="215" bestFit="1" customWidth="1"/>
    <col min="4105" max="4105" width="12.5703125" style="215" bestFit="1" customWidth="1"/>
    <col min="4106" max="4106" width="13.42578125" style="215" bestFit="1" customWidth="1"/>
    <col min="4107" max="4107" width="13.5703125" style="215" bestFit="1" customWidth="1"/>
    <col min="4108" max="4108" width="14.5703125" style="215" bestFit="1" customWidth="1"/>
    <col min="4109" max="4109" width="14.85546875" style="215" bestFit="1" customWidth="1"/>
    <col min="4110" max="4110" width="17.140625" style="215" customWidth="1"/>
    <col min="4111" max="4111" width="16.42578125" style="215" bestFit="1" customWidth="1"/>
    <col min="4112" max="4112" width="17.140625" style="215" bestFit="1" customWidth="1"/>
    <col min="4113" max="4113" width="24.42578125" style="215" customWidth="1"/>
    <col min="4114" max="4114" width="18.42578125" style="215" bestFit="1" customWidth="1"/>
    <col min="4115" max="4115" width="18.5703125" style="215" bestFit="1" customWidth="1"/>
    <col min="4116" max="4116" width="19.42578125" style="215" bestFit="1" customWidth="1"/>
    <col min="4117" max="4117" width="20.42578125" style="215" bestFit="1" customWidth="1"/>
    <col min="4118" max="4118" width="20.85546875" style="215" bestFit="1" customWidth="1"/>
    <col min="4119" max="4119" width="21.42578125" style="215" bestFit="1" customWidth="1"/>
    <col min="4120" max="4121" width="22.42578125" style="215" bestFit="1" customWidth="1"/>
    <col min="4122" max="4123" width="23.85546875" style="215" bestFit="1" customWidth="1"/>
    <col min="4124" max="4125" width="24.85546875" style="215" bestFit="1" customWidth="1"/>
    <col min="4126" max="4130" width="11.42578125" style="215" bestFit="1" customWidth="1"/>
    <col min="4131" max="4135" width="12.42578125" style="215" bestFit="1" customWidth="1"/>
    <col min="4136" max="4136" width="12" style="215" bestFit="1" customWidth="1"/>
    <col min="4137" max="4352" width="8.85546875" style="215"/>
    <col min="4353" max="4353" width="7.42578125" style="215" customWidth="1"/>
    <col min="4354" max="4354" width="41" style="215" customWidth="1"/>
    <col min="4355" max="4355" width="16" style="215" customWidth="1"/>
    <col min="4356" max="4356" width="16.140625" style="215" bestFit="1" customWidth="1"/>
    <col min="4357" max="4357" width="11.85546875" style="215" customWidth="1"/>
    <col min="4358" max="4358" width="12.42578125" style="215" bestFit="1" customWidth="1"/>
    <col min="4359" max="4360" width="13" style="215" bestFit="1" customWidth="1"/>
    <col min="4361" max="4361" width="12.5703125" style="215" bestFit="1" customWidth="1"/>
    <col min="4362" max="4362" width="13.42578125" style="215" bestFit="1" customWidth="1"/>
    <col min="4363" max="4363" width="13.5703125" style="215" bestFit="1" customWidth="1"/>
    <col min="4364" max="4364" width="14.5703125" style="215" bestFit="1" customWidth="1"/>
    <col min="4365" max="4365" width="14.85546875" style="215" bestFit="1" customWidth="1"/>
    <col min="4366" max="4366" width="17.140625" style="215" customWidth="1"/>
    <col min="4367" max="4367" width="16.42578125" style="215" bestFit="1" customWidth="1"/>
    <col min="4368" max="4368" width="17.140625" style="215" bestFit="1" customWidth="1"/>
    <col min="4369" max="4369" width="24.42578125" style="215" customWidth="1"/>
    <col min="4370" max="4370" width="18.42578125" style="215" bestFit="1" customWidth="1"/>
    <col min="4371" max="4371" width="18.5703125" style="215" bestFit="1" customWidth="1"/>
    <col min="4372" max="4372" width="19.42578125" style="215" bestFit="1" customWidth="1"/>
    <col min="4373" max="4373" width="20.42578125" style="215" bestFit="1" customWidth="1"/>
    <col min="4374" max="4374" width="20.85546875" style="215" bestFit="1" customWidth="1"/>
    <col min="4375" max="4375" width="21.42578125" style="215" bestFit="1" customWidth="1"/>
    <col min="4376" max="4377" width="22.42578125" style="215" bestFit="1" customWidth="1"/>
    <col min="4378" max="4379" width="23.85546875" style="215" bestFit="1" customWidth="1"/>
    <col min="4380" max="4381" width="24.85546875" style="215" bestFit="1" customWidth="1"/>
    <col min="4382" max="4386" width="11.42578125" style="215" bestFit="1" customWidth="1"/>
    <col min="4387" max="4391" width="12.42578125" style="215" bestFit="1" customWidth="1"/>
    <col min="4392" max="4392" width="12" style="215" bestFit="1" customWidth="1"/>
    <col min="4393" max="4608" width="8.85546875" style="215"/>
    <col min="4609" max="4609" width="7.42578125" style="215" customWidth="1"/>
    <col min="4610" max="4610" width="41" style="215" customWidth="1"/>
    <col min="4611" max="4611" width="16" style="215" customWidth="1"/>
    <col min="4612" max="4612" width="16.140625" style="215" bestFit="1" customWidth="1"/>
    <col min="4613" max="4613" width="11.85546875" style="215" customWidth="1"/>
    <col min="4614" max="4614" width="12.42578125" style="215" bestFit="1" customWidth="1"/>
    <col min="4615" max="4616" width="13" style="215" bestFit="1" customWidth="1"/>
    <col min="4617" max="4617" width="12.5703125" style="215" bestFit="1" customWidth="1"/>
    <col min="4618" max="4618" width="13.42578125" style="215" bestFit="1" customWidth="1"/>
    <col min="4619" max="4619" width="13.5703125" style="215" bestFit="1" customWidth="1"/>
    <col min="4620" max="4620" width="14.5703125" style="215" bestFit="1" customWidth="1"/>
    <col min="4621" max="4621" width="14.85546875" style="215" bestFit="1" customWidth="1"/>
    <col min="4622" max="4622" width="17.140625" style="215" customWidth="1"/>
    <col min="4623" max="4623" width="16.42578125" style="215" bestFit="1" customWidth="1"/>
    <col min="4624" max="4624" width="17.140625" style="215" bestFit="1" customWidth="1"/>
    <col min="4625" max="4625" width="24.42578125" style="215" customWidth="1"/>
    <col min="4626" max="4626" width="18.42578125" style="215" bestFit="1" customWidth="1"/>
    <col min="4627" max="4627" width="18.5703125" style="215" bestFit="1" customWidth="1"/>
    <col min="4628" max="4628" width="19.42578125" style="215" bestFit="1" customWidth="1"/>
    <col min="4629" max="4629" width="20.42578125" style="215" bestFit="1" customWidth="1"/>
    <col min="4630" max="4630" width="20.85546875" style="215" bestFit="1" customWidth="1"/>
    <col min="4631" max="4631" width="21.42578125" style="215" bestFit="1" customWidth="1"/>
    <col min="4632" max="4633" width="22.42578125" style="215" bestFit="1" customWidth="1"/>
    <col min="4634" max="4635" width="23.85546875" style="215" bestFit="1" customWidth="1"/>
    <col min="4636" max="4637" width="24.85546875" style="215" bestFit="1" customWidth="1"/>
    <col min="4638" max="4642" width="11.42578125" style="215" bestFit="1" customWidth="1"/>
    <col min="4643" max="4647" width="12.42578125" style="215" bestFit="1" customWidth="1"/>
    <col min="4648" max="4648" width="12" style="215" bestFit="1" customWidth="1"/>
    <col min="4649" max="4864" width="8.85546875" style="215"/>
    <col min="4865" max="4865" width="7.42578125" style="215" customWidth="1"/>
    <col min="4866" max="4866" width="41" style="215" customWidth="1"/>
    <col min="4867" max="4867" width="16" style="215" customWidth="1"/>
    <col min="4868" max="4868" width="16.140625" style="215" bestFit="1" customWidth="1"/>
    <col min="4869" max="4869" width="11.85546875" style="215" customWidth="1"/>
    <col min="4870" max="4870" width="12.42578125" style="215" bestFit="1" customWidth="1"/>
    <col min="4871" max="4872" width="13" style="215" bestFit="1" customWidth="1"/>
    <col min="4873" max="4873" width="12.5703125" style="215" bestFit="1" customWidth="1"/>
    <col min="4874" max="4874" width="13.42578125" style="215" bestFit="1" customWidth="1"/>
    <col min="4875" max="4875" width="13.5703125" style="215" bestFit="1" customWidth="1"/>
    <col min="4876" max="4876" width="14.5703125" style="215" bestFit="1" customWidth="1"/>
    <col min="4877" max="4877" width="14.85546875" style="215" bestFit="1" customWidth="1"/>
    <col min="4878" max="4878" width="17.140625" style="215" customWidth="1"/>
    <col min="4879" max="4879" width="16.42578125" style="215" bestFit="1" customWidth="1"/>
    <col min="4880" max="4880" width="17.140625" style="215" bestFit="1" customWidth="1"/>
    <col min="4881" max="4881" width="24.42578125" style="215" customWidth="1"/>
    <col min="4882" max="4882" width="18.42578125" style="215" bestFit="1" customWidth="1"/>
    <col min="4883" max="4883" width="18.5703125" style="215" bestFit="1" customWidth="1"/>
    <col min="4884" max="4884" width="19.42578125" style="215" bestFit="1" customWidth="1"/>
    <col min="4885" max="4885" width="20.42578125" style="215" bestFit="1" customWidth="1"/>
    <col min="4886" max="4886" width="20.85546875" style="215" bestFit="1" customWidth="1"/>
    <col min="4887" max="4887" width="21.42578125" style="215" bestFit="1" customWidth="1"/>
    <col min="4888" max="4889" width="22.42578125" style="215" bestFit="1" customWidth="1"/>
    <col min="4890" max="4891" width="23.85546875" style="215" bestFit="1" customWidth="1"/>
    <col min="4892" max="4893" width="24.85546875" style="215" bestFit="1" customWidth="1"/>
    <col min="4894" max="4898" width="11.42578125" style="215" bestFit="1" customWidth="1"/>
    <col min="4899" max="4903" width="12.42578125" style="215" bestFit="1" customWidth="1"/>
    <col min="4904" max="4904" width="12" style="215" bestFit="1" customWidth="1"/>
    <col min="4905" max="5120" width="8.85546875" style="215"/>
    <col min="5121" max="5121" width="7.42578125" style="215" customWidth="1"/>
    <col min="5122" max="5122" width="41" style="215" customWidth="1"/>
    <col min="5123" max="5123" width="16" style="215" customWidth="1"/>
    <col min="5124" max="5124" width="16.140625" style="215" bestFit="1" customWidth="1"/>
    <col min="5125" max="5125" width="11.85546875" style="215" customWidth="1"/>
    <col min="5126" max="5126" width="12.42578125" style="215" bestFit="1" customWidth="1"/>
    <col min="5127" max="5128" width="13" style="215" bestFit="1" customWidth="1"/>
    <col min="5129" max="5129" width="12.5703125" style="215" bestFit="1" customWidth="1"/>
    <col min="5130" max="5130" width="13.42578125" style="215" bestFit="1" customWidth="1"/>
    <col min="5131" max="5131" width="13.5703125" style="215" bestFit="1" customWidth="1"/>
    <col min="5132" max="5132" width="14.5703125" style="215" bestFit="1" customWidth="1"/>
    <col min="5133" max="5133" width="14.85546875" style="215" bestFit="1" customWidth="1"/>
    <col min="5134" max="5134" width="17.140625" style="215" customWidth="1"/>
    <col min="5135" max="5135" width="16.42578125" style="215" bestFit="1" customWidth="1"/>
    <col min="5136" max="5136" width="17.140625" style="215" bestFit="1" customWidth="1"/>
    <col min="5137" max="5137" width="24.42578125" style="215" customWidth="1"/>
    <col min="5138" max="5138" width="18.42578125" style="215" bestFit="1" customWidth="1"/>
    <col min="5139" max="5139" width="18.5703125" style="215" bestFit="1" customWidth="1"/>
    <col min="5140" max="5140" width="19.42578125" style="215" bestFit="1" customWidth="1"/>
    <col min="5141" max="5141" width="20.42578125" style="215" bestFit="1" customWidth="1"/>
    <col min="5142" max="5142" width="20.85546875" style="215" bestFit="1" customWidth="1"/>
    <col min="5143" max="5143" width="21.42578125" style="215" bestFit="1" customWidth="1"/>
    <col min="5144" max="5145" width="22.42578125" style="215" bestFit="1" customWidth="1"/>
    <col min="5146" max="5147" width="23.85546875" style="215" bestFit="1" customWidth="1"/>
    <col min="5148" max="5149" width="24.85546875" style="215" bestFit="1" customWidth="1"/>
    <col min="5150" max="5154" width="11.42578125" style="215" bestFit="1" customWidth="1"/>
    <col min="5155" max="5159" width="12.42578125" style="215" bestFit="1" customWidth="1"/>
    <col min="5160" max="5160" width="12" style="215" bestFit="1" customWidth="1"/>
    <col min="5161" max="5376" width="8.85546875" style="215"/>
    <col min="5377" max="5377" width="7.42578125" style="215" customWidth="1"/>
    <col min="5378" max="5378" width="41" style="215" customWidth="1"/>
    <col min="5379" max="5379" width="16" style="215" customWidth="1"/>
    <col min="5380" max="5380" width="16.140625" style="215" bestFit="1" customWidth="1"/>
    <col min="5381" max="5381" width="11.85546875" style="215" customWidth="1"/>
    <col min="5382" max="5382" width="12.42578125" style="215" bestFit="1" customWidth="1"/>
    <col min="5383" max="5384" width="13" style="215" bestFit="1" customWidth="1"/>
    <col min="5385" max="5385" width="12.5703125" style="215" bestFit="1" customWidth="1"/>
    <col min="5386" max="5386" width="13.42578125" style="215" bestFit="1" customWidth="1"/>
    <col min="5387" max="5387" width="13.5703125" style="215" bestFit="1" customWidth="1"/>
    <col min="5388" max="5388" width="14.5703125" style="215" bestFit="1" customWidth="1"/>
    <col min="5389" max="5389" width="14.85546875" style="215" bestFit="1" customWidth="1"/>
    <col min="5390" max="5390" width="17.140625" style="215" customWidth="1"/>
    <col min="5391" max="5391" width="16.42578125" style="215" bestFit="1" customWidth="1"/>
    <col min="5392" max="5392" width="17.140625" style="215" bestFit="1" customWidth="1"/>
    <col min="5393" max="5393" width="24.42578125" style="215" customWidth="1"/>
    <col min="5394" max="5394" width="18.42578125" style="215" bestFit="1" customWidth="1"/>
    <col min="5395" max="5395" width="18.5703125" style="215" bestFit="1" customWidth="1"/>
    <col min="5396" max="5396" width="19.42578125" style="215" bestFit="1" customWidth="1"/>
    <col min="5397" max="5397" width="20.42578125" style="215" bestFit="1" customWidth="1"/>
    <col min="5398" max="5398" width="20.85546875" style="215" bestFit="1" customWidth="1"/>
    <col min="5399" max="5399" width="21.42578125" style="215" bestFit="1" customWidth="1"/>
    <col min="5400" max="5401" width="22.42578125" style="215" bestFit="1" customWidth="1"/>
    <col min="5402" max="5403" width="23.85546875" style="215" bestFit="1" customWidth="1"/>
    <col min="5404" max="5405" width="24.85546875" style="215" bestFit="1" customWidth="1"/>
    <col min="5406" max="5410" width="11.42578125" style="215" bestFit="1" customWidth="1"/>
    <col min="5411" max="5415" width="12.42578125" style="215" bestFit="1" customWidth="1"/>
    <col min="5416" max="5416" width="12" style="215" bestFit="1" customWidth="1"/>
    <col min="5417" max="5632" width="8.85546875" style="215"/>
    <col min="5633" max="5633" width="7.42578125" style="215" customWidth="1"/>
    <col min="5634" max="5634" width="41" style="215" customWidth="1"/>
    <col min="5635" max="5635" width="16" style="215" customWidth="1"/>
    <col min="5636" max="5636" width="16.140625" style="215" bestFit="1" customWidth="1"/>
    <col min="5637" max="5637" width="11.85546875" style="215" customWidth="1"/>
    <col min="5638" max="5638" width="12.42578125" style="215" bestFit="1" customWidth="1"/>
    <col min="5639" max="5640" width="13" style="215" bestFit="1" customWidth="1"/>
    <col min="5641" max="5641" width="12.5703125" style="215" bestFit="1" customWidth="1"/>
    <col min="5642" max="5642" width="13.42578125" style="215" bestFit="1" customWidth="1"/>
    <col min="5643" max="5643" width="13.5703125" style="215" bestFit="1" customWidth="1"/>
    <col min="5644" max="5644" width="14.5703125" style="215" bestFit="1" customWidth="1"/>
    <col min="5645" max="5645" width="14.85546875" style="215" bestFit="1" customWidth="1"/>
    <col min="5646" max="5646" width="17.140625" style="215" customWidth="1"/>
    <col min="5647" max="5647" width="16.42578125" style="215" bestFit="1" customWidth="1"/>
    <col min="5648" max="5648" width="17.140625" style="215" bestFit="1" customWidth="1"/>
    <col min="5649" max="5649" width="24.42578125" style="215" customWidth="1"/>
    <col min="5650" max="5650" width="18.42578125" style="215" bestFit="1" customWidth="1"/>
    <col min="5651" max="5651" width="18.5703125" style="215" bestFit="1" customWidth="1"/>
    <col min="5652" max="5652" width="19.42578125" style="215" bestFit="1" customWidth="1"/>
    <col min="5653" max="5653" width="20.42578125" style="215" bestFit="1" customWidth="1"/>
    <col min="5654" max="5654" width="20.85546875" style="215" bestFit="1" customWidth="1"/>
    <col min="5655" max="5655" width="21.42578125" style="215" bestFit="1" customWidth="1"/>
    <col min="5656" max="5657" width="22.42578125" style="215" bestFit="1" customWidth="1"/>
    <col min="5658" max="5659" width="23.85546875" style="215" bestFit="1" customWidth="1"/>
    <col min="5660" max="5661" width="24.85546875" style="215" bestFit="1" customWidth="1"/>
    <col min="5662" max="5666" width="11.42578125" style="215" bestFit="1" customWidth="1"/>
    <col min="5667" max="5671" width="12.42578125" style="215" bestFit="1" customWidth="1"/>
    <col min="5672" max="5672" width="12" style="215" bestFit="1" customWidth="1"/>
    <col min="5673" max="5888" width="8.85546875" style="215"/>
    <col min="5889" max="5889" width="7.42578125" style="215" customWidth="1"/>
    <col min="5890" max="5890" width="41" style="215" customWidth="1"/>
    <col min="5891" max="5891" width="16" style="215" customWidth="1"/>
    <col min="5892" max="5892" width="16.140625" style="215" bestFit="1" customWidth="1"/>
    <col min="5893" max="5893" width="11.85546875" style="215" customWidth="1"/>
    <col min="5894" max="5894" width="12.42578125" style="215" bestFit="1" customWidth="1"/>
    <col min="5895" max="5896" width="13" style="215" bestFit="1" customWidth="1"/>
    <col min="5897" max="5897" width="12.5703125" style="215" bestFit="1" customWidth="1"/>
    <col min="5898" max="5898" width="13.42578125" style="215" bestFit="1" customWidth="1"/>
    <col min="5899" max="5899" width="13.5703125" style="215" bestFit="1" customWidth="1"/>
    <col min="5900" max="5900" width="14.5703125" style="215" bestFit="1" customWidth="1"/>
    <col min="5901" max="5901" width="14.85546875" style="215" bestFit="1" customWidth="1"/>
    <col min="5902" max="5902" width="17.140625" style="215" customWidth="1"/>
    <col min="5903" max="5903" width="16.42578125" style="215" bestFit="1" customWidth="1"/>
    <col min="5904" max="5904" width="17.140625" style="215" bestFit="1" customWidth="1"/>
    <col min="5905" max="5905" width="24.42578125" style="215" customWidth="1"/>
    <col min="5906" max="5906" width="18.42578125" style="215" bestFit="1" customWidth="1"/>
    <col min="5907" max="5907" width="18.5703125" style="215" bestFit="1" customWidth="1"/>
    <col min="5908" max="5908" width="19.42578125" style="215" bestFit="1" customWidth="1"/>
    <col min="5909" max="5909" width="20.42578125" style="215" bestFit="1" customWidth="1"/>
    <col min="5910" max="5910" width="20.85546875" style="215" bestFit="1" customWidth="1"/>
    <col min="5911" max="5911" width="21.42578125" style="215" bestFit="1" customWidth="1"/>
    <col min="5912" max="5913" width="22.42578125" style="215" bestFit="1" customWidth="1"/>
    <col min="5914" max="5915" width="23.85546875" style="215" bestFit="1" customWidth="1"/>
    <col min="5916" max="5917" width="24.85546875" style="215" bestFit="1" customWidth="1"/>
    <col min="5918" max="5922" width="11.42578125" style="215" bestFit="1" customWidth="1"/>
    <col min="5923" max="5927" width="12.42578125" style="215" bestFit="1" customWidth="1"/>
    <col min="5928" max="5928" width="12" style="215" bestFit="1" customWidth="1"/>
    <col min="5929" max="6144" width="8.85546875" style="215"/>
    <col min="6145" max="6145" width="7.42578125" style="215" customWidth="1"/>
    <col min="6146" max="6146" width="41" style="215" customWidth="1"/>
    <col min="6147" max="6147" width="16" style="215" customWidth="1"/>
    <col min="6148" max="6148" width="16.140625" style="215" bestFit="1" customWidth="1"/>
    <col min="6149" max="6149" width="11.85546875" style="215" customWidth="1"/>
    <col min="6150" max="6150" width="12.42578125" style="215" bestFit="1" customWidth="1"/>
    <col min="6151" max="6152" width="13" style="215" bestFit="1" customWidth="1"/>
    <col min="6153" max="6153" width="12.5703125" style="215" bestFit="1" customWidth="1"/>
    <col min="6154" max="6154" width="13.42578125" style="215" bestFit="1" customWidth="1"/>
    <col min="6155" max="6155" width="13.5703125" style="215" bestFit="1" customWidth="1"/>
    <col min="6156" max="6156" width="14.5703125" style="215" bestFit="1" customWidth="1"/>
    <col min="6157" max="6157" width="14.85546875" style="215" bestFit="1" customWidth="1"/>
    <col min="6158" max="6158" width="17.140625" style="215" customWidth="1"/>
    <col min="6159" max="6159" width="16.42578125" style="215" bestFit="1" customWidth="1"/>
    <col min="6160" max="6160" width="17.140625" style="215" bestFit="1" customWidth="1"/>
    <col min="6161" max="6161" width="24.42578125" style="215" customWidth="1"/>
    <col min="6162" max="6162" width="18.42578125" style="215" bestFit="1" customWidth="1"/>
    <col min="6163" max="6163" width="18.5703125" style="215" bestFit="1" customWidth="1"/>
    <col min="6164" max="6164" width="19.42578125" style="215" bestFit="1" customWidth="1"/>
    <col min="6165" max="6165" width="20.42578125" style="215" bestFit="1" customWidth="1"/>
    <col min="6166" max="6166" width="20.85546875" style="215" bestFit="1" customWidth="1"/>
    <col min="6167" max="6167" width="21.42578125" style="215" bestFit="1" customWidth="1"/>
    <col min="6168" max="6169" width="22.42578125" style="215" bestFit="1" customWidth="1"/>
    <col min="6170" max="6171" width="23.85546875" style="215" bestFit="1" customWidth="1"/>
    <col min="6172" max="6173" width="24.85546875" style="215" bestFit="1" customWidth="1"/>
    <col min="6174" max="6178" width="11.42578125" style="215" bestFit="1" customWidth="1"/>
    <col min="6179" max="6183" width="12.42578125" style="215" bestFit="1" customWidth="1"/>
    <col min="6184" max="6184" width="12" style="215" bestFit="1" customWidth="1"/>
    <col min="6185" max="6400" width="8.85546875" style="215"/>
    <col min="6401" max="6401" width="7.42578125" style="215" customWidth="1"/>
    <col min="6402" max="6402" width="41" style="215" customWidth="1"/>
    <col min="6403" max="6403" width="16" style="215" customWidth="1"/>
    <col min="6404" max="6404" width="16.140625" style="215" bestFit="1" customWidth="1"/>
    <col min="6405" max="6405" width="11.85546875" style="215" customWidth="1"/>
    <col min="6406" max="6406" width="12.42578125" style="215" bestFit="1" customWidth="1"/>
    <col min="6407" max="6408" width="13" style="215" bestFit="1" customWidth="1"/>
    <col min="6409" max="6409" width="12.5703125" style="215" bestFit="1" customWidth="1"/>
    <col min="6410" max="6410" width="13.42578125" style="215" bestFit="1" customWidth="1"/>
    <col min="6411" max="6411" width="13.5703125" style="215" bestFit="1" customWidth="1"/>
    <col min="6412" max="6412" width="14.5703125" style="215" bestFit="1" customWidth="1"/>
    <col min="6413" max="6413" width="14.85546875" style="215" bestFit="1" customWidth="1"/>
    <col min="6414" max="6414" width="17.140625" style="215" customWidth="1"/>
    <col min="6415" max="6415" width="16.42578125" style="215" bestFit="1" customWidth="1"/>
    <col min="6416" max="6416" width="17.140625" style="215" bestFit="1" customWidth="1"/>
    <col min="6417" max="6417" width="24.42578125" style="215" customWidth="1"/>
    <col min="6418" max="6418" width="18.42578125" style="215" bestFit="1" customWidth="1"/>
    <col min="6419" max="6419" width="18.5703125" style="215" bestFit="1" customWidth="1"/>
    <col min="6420" max="6420" width="19.42578125" style="215" bestFit="1" customWidth="1"/>
    <col min="6421" max="6421" width="20.42578125" style="215" bestFit="1" customWidth="1"/>
    <col min="6422" max="6422" width="20.85546875" style="215" bestFit="1" customWidth="1"/>
    <col min="6423" max="6423" width="21.42578125" style="215" bestFit="1" customWidth="1"/>
    <col min="6424" max="6425" width="22.42578125" style="215" bestFit="1" customWidth="1"/>
    <col min="6426" max="6427" width="23.85546875" style="215" bestFit="1" customWidth="1"/>
    <col min="6428" max="6429" width="24.85546875" style="215" bestFit="1" customWidth="1"/>
    <col min="6430" max="6434" width="11.42578125" style="215" bestFit="1" customWidth="1"/>
    <col min="6435" max="6439" width="12.42578125" style="215" bestFit="1" customWidth="1"/>
    <col min="6440" max="6440" width="12" style="215" bestFit="1" customWidth="1"/>
    <col min="6441" max="6656" width="8.85546875" style="215"/>
    <col min="6657" max="6657" width="7.42578125" style="215" customWidth="1"/>
    <col min="6658" max="6658" width="41" style="215" customWidth="1"/>
    <col min="6659" max="6659" width="16" style="215" customWidth="1"/>
    <col min="6660" max="6660" width="16.140625" style="215" bestFit="1" customWidth="1"/>
    <col min="6661" max="6661" width="11.85546875" style="215" customWidth="1"/>
    <col min="6662" max="6662" width="12.42578125" style="215" bestFit="1" customWidth="1"/>
    <col min="6663" max="6664" width="13" style="215" bestFit="1" customWidth="1"/>
    <col min="6665" max="6665" width="12.5703125" style="215" bestFit="1" customWidth="1"/>
    <col min="6666" max="6666" width="13.42578125" style="215" bestFit="1" customWidth="1"/>
    <col min="6667" max="6667" width="13.5703125" style="215" bestFit="1" customWidth="1"/>
    <col min="6668" max="6668" width="14.5703125" style="215" bestFit="1" customWidth="1"/>
    <col min="6669" max="6669" width="14.85546875" style="215" bestFit="1" customWidth="1"/>
    <col min="6670" max="6670" width="17.140625" style="215" customWidth="1"/>
    <col min="6671" max="6671" width="16.42578125" style="215" bestFit="1" customWidth="1"/>
    <col min="6672" max="6672" width="17.140625" style="215" bestFit="1" customWidth="1"/>
    <col min="6673" max="6673" width="24.42578125" style="215" customWidth="1"/>
    <col min="6674" max="6674" width="18.42578125" style="215" bestFit="1" customWidth="1"/>
    <col min="6675" max="6675" width="18.5703125" style="215" bestFit="1" customWidth="1"/>
    <col min="6676" max="6676" width="19.42578125" style="215" bestFit="1" customWidth="1"/>
    <col min="6677" max="6677" width="20.42578125" style="215" bestFit="1" customWidth="1"/>
    <col min="6678" max="6678" width="20.85546875" style="215" bestFit="1" customWidth="1"/>
    <col min="6679" max="6679" width="21.42578125" style="215" bestFit="1" customWidth="1"/>
    <col min="6680" max="6681" width="22.42578125" style="215" bestFit="1" customWidth="1"/>
    <col min="6682" max="6683" width="23.85546875" style="215" bestFit="1" customWidth="1"/>
    <col min="6684" max="6685" width="24.85546875" style="215" bestFit="1" customWidth="1"/>
    <col min="6686" max="6690" width="11.42578125" style="215" bestFit="1" customWidth="1"/>
    <col min="6691" max="6695" width="12.42578125" style="215" bestFit="1" customWidth="1"/>
    <col min="6696" max="6696" width="12" style="215" bestFit="1" customWidth="1"/>
    <col min="6697" max="6912" width="8.85546875" style="215"/>
    <col min="6913" max="6913" width="7.42578125" style="215" customWidth="1"/>
    <col min="6914" max="6914" width="41" style="215" customWidth="1"/>
    <col min="6915" max="6915" width="16" style="215" customWidth="1"/>
    <col min="6916" max="6916" width="16.140625" style="215" bestFit="1" customWidth="1"/>
    <col min="6917" max="6917" width="11.85546875" style="215" customWidth="1"/>
    <col min="6918" max="6918" width="12.42578125" style="215" bestFit="1" customWidth="1"/>
    <col min="6919" max="6920" width="13" style="215" bestFit="1" customWidth="1"/>
    <col min="6921" max="6921" width="12.5703125" style="215" bestFit="1" customWidth="1"/>
    <col min="6922" max="6922" width="13.42578125" style="215" bestFit="1" customWidth="1"/>
    <col min="6923" max="6923" width="13.5703125" style="215" bestFit="1" customWidth="1"/>
    <col min="6924" max="6924" width="14.5703125" style="215" bestFit="1" customWidth="1"/>
    <col min="6925" max="6925" width="14.85546875" style="215" bestFit="1" customWidth="1"/>
    <col min="6926" max="6926" width="17.140625" style="215" customWidth="1"/>
    <col min="6927" max="6927" width="16.42578125" style="215" bestFit="1" customWidth="1"/>
    <col min="6928" max="6928" width="17.140625" style="215" bestFit="1" customWidth="1"/>
    <col min="6929" max="6929" width="24.42578125" style="215" customWidth="1"/>
    <col min="6930" max="6930" width="18.42578125" style="215" bestFit="1" customWidth="1"/>
    <col min="6931" max="6931" width="18.5703125" style="215" bestFit="1" customWidth="1"/>
    <col min="6932" max="6932" width="19.42578125" style="215" bestFit="1" customWidth="1"/>
    <col min="6933" max="6933" width="20.42578125" style="215" bestFit="1" customWidth="1"/>
    <col min="6934" max="6934" width="20.85546875" style="215" bestFit="1" customWidth="1"/>
    <col min="6935" max="6935" width="21.42578125" style="215" bestFit="1" customWidth="1"/>
    <col min="6936" max="6937" width="22.42578125" style="215" bestFit="1" customWidth="1"/>
    <col min="6938" max="6939" width="23.85546875" style="215" bestFit="1" customWidth="1"/>
    <col min="6940" max="6941" width="24.85546875" style="215" bestFit="1" customWidth="1"/>
    <col min="6942" max="6946" width="11.42578125" style="215" bestFit="1" customWidth="1"/>
    <col min="6947" max="6951" width="12.42578125" style="215" bestFit="1" customWidth="1"/>
    <col min="6952" max="6952" width="12" style="215" bestFit="1" customWidth="1"/>
    <col min="6953" max="7168" width="8.85546875" style="215"/>
    <col min="7169" max="7169" width="7.42578125" style="215" customWidth="1"/>
    <col min="7170" max="7170" width="41" style="215" customWidth="1"/>
    <col min="7171" max="7171" width="16" style="215" customWidth="1"/>
    <col min="7172" max="7172" width="16.140625" style="215" bestFit="1" customWidth="1"/>
    <col min="7173" max="7173" width="11.85546875" style="215" customWidth="1"/>
    <col min="7174" max="7174" width="12.42578125" style="215" bestFit="1" customWidth="1"/>
    <col min="7175" max="7176" width="13" style="215" bestFit="1" customWidth="1"/>
    <col min="7177" max="7177" width="12.5703125" style="215" bestFit="1" customWidth="1"/>
    <col min="7178" max="7178" width="13.42578125" style="215" bestFit="1" customWidth="1"/>
    <col min="7179" max="7179" width="13.5703125" style="215" bestFit="1" customWidth="1"/>
    <col min="7180" max="7180" width="14.5703125" style="215" bestFit="1" customWidth="1"/>
    <col min="7181" max="7181" width="14.85546875" style="215" bestFit="1" customWidth="1"/>
    <col min="7182" max="7182" width="17.140625" style="215" customWidth="1"/>
    <col min="7183" max="7183" width="16.42578125" style="215" bestFit="1" customWidth="1"/>
    <col min="7184" max="7184" width="17.140625" style="215" bestFit="1" customWidth="1"/>
    <col min="7185" max="7185" width="24.42578125" style="215" customWidth="1"/>
    <col min="7186" max="7186" width="18.42578125" style="215" bestFit="1" customWidth="1"/>
    <col min="7187" max="7187" width="18.5703125" style="215" bestFit="1" customWidth="1"/>
    <col min="7188" max="7188" width="19.42578125" style="215" bestFit="1" customWidth="1"/>
    <col min="7189" max="7189" width="20.42578125" style="215" bestFit="1" customWidth="1"/>
    <col min="7190" max="7190" width="20.85546875" style="215" bestFit="1" customWidth="1"/>
    <col min="7191" max="7191" width="21.42578125" style="215" bestFit="1" customWidth="1"/>
    <col min="7192" max="7193" width="22.42578125" style="215" bestFit="1" customWidth="1"/>
    <col min="7194" max="7195" width="23.85546875" style="215" bestFit="1" customWidth="1"/>
    <col min="7196" max="7197" width="24.85546875" style="215" bestFit="1" customWidth="1"/>
    <col min="7198" max="7202" width="11.42578125" style="215" bestFit="1" customWidth="1"/>
    <col min="7203" max="7207" width="12.42578125" style="215" bestFit="1" customWidth="1"/>
    <col min="7208" max="7208" width="12" style="215" bestFit="1" customWidth="1"/>
    <col min="7209" max="7424" width="8.85546875" style="215"/>
    <col min="7425" max="7425" width="7.42578125" style="215" customWidth="1"/>
    <col min="7426" max="7426" width="41" style="215" customWidth="1"/>
    <col min="7427" max="7427" width="16" style="215" customWidth="1"/>
    <col min="7428" max="7428" width="16.140625" style="215" bestFit="1" customWidth="1"/>
    <col min="7429" max="7429" width="11.85546875" style="215" customWidth="1"/>
    <col min="7430" max="7430" width="12.42578125" style="215" bestFit="1" customWidth="1"/>
    <col min="7431" max="7432" width="13" style="215" bestFit="1" customWidth="1"/>
    <col min="7433" max="7433" width="12.5703125" style="215" bestFit="1" customWidth="1"/>
    <col min="7434" max="7434" width="13.42578125" style="215" bestFit="1" customWidth="1"/>
    <col min="7435" max="7435" width="13.5703125" style="215" bestFit="1" customWidth="1"/>
    <col min="7436" max="7436" width="14.5703125" style="215" bestFit="1" customWidth="1"/>
    <col min="7437" max="7437" width="14.85546875" style="215" bestFit="1" customWidth="1"/>
    <col min="7438" max="7438" width="17.140625" style="215" customWidth="1"/>
    <col min="7439" max="7439" width="16.42578125" style="215" bestFit="1" customWidth="1"/>
    <col min="7440" max="7440" width="17.140625" style="215" bestFit="1" customWidth="1"/>
    <col min="7441" max="7441" width="24.42578125" style="215" customWidth="1"/>
    <col min="7442" max="7442" width="18.42578125" style="215" bestFit="1" customWidth="1"/>
    <col min="7443" max="7443" width="18.5703125" style="215" bestFit="1" customWidth="1"/>
    <col min="7444" max="7444" width="19.42578125" style="215" bestFit="1" customWidth="1"/>
    <col min="7445" max="7445" width="20.42578125" style="215" bestFit="1" customWidth="1"/>
    <col min="7446" max="7446" width="20.85546875" style="215" bestFit="1" customWidth="1"/>
    <col min="7447" max="7447" width="21.42578125" style="215" bestFit="1" customWidth="1"/>
    <col min="7448" max="7449" width="22.42578125" style="215" bestFit="1" customWidth="1"/>
    <col min="7450" max="7451" width="23.85546875" style="215" bestFit="1" customWidth="1"/>
    <col min="7452" max="7453" width="24.85546875" style="215" bestFit="1" customWidth="1"/>
    <col min="7454" max="7458" width="11.42578125" style="215" bestFit="1" customWidth="1"/>
    <col min="7459" max="7463" width="12.42578125" style="215" bestFit="1" customWidth="1"/>
    <col min="7464" max="7464" width="12" style="215" bestFit="1" customWidth="1"/>
    <col min="7465" max="7680" width="8.85546875" style="215"/>
    <col min="7681" max="7681" width="7.42578125" style="215" customWidth="1"/>
    <col min="7682" max="7682" width="41" style="215" customWidth="1"/>
    <col min="7683" max="7683" width="16" style="215" customWidth="1"/>
    <col min="7684" max="7684" width="16.140625" style="215" bestFit="1" customWidth="1"/>
    <col min="7685" max="7685" width="11.85546875" style="215" customWidth="1"/>
    <col min="7686" max="7686" width="12.42578125" style="215" bestFit="1" customWidth="1"/>
    <col min="7687" max="7688" width="13" style="215" bestFit="1" customWidth="1"/>
    <col min="7689" max="7689" width="12.5703125" style="215" bestFit="1" customWidth="1"/>
    <col min="7690" max="7690" width="13.42578125" style="215" bestFit="1" customWidth="1"/>
    <col min="7691" max="7691" width="13.5703125" style="215" bestFit="1" customWidth="1"/>
    <col min="7692" max="7692" width="14.5703125" style="215" bestFit="1" customWidth="1"/>
    <col min="7693" max="7693" width="14.85546875" style="215" bestFit="1" customWidth="1"/>
    <col min="7694" max="7694" width="17.140625" style="215" customWidth="1"/>
    <col min="7695" max="7695" width="16.42578125" style="215" bestFit="1" customWidth="1"/>
    <col min="7696" max="7696" width="17.140625" style="215" bestFit="1" customWidth="1"/>
    <col min="7697" max="7697" width="24.42578125" style="215" customWidth="1"/>
    <col min="7698" max="7698" width="18.42578125" style="215" bestFit="1" customWidth="1"/>
    <col min="7699" max="7699" width="18.5703125" style="215" bestFit="1" customWidth="1"/>
    <col min="7700" max="7700" width="19.42578125" style="215" bestFit="1" customWidth="1"/>
    <col min="7701" max="7701" width="20.42578125" style="215" bestFit="1" customWidth="1"/>
    <col min="7702" max="7702" width="20.85546875" style="215" bestFit="1" customWidth="1"/>
    <col min="7703" max="7703" width="21.42578125" style="215" bestFit="1" customWidth="1"/>
    <col min="7704" max="7705" width="22.42578125" style="215" bestFit="1" customWidth="1"/>
    <col min="7706" max="7707" width="23.85546875" style="215" bestFit="1" customWidth="1"/>
    <col min="7708" max="7709" width="24.85546875" style="215" bestFit="1" customWidth="1"/>
    <col min="7710" max="7714" width="11.42578125" style="215" bestFit="1" customWidth="1"/>
    <col min="7715" max="7719" width="12.42578125" style="215" bestFit="1" customWidth="1"/>
    <col min="7720" max="7720" width="12" style="215" bestFit="1" customWidth="1"/>
    <col min="7721" max="7936" width="8.85546875" style="215"/>
    <col min="7937" max="7937" width="7.42578125" style="215" customWidth="1"/>
    <col min="7938" max="7938" width="41" style="215" customWidth="1"/>
    <col min="7939" max="7939" width="16" style="215" customWidth="1"/>
    <col min="7940" max="7940" width="16.140625" style="215" bestFit="1" customWidth="1"/>
    <col min="7941" max="7941" width="11.85546875" style="215" customWidth="1"/>
    <col min="7942" max="7942" width="12.42578125" style="215" bestFit="1" customWidth="1"/>
    <col min="7943" max="7944" width="13" style="215" bestFit="1" customWidth="1"/>
    <col min="7945" max="7945" width="12.5703125" style="215" bestFit="1" customWidth="1"/>
    <col min="7946" max="7946" width="13.42578125" style="215" bestFit="1" customWidth="1"/>
    <col min="7947" max="7947" width="13.5703125" style="215" bestFit="1" customWidth="1"/>
    <col min="7948" max="7948" width="14.5703125" style="215" bestFit="1" customWidth="1"/>
    <col min="7949" max="7949" width="14.85546875" style="215" bestFit="1" customWidth="1"/>
    <col min="7950" max="7950" width="17.140625" style="215" customWidth="1"/>
    <col min="7951" max="7951" width="16.42578125" style="215" bestFit="1" customWidth="1"/>
    <col min="7952" max="7952" width="17.140625" style="215" bestFit="1" customWidth="1"/>
    <col min="7953" max="7953" width="24.42578125" style="215" customWidth="1"/>
    <col min="7954" max="7954" width="18.42578125" style="215" bestFit="1" customWidth="1"/>
    <col min="7955" max="7955" width="18.5703125" style="215" bestFit="1" customWidth="1"/>
    <col min="7956" max="7956" width="19.42578125" style="215" bestFit="1" customWidth="1"/>
    <col min="7957" max="7957" width="20.42578125" style="215" bestFit="1" customWidth="1"/>
    <col min="7958" max="7958" width="20.85546875" style="215" bestFit="1" customWidth="1"/>
    <col min="7959" max="7959" width="21.42578125" style="215" bestFit="1" customWidth="1"/>
    <col min="7960" max="7961" width="22.42578125" style="215" bestFit="1" customWidth="1"/>
    <col min="7962" max="7963" width="23.85546875" style="215" bestFit="1" customWidth="1"/>
    <col min="7964" max="7965" width="24.85546875" style="215" bestFit="1" customWidth="1"/>
    <col min="7966" max="7970" width="11.42578125" style="215" bestFit="1" customWidth="1"/>
    <col min="7971" max="7975" width="12.42578125" style="215" bestFit="1" customWidth="1"/>
    <col min="7976" max="7976" width="12" style="215" bestFit="1" customWidth="1"/>
    <col min="7977" max="8192" width="8.85546875" style="215"/>
    <col min="8193" max="8193" width="7.42578125" style="215" customWidth="1"/>
    <col min="8194" max="8194" width="41" style="215" customWidth="1"/>
    <col min="8195" max="8195" width="16" style="215" customWidth="1"/>
    <col min="8196" max="8196" width="16.140625" style="215" bestFit="1" customWidth="1"/>
    <col min="8197" max="8197" width="11.85546875" style="215" customWidth="1"/>
    <col min="8198" max="8198" width="12.42578125" style="215" bestFit="1" customWidth="1"/>
    <col min="8199" max="8200" width="13" style="215" bestFit="1" customWidth="1"/>
    <col min="8201" max="8201" width="12.5703125" style="215" bestFit="1" customWidth="1"/>
    <col min="8202" max="8202" width="13.42578125" style="215" bestFit="1" customWidth="1"/>
    <col min="8203" max="8203" width="13.5703125" style="215" bestFit="1" customWidth="1"/>
    <col min="8204" max="8204" width="14.5703125" style="215" bestFit="1" customWidth="1"/>
    <col min="8205" max="8205" width="14.85546875" style="215" bestFit="1" customWidth="1"/>
    <col min="8206" max="8206" width="17.140625" style="215" customWidth="1"/>
    <col min="8207" max="8207" width="16.42578125" style="215" bestFit="1" customWidth="1"/>
    <col min="8208" max="8208" width="17.140625" style="215" bestFit="1" customWidth="1"/>
    <col min="8209" max="8209" width="24.42578125" style="215" customWidth="1"/>
    <col min="8210" max="8210" width="18.42578125" style="215" bestFit="1" customWidth="1"/>
    <col min="8211" max="8211" width="18.5703125" style="215" bestFit="1" customWidth="1"/>
    <col min="8212" max="8212" width="19.42578125" style="215" bestFit="1" customWidth="1"/>
    <col min="8213" max="8213" width="20.42578125" style="215" bestFit="1" customWidth="1"/>
    <col min="8214" max="8214" width="20.85546875" style="215" bestFit="1" customWidth="1"/>
    <col min="8215" max="8215" width="21.42578125" style="215" bestFit="1" customWidth="1"/>
    <col min="8216" max="8217" width="22.42578125" style="215" bestFit="1" customWidth="1"/>
    <col min="8218" max="8219" width="23.85546875" style="215" bestFit="1" customWidth="1"/>
    <col min="8220" max="8221" width="24.85546875" style="215" bestFit="1" customWidth="1"/>
    <col min="8222" max="8226" width="11.42578125" style="215" bestFit="1" customWidth="1"/>
    <col min="8227" max="8231" width="12.42578125" style="215" bestFit="1" customWidth="1"/>
    <col min="8232" max="8232" width="12" style="215" bestFit="1" customWidth="1"/>
    <col min="8233" max="8448" width="8.85546875" style="215"/>
    <col min="8449" max="8449" width="7.42578125" style="215" customWidth="1"/>
    <col min="8450" max="8450" width="41" style="215" customWidth="1"/>
    <col min="8451" max="8451" width="16" style="215" customWidth="1"/>
    <col min="8452" max="8452" width="16.140625" style="215" bestFit="1" customWidth="1"/>
    <col min="8453" max="8453" width="11.85546875" style="215" customWidth="1"/>
    <col min="8454" max="8454" width="12.42578125" style="215" bestFit="1" customWidth="1"/>
    <col min="8455" max="8456" width="13" style="215" bestFit="1" customWidth="1"/>
    <col min="8457" max="8457" width="12.5703125" style="215" bestFit="1" customWidth="1"/>
    <col min="8458" max="8458" width="13.42578125" style="215" bestFit="1" customWidth="1"/>
    <col min="8459" max="8459" width="13.5703125" style="215" bestFit="1" customWidth="1"/>
    <col min="8460" max="8460" width="14.5703125" style="215" bestFit="1" customWidth="1"/>
    <col min="8461" max="8461" width="14.85546875" style="215" bestFit="1" customWidth="1"/>
    <col min="8462" max="8462" width="17.140625" style="215" customWidth="1"/>
    <col min="8463" max="8463" width="16.42578125" style="215" bestFit="1" customWidth="1"/>
    <col min="8464" max="8464" width="17.140625" style="215" bestFit="1" customWidth="1"/>
    <col min="8465" max="8465" width="24.42578125" style="215" customWidth="1"/>
    <col min="8466" max="8466" width="18.42578125" style="215" bestFit="1" customWidth="1"/>
    <col min="8467" max="8467" width="18.5703125" style="215" bestFit="1" customWidth="1"/>
    <col min="8468" max="8468" width="19.42578125" style="215" bestFit="1" customWidth="1"/>
    <col min="8469" max="8469" width="20.42578125" style="215" bestFit="1" customWidth="1"/>
    <col min="8470" max="8470" width="20.85546875" style="215" bestFit="1" customWidth="1"/>
    <col min="8471" max="8471" width="21.42578125" style="215" bestFit="1" customWidth="1"/>
    <col min="8472" max="8473" width="22.42578125" style="215" bestFit="1" customWidth="1"/>
    <col min="8474" max="8475" width="23.85546875" style="215" bestFit="1" customWidth="1"/>
    <col min="8476" max="8477" width="24.85546875" style="215" bestFit="1" customWidth="1"/>
    <col min="8478" max="8482" width="11.42578125" style="215" bestFit="1" customWidth="1"/>
    <col min="8483" max="8487" width="12.42578125" style="215" bestFit="1" customWidth="1"/>
    <col min="8488" max="8488" width="12" style="215" bestFit="1" customWidth="1"/>
    <col min="8489" max="8704" width="8.85546875" style="215"/>
    <col min="8705" max="8705" width="7.42578125" style="215" customWidth="1"/>
    <col min="8706" max="8706" width="41" style="215" customWidth="1"/>
    <col min="8707" max="8707" width="16" style="215" customWidth="1"/>
    <col min="8708" max="8708" width="16.140625" style="215" bestFit="1" customWidth="1"/>
    <col min="8709" max="8709" width="11.85546875" style="215" customWidth="1"/>
    <col min="8710" max="8710" width="12.42578125" style="215" bestFit="1" customWidth="1"/>
    <col min="8711" max="8712" width="13" style="215" bestFit="1" customWidth="1"/>
    <col min="8713" max="8713" width="12.5703125" style="215" bestFit="1" customWidth="1"/>
    <col min="8714" max="8714" width="13.42578125" style="215" bestFit="1" customWidth="1"/>
    <col min="8715" max="8715" width="13.5703125" style="215" bestFit="1" customWidth="1"/>
    <col min="8716" max="8716" width="14.5703125" style="215" bestFit="1" customWidth="1"/>
    <col min="8717" max="8717" width="14.85546875" style="215" bestFit="1" customWidth="1"/>
    <col min="8718" max="8718" width="17.140625" style="215" customWidth="1"/>
    <col min="8719" max="8719" width="16.42578125" style="215" bestFit="1" customWidth="1"/>
    <col min="8720" max="8720" width="17.140625" style="215" bestFit="1" customWidth="1"/>
    <col min="8721" max="8721" width="24.42578125" style="215" customWidth="1"/>
    <col min="8722" max="8722" width="18.42578125" style="215" bestFit="1" customWidth="1"/>
    <col min="8723" max="8723" width="18.5703125" style="215" bestFit="1" customWidth="1"/>
    <col min="8724" max="8724" width="19.42578125" style="215" bestFit="1" customWidth="1"/>
    <col min="8725" max="8725" width="20.42578125" style="215" bestFit="1" customWidth="1"/>
    <col min="8726" max="8726" width="20.85546875" style="215" bestFit="1" customWidth="1"/>
    <col min="8727" max="8727" width="21.42578125" style="215" bestFit="1" customWidth="1"/>
    <col min="8728" max="8729" width="22.42578125" style="215" bestFit="1" customWidth="1"/>
    <col min="8730" max="8731" width="23.85546875" style="215" bestFit="1" customWidth="1"/>
    <col min="8732" max="8733" width="24.85546875" style="215" bestFit="1" customWidth="1"/>
    <col min="8734" max="8738" width="11.42578125" style="215" bestFit="1" customWidth="1"/>
    <col min="8739" max="8743" width="12.42578125" style="215" bestFit="1" customWidth="1"/>
    <col min="8744" max="8744" width="12" style="215" bestFit="1" customWidth="1"/>
    <col min="8745" max="8960" width="8.85546875" style="215"/>
    <col min="8961" max="8961" width="7.42578125" style="215" customWidth="1"/>
    <col min="8962" max="8962" width="41" style="215" customWidth="1"/>
    <col min="8963" max="8963" width="16" style="215" customWidth="1"/>
    <col min="8964" max="8964" width="16.140625" style="215" bestFit="1" customWidth="1"/>
    <col min="8965" max="8965" width="11.85546875" style="215" customWidth="1"/>
    <col min="8966" max="8966" width="12.42578125" style="215" bestFit="1" customWidth="1"/>
    <col min="8967" max="8968" width="13" style="215" bestFit="1" customWidth="1"/>
    <col min="8969" max="8969" width="12.5703125" style="215" bestFit="1" customWidth="1"/>
    <col min="8970" max="8970" width="13.42578125" style="215" bestFit="1" customWidth="1"/>
    <col min="8971" max="8971" width="13.5703125" style="215" bestFit="1" customWidth="1"/>
    <col min="8972" max="8972" width="14.5703125" style="215" bestFit="1" customWidth="1"/>
    <col min="8973" max="8973" width="14.85546875" style="215" bestFit="1" customWidth="1"/>
    <col min="8974" max="8974" width="17.140625" style="215" customWidth="1"/>
    <col min="8975" max="8975" width="16.42578125" style="215" bestFit="1" customWidth="1"/>
    <col min="8976" max="8976" width="17.140625" style="215" bestFit="1" customWidth="1"/>
    <col min="8977" max="8977" width="24.42578125" style="215" customWidth="1"/>
    <col min="8978" max="8978" width="18.42578125" style="215" bestFit="1" customWidth="1"/>
    <col min="8979" max="8979" width="18.5703125" style="215" bestFit="1" customWidth="1"/>
    <col min="8980" max="8980" width="19.42578125" style="215" bestFit="1" customWidth="1"/>
    <col min="8981" max="8981" width="20.42578125" style="215" bestFit="1" customWidth="1"/>
    <col min="8982" max="8982" width="20.85546875" style="215" bestFit="1" customWidth="1"/>
    <col min="8983" max="8983" width="21.42578125" style="215" bestFit="1" customWidth="1"/>
    <col min="8984" max="8985" width="22.42578125" style="215" bestFit="1" customWidth="1"/>
    <col min="8986" max="8987" width="23.85546875" style="215" bestFit="1" customWidth="1"/>
    <col min="8988" max="8989" width="24.85546875" style="215" bestFit="1" customWidth="1"/>
    <col min="8990" max="8994" width="11.42578125" style="215" bestFit="1" customWidth="1"/>
    <col min="8995" max="8999" width="12.42578125" style="215" bestFit="1" customWidth="1"/>
    <col min="9000" max="9000" width="12" style="215" bestFit="1" customWidth="1"/>
    <col min="9001" max="9216" width="8.85546875" style="215"/>
    <col min="9217" max="9217" width="7.42578125" style="215" customWidth="1"/>
    <col min="9218" max="9218" width="41" style="215" customWidth="1"/>
    <col min="9219" max="9219" width="16" style="215" customWidth="1"/>
    <col min="9220" max="9220" width="16.140625" style="215" bestFit="1" customWidth="1"/>
    <col min="9221" max="9221" width="11.85546875" style="215" customWidth="1"/>
    <col min="9222" max="9222" width="12.42578125" style="215" bestFit="1" customWidth="1"/>
    <col min="9223" max="9224" width="13" style="215" bestFit="1" customWidth="1"/>
    <col min="9225" max="9225" width="12.5703125" style="215" bestFit="1" customWidth="1"/>
    <col min="9226" max="9226" width="13.42578125" style="215" bestFit="1" customWidth="1"/>
    <col min="9227" max="9227" width="13.5703125" style="215" bestFit="1" customWidth="1"/>
    <col min="9228" max="9228" width="14.5703125" style="215" bestFit="1" customWidth="1"/>
    <col min="9229" max="9229" width="14.85546875" style="215" bestFit="1" customWidth="1"/>
    <col min="9230" max="9230" width="17.140625" style="215" customWidth="1"/>
    <col min="9231" max="9231" width="16.42578125" style="215" bestFit="1" customWidth="1"/>
    <col min="9232" max="9232" width="17.140625" style="215" bestFit="1" customWidth="1"/>
    <col min="9233" max="9233" width="24.42578125" style="215" customWidth="1"/>
    <col min="9234" max="9234" width="18.42578125" style="215" bestFit="1" customWidth="1"/>
    <col min="9235" max="9235" width="18.5703125" style="215" bestFit="1" customWidth="1"/>
    <col min="9236" max="9236" width="19.42578125" style="215" bestFit="1" customWidth="1"/>
    <col min="9237" max="9237" width="20.42578125" style="215" bestFit="1" customWidth="1"/>
    <col min="9238" max="9238" width="20.85546875" style="215" bestFit="1" customWidth="1"/>
    <col min="9239" max="9239" width="21.42578125" style="215" bestFit="1" customWidth="1"/>
    <col min="9240" max="9241" width="22.42578125" style="215" bestFit="1" customWidth="1"/>
    <col min="9242" max="9243" width="23.85546875" style="215" bestFit="1" customWidth="1"/>
    <col min="9244" max="9245" width="24.85546875" style="215" bestFit="1" customWidth="1"/>
    <col min="9246" max="9250" width="11.42578125" style="215" bestFit="1" customWidth="1"/>
    <col min="9251" max="9255" width="12.42578125" style="215" bestFit="1" customWidth="1"/>
    <col min="9256" max="9256" width="12" style="215" bestFit="1" customWidth="1"/>
    <col min="9257" max="9472" width="8.85546875" style="215"/>
    <col min="9473" max="9473" width="7.42578125" style="215" customWidth="1"/>
    <col min="9474" max="9474" width="41" style="215" customWidth="1"/>
    <col min="9475" max="9475" width="16" style="215" customWidth="1"/>
    <col min="9476" max="9476" width="16.140625" style="215" bestFit="1" customWidth="1"/>
    <col min="9477" max="9477" width="11.85546875" style="215" customWidth="1"/>
    <col min="9478" max="9478" width="12.42578125" style="215" bestFit="1" customWidth="1"/>
    <col min="9479" max="9480" width="13" style="215" bestFit="1" customWidth="1"/>
    <col min="9481" max="9481" width="12.5703125" style="215" bestFit="1" customWidth="1"/>
    <col min="9482" max="9482" width="13.42578125" style="215" bestFit="1" customWidth="1"/>
    <col min="9483" max="9483" width="13.5703125" style="215" bestFit="1" customWidth="1"/>
    <col min="9484" max="9484" width="14.5703125" style="215" bestFit="1" customWidth="1"/>
    <col min="9485" max="9485" width="14.85546875" style="215" bestFit="1" customWidth="1"/>
    <col min="9486" max="9486" width="17.140625" style="215" customWidth="1"/>
    <col min="9487" max="9487" width="16.42578125" style="215" bestFit="1" customWidth="1"/>
    <col min="9488" max="9488" width="17.140625" style="215" bestFit="1" customWidth="1"/>
    <col min="9489" max="9489" width="24.42578125" style="215" customWidth="1"/>
    <col min="9490" max="9490" width="18.42578125" style="215" bestFit="1" customWidth="1"/>
    <col min="9491" max="9491" width="18.5703125" style="215" bestFit="1" customWidth="1"/>
    <col min="9492" max="9492" width="19.42578125" style="215" bestFit="1" customWidth="1"/>
    <col min="9493" max="9493" width="20.42578125" style="215" bestFit="1" customWidth="1"/>
    <col min="9494" max="9494" width="20.85546875" style="215" bestFit="1" customWidth="1"/>
    <col min="9495" max="9495" width="21.42578125" style="215" bestFit="1" customWidth="1"/>
    <col min="9496" max="9497" width="22.42578125" style="215" bestFit="1" customWidth="1"/>
    <col min="9498" max="9499" width="23.85546875" style="215" bestFit="1" customWidth="1"/>
    <col min="9500" max="9501" width="24.85546875" style="215" bestFit="1" customWidth="1"/>
    <col min="9502" max="9506" width="11.42578125" style="215" bestFit="1" customWidth="1"/>
    <col min="9507" max="9511" width="12.42578125" style="215" bestFit="1" customWidth="1"/>
    <col min="9512" max="9512" width="12" style="215" bestFit="1" customWidth="1"/>
    <col min="9513" max="9728" width="8.85546875" style="215"/>
    <col min="9729" max="9729" width="7.42578125" style="215" customWidth="1"/>
    <col min="9730" max="9730" width="41" style="215" customWidth="1"/>
    <col min="9731" max="9731" width="16" style="215" customWidth="1"/>
    <col min="9732" max="9732" width="16.140625" style="215" bestFit="1" customWidth="1"/>
    <col min="9733" max="9733" width="11.85546875" style="215" customWidth="1"/>
    <col min="9734" max="9734" width="12.42578125" style="215" bestFit="1" customWidth="1"/>
    <col min="9735" max="9736" width="13" style="215" bestFit="1" customWidth="1"/>
    <col min="9737" max="9737" width="12.5703125" style="215" bestFit="1" customWidth="1"/>
    <col min="9738" max="9738" width="13.42578125" style="215" bestFit="1" customWidth="1"/>
    <col min="9739" max="9739" width="13.5703125" style="215" bestFit="1" customWidth="1"/>
    <col min="9740" max="9740" width="14.5703125" style="215" bestFit="1" customWidth="1"/>
    <col min="9741" max="9741" width="14.85546875" style="215" bestFit="1" customWidth="1"/>
    <col min="9742" max="9742" width="17.140625" style="215" customWidth="1"/>
    <col min="9743" max="9743" width="16.42578125" style="215" bestFit="1" customWidth="1"/>
    <col min="9744" max="9744" width="17.140625" style="215" bestFit="1" customWidth="1"/>
    <col min="9745" max="9745" width="24.42578125" style="215" customWidth="1"/>
    <col min="9746" max="9746" width="18.42578125" style="215" bestFit="1" customWidth="1"/>
    <col min="9747" max="9747" width="18.5703125" style="215" bestFit="1" customWidth="1"/>
    <col min="9748" max="9748" width="19.42578125" style="215" bestFit="1" customWidth="1"/>
    <col min="9749" max="9749" width="20.42578125" style="215" bestFit="1" customWidth="1"/>
    <col min="9750" max="9750" width="20.85546875" style="215" bestFit="1" customWidth="1"/>
    <col min="9751" max="9751" width="21.42578125" style="215" bestFit="1" customWidth="1"/>
    <col min="9752" max="9753" width="22.42578125" style="215" bestFit="1" customWidth="1"/>
    <col min="9754" max="9755" width="23.85546875" style="215" bestFit="1" customWidth="1"/>
    <col min="9756" max="9757" width="24.85546875" style="215" bestFit="1" customWidth="1"/>
    <col min="9758" max="9762" width="11.42578125" style="215" bestFit="1" customWidth="1"/>
    <col min="9763" max="9767" width="12.42578125" style="215" bestFit="1" customWidth="1"/>
    <col min="9768" max="9768" width="12" style="215" bestFit="1" customWidth="1"/>
    <col min="9769" max="9984" width="8.85546875" style="215"/>
    <col min="9985" max="9985" width="7.42578125" style="215" customWidth="1"/>
    <col min="9986" max="9986" width="41" style="215" customWidth="1"/>
    <col min="9987" max="9987" width="16" style="215" customWidth="1"/>
    <col min="9988" max="9988" width="16.140625" style="215" bestFit="1" customWidth="1"/>
    <col min="9989" max="9989" width="11.85546875" style="215" customWidth="1"/>
    <col min="9990" max="9990" width="12.42578125" style="215" bestFit="1" customWidth="1"/>
    <col min="9991" max="9992" width="13" style="215" bestFit="1" customWidth="1"/>
    <col min="9993" max="9993" width="12.5703125" style="215" bestFit="1" customWidth="1"/>
    <col min="9994" max="9994" width="13.42578125" style="215" bestFit="1" customWidth="1"/>
    <col min="9995" max="9995" width="13.5703125" style="215" bestFit="1" customWidth="1"/>
    <col min="9996" max="9996" width="14.5703125" style="215" bestFit="1" customWidth="1"/>
    <col min="9997" max="9997" width="14.85546875" style="215" bestFit="1" customWidth="1"/>
    <col min="9998" max="9998" width="17.140625" style="215" customWidth="1"/>
    <col min="9999" max="9999" width="16.42578125" style="215" bestFit="1" customWidth="1"/>
    <col min="10000" max="10000" width="17.140625" style="215" bestFit="1" customWidth="1"/>
    <col min="10001" max="10001" width="24.42578125" style="215" customWidth="1"/>
    <col min="10002" max="10002" width="18.42578125" style="215" bestFit="1" customWidth="1"/>
    <col min="10003" max="10003" width="18.5703125" style="215" bestFit="1" customWidth="1"/>
    <col min="10004" max="10004" width="19.42578125" style="215" bestFit="1" customWidth="1"/>
    <col min="10005" max="10005" width="20.42578125" style="215" bestFit="1" customWidth="1"/>
    <col min="10006" max="10006" width="20.85546875" style="215" bestFit="1" customWidth="1"/>
    <col min="10007" max="10007" width="21.42578125" style="215" bestFit="1" customWidth="1"/>
    <col min="10008" max="10009" width="22.42578125" style="215" bestFit="1" customWidth="1"/>
    <col min="10010" max="10011" width="23.85546875" style="215" bestFit="1" customWidth="1"/>
    <col min="10012" max="10013" width="24.85546875" style="215" bestFit="1" customWidth="1"/>
    <col min="10014" max="10018" width="11.42578125" style="215" bestFit="1" customWidth="1"/>
    <col min="10019" max="10023" width="12.42578125" style="215" bestFit="1" customWidth="1"/>
    <col min="10024" max="10024" width="12" style="215" bestFit="1" customWidth="1"/>
    <col min="10025" max="10240" width="8.85546875" style="215"/>
    <col min="10241" max="10241" width="7.42578125" style="215" customWidth="1"/>
    <col min="10242" max="10242" width="41" style="215" customWidth="1"/>
    <col min="10243" max="10243" width="16" style="215" customWidth="1"/>
    <col min="10244" max="10244" width="16.140625" style="215" bestFit="1" customWidth="1"/>
    <col min="10245" max="10245" width="11.85546875" style="215" customWidth="1"/>
    <col min="10246" max="10246" width="12.42578125" style="215" bestFit="1" customWidth="1"/>
    <col min="10247" max="10248" width="13" style="215" bestFit="1" customWidth="1"/>
    <col min="10249" max="10249" width="12.5703125" style="215" bestFit="1" customWidth="1"/>
    <col min="10250" max="10250" width="13.42578125" style="215" bestFit="1" customWidth="1"/>
    <col min="10251" max="10251" width="13.5703125" style="215" bestFit="1" customWidth="1"/>
    <col min="10252" max="10252" width="14.5703125" style="215" bestFit="1" customWidth="1"/>
    <col min="10253" max="10253" width="14.85546875" style="215" bestFit="1" customWidth="1"/>
    <col min="10254" max="10254" width="17.140625" style="215" customWidth="1"/>
    <col min="10255" max="10255" width="16.42578125" style="215" bestFit="1" customWidth="1"/>
    <col min="10256" max="10256" width="17.140625" style="215" bestFit="1" customWidth="1"/>
    <col min="10257" max="10257" width="24.42578125" style="215" customWidth="1"/>
    <col min="10258" max="10258" width="18.42578125" style="215" bestFit="1" customWidth="1"/>
    <col min="10259" max="10259" width="18.5703125" style="215" bestFit="1" customWidth="1"/>
    <col min="10260" max="10260" width="19.42578125" style="215" bestFit="1" customWidth="1"/>
    <col min="10261" max="10261" width="20.42578125" style="215" bestFit="1" customWidth="1"/>
    <col min="10262" max="10262" width="20.85546875" style="215" bestFit="1" customWidth="1"/>
    <col min="10263" max="10263" width="21.42578125" style="215" bestFit="1" customWidth="1"/>
    <col min="10264" max="10265" width="22.42578125" style="215" bestFit="1" customWidth="1"/>
    <col min="10266" max="10267" width="23.85546875" style="215" bestFit="1" customWidth="1"/>
    <col min="10268" max="10269" width="24.85546875" style="215" bestFit="1" customWidth="1"/>
    <col min="10270" max="10274" width="11.42578125" style="215" bestFit="1" customWidth="1"/>
    <col min="10275" max="10279" width="12.42578125" style="215" bestFit="1" customWidth="1"/>
    <col min="10280" max="10280" width="12" style="215" bestFit="1" customWidth="1"/>
    <col min="10281" max="10496" width="8.85546875" style="215"/>
    <col min="10497" max="10497" width="7.42578125" style="215" customWidth="1"/>
    <col min="10498" max="10498" width="41" style="215" customWidth="1"/>
    <col min="10499" max="10499" width="16" style="215" customWidth="1"/>
    <col min="10500" max="10500" width="16.140625" style="215" bestFit="1" customWidth="1"/>
    <col min="10501" max="10501" width="11.85546875" style="215" customWidth="1"/>
    <col min="10502" max="10502" width="12.42578125" style="215" bestFit="1" customWidth="1"/>
    <col min="10503" max="10504" width="13" style="215" bestFit="1" customWidth="1"/>
    <col min="10505" max="10505" width="12.5703125" style="215" bestFit="1" customWidth="1"/>
    <col min="10506" max="10506" width="13.42578125" style="215" bestFit="1" customWidth="1"/>
    <col min="10507" max="10507" width="13.5703125" style="215" bestFit="1" customWidth="1"/>
    <col min="10508" max="10508" width="14.5703125" style="215" bestFit="1" customWidth="1"/>
    <col min="10509" max="10509" width="14.85546875" style="215" bestFit="1" customWidth="1"/>
    <col min="10510" max="10510" width="17.140625" style="215" customWidth="1"/>
    <col min="10511" max="10511" width="16.42578125" style="215" bestFit="1" customWidth="1"/>
    <col min="10512" max="10512" width="17.140625" style="215" bestFit="1" customWidth="1"/>
    <col min="10513" max="10513" width="24.42578125" style="215" customWidth="1"/>
    <col min="10514" max="10514" width="18.42578125" style="215" bestFit="1" customWidth="1"/>
    <col min="10515" max="10515" width="18.5703125" style="215" bestFit="1" customWidth="1"/>
    <col min="10516" max="10516" width="19.42578125" style="215" bestFit="1" customWidth="1"/>
    <col min="10517" max="10517" width="20.42578125" style="215" bestFit="1" customWidth="1"/>
    <col min="10518" max="10518" width="20.85546875" style="215" bestFit="1" customWidth="1"/>
    <col min="10519" max="10519" width="21.42578125" style="215" bestFit="1" customWidth="1"/>
    <col min="10520" max="10521" width="22.42578125" style="215" bestFit="1" customWidth="1"/>
    <col min="10522" max="10523" width="23.85546875" style="215" bestFit="1" customWidth="1"/>
    <col min="10524" max="10525" width="24.85546875" style="215" bestFit="1" customWidth="1"/>
    <col min="10526" max="10530" width="11.42578125" style="215" bestFit="1" customWidth="1"/>
    <col min="10531" max="10535" width="12.42578125" style="215" bestFit="1" customWidth="1"/>
    <col min="10536" max="10536" width="12" style="215" bestFit="1" customWidth="1"/>
    <col min="10537" max="10752" width="8.85546875" style="215"/>
    <col min="10753" max="10753" width="7.42578125" style="215" customWidth="1"/>
    <col min="10754" max="10754" width="41" style="215" customWidth="1"/>
    <col min="10755" max="10755" width="16" style="215" customWidth="1"/>
    <col min="10756" max="10756" width="16.140625" style="215" bestFit="1" customWidth="1"/>
    <col min="10757" max="10757" width="11.85546875" style="215" customWidth="1"/>
    <col min="10758" max="10758" width="12.42578125" style="215" bestFit="1" customWidth="1"/>
    <col min="10759" max="10760" width="13" style="215" bestFit="1" customWidth="1"/>
    <col min="10761" max="10761" width="12.5703125" style="215" bestFit="1" customWidth="1"/>
    <col min="10762" max="10762" width="13.42578125" style="215" bestFit="1" customWidth="1"/>
    <col min="10763" max="10763" width="13.5703125" style="215" bestFit="1" customWidth="1"/>
    <col min="10764" max="10764" width="14.5703125" style="215" bestFit="1" customWidth="1"/>
    <col min="10765" max="10765" width="14.85546875" style="215" bestFit="1" customWidth="1"/>
    <col min="10766" max="10766" width="17.140625" style="215" customWidth="1"/>
    <col min="10767" max="10767" width="16.42578125" style="215" bestFit="1" customWidth="1"/>
    <col min="10768" max="10768" width="17.140625" style="215" bestFit="1" customWidth="1"/>
    <col min="10769" max="10769" width="24.42578125" style="215" customWidth="1"/>
    <col min="10770" max="10770" width="18.42578125" style="215" bestFit="1" customWidth="1"/>
    <col min="10771" max="10771" width="18.5703125" style="215" bestFit="1" customWidth="1"/>
    <col min="10772" max="10772" width="19.42578125" style="215" bestFit="1" customWidth="1"/>
    <col min="10773" max="10773" width="20.42578125" style="215" bestFit="1" customWidth="1"/>
    <col min="10774" max="10774" width="20.85546875" style="215" bestFit="1" customWidth="1"/>
    <col min="10775" max="10775" width="21.42578125" style="215" bestFit="1" customWidth="1"/>
    <col min="10776" max="10777" width="22.42578125" style="215" bestFit="1" customWidth="1"/>
    <col min="10778" max="10779" width="23.85546875" style="215" bestFit="1" customWidth="1"/>
    <col min="10780" max="10781" width="24.85546875" style="215" bestFit="1" customWidth="1"/>
    <col min="10782" max="10786" width="11.42578125" style="215" bestFit="1" customWidth="1"/>
    <col min="10787" max="10791" width="12.42578125" style="215" bestFit="1" customWidth="1"/>
    <col min="10792" max="10792" width="12" style="215" bestFit="1" customWidth="1"/>
    <col min="10793" max="11008" width="8.85546875" style="215"/>
    <col min="11009" max="11009" width="7.42578125" style="215" customWidth="1"/>
    <col min="11010" max="11010" width="41" style="215" customWidth="1"/>
    <col min="11011" max="11011" width="16" style="215" customWidth="1"/>
    <col min="11012" max="11012" width="16.140625" style="215" bestFit="1" customWidth="1"/>
    <col min="11013" max="11013" width="11.85546875" style="215" customWidth="1"/>
    <col min="11014" max="11014" width="12.42578125" style="215" bestFit="1" customWidth="1"/>
    <col min="11015" max="11016" width="13" style="215" bestFit="1" customWidth="1"/>
    <col min="11017" max="11017" width="12.5703125" style="215" bestFit="1" customWidth="1"/>
    <col min="11018" max="11018" width="13.42578125" style="215" bestFit="1" customWidth="1"/>
    <col min="11019" max="11019" width="13.5703125" style="215" bestFit="1" customWidth="1"/>
    <col min="11020" max="11020" width="14.5703125" style="215" bestFit="1" customWidth="1"/>
    <col min="11021" max="11021" width="14.85546875" style="215" bestFit="1" customWidth="1"/>
    <col min="11022" max="11022" width="17.140625" style="215" customWidth="1"/>
    <col min="11023" max="11023" width="16.42578125" style="215" bestFit="1" customWidth="1"/>
    <col min="11024" max="11024" width="17.140625" style="215" bestFit="1" customWidth="1"/>
    <col min="11025" max="11025" width="24.42578125" style="215" customWidth="1"/>
    <col min="11026" max="11026" width="18.42578125" style="215" bestFit="1" customWidth="1"/>
    <col min="11027" max="11027" width="18.5703125" style="215" bestFit="1" customWidth="1"/>
    <col min="11028" max="11028" width="19.42578125" style="215" bestFit="1" customWidth="1"/>
    <col min="11029" max="11029" width="20.42578125" style="215" bestFit="1" customWidth="1"/>
    <col min="11030" max="11030" width="20.85546875" style="215" bestFit="1" customWidth="1"/>
    <col min="11031" max="11031" width="21.42578125" style="215" bestFit="1" customWidth="1"/>
    <col min="11032" max="11033" width="22.42578125" style="215" bestFit="1" customWidth="1"/>
    <col min="11034" max="11035" width="23.85546875" style="215" bestFit="1" customWidth="1"/>
    <col min="11036" max="11037" width="24.85546875" style="215" bestFit="1" customWidth="1"/>
    <col min="11038" max="11042" width="11.42578125" style="215" bestFit="1" customWidth="1"/>
    <col min="11043" max="11047" width="12.42578125" style="215" bestFit="1" customWidth="1"/>
    <col min="11048" max="11048" width="12" style="215" bestFit="1" customWidth="1"/>
    <col min="11049" max="11264" width="8.85546875" style="215"/>
    <col min="11265" max="11265" width="7.42578125" style="215" customWidth="1"/>
    <col min="11266" max="11266" width="41" style="215" customWidth="1"/>
    <col min="11267" max="11267" width="16" style="215" customWidth="1"/>
    <col min="11268" max="11268" width="16.140625" style="215" bestFit="1" customWidth="1"/>
    <col min="11269" max="11269" width="11.85546875" style="215" customWidth="1"/>
    <col min="11270" max="11270" width="12.42578125" style="215" bestFit="1" customWidth="1"/>
    <col min="11271" max="11272" width="13" style="215" bestFit="1" customWidth="1"/>
    <col min="11273" max="11273" width="12.5703125" style="215" bestFit="1" customWidth="1"/>
    <col min="11274" max="11274" width="13.42578125" style="215" bestFit="1" customWidth="1"/>
    <col min="11275" max="11275" width="13.5703125" style="215" bestFit="1" customWidth="1"/>
    <col min="11276" max="11276" width="14.5703125" style="215" bestFit="1" customWidth="1"/>
    <col min="11277" max="11277" width="14.85546875" style="215" bestFit="1" customWidth="1"/>
    <col min="11278" max="11278" width="17.140625" style="215" customWidth="1"/>
    <col min="11279" max="11279" width="16.42578125" style="215" bestFit="1" customWidth="1"/>
    <col min="11280" max="11280" width="17.140625" style="215" bestFit="1" customWidth="1"/>
    <col min="11281" max="11281" width="24.42578125" style="215" customWidth="1"/>
    <col min="11282" max="11282" width="18.42578125" style="215" bestFit="1" customWidth="1"/>
    <col min="11283" max="11283" width="18.5703125" style="215" bestFit="1" customWidth="1"/>
    <col min="11284" max="11284" width="19.42578125" style="215" bestFit="1" customWidth="1"/>
    <col min="11285" max="11285" width="20.42578125" style="215" bestFit="1" customWidth="1"/>
    <col min="11286" max="11286" width="20.85546875" style="215" bestFit="1" customWidth="1"/>
    <col min="11287" max="11287" width="21.42578125" style="215" bestFit="1" customWidth="1"/>
    <col min="11288" max="11289" width="22.42578125" style="215" bestFit="1" customWidth="1"/>
    <col min="11290" max="11291" width="23.85546875" style="215" bestFit="1" customWidth="1"/>
    <col min="11292" max="11293" width="24.85546875" style="215" bestFit="1" customWidth="1"/>
    <col min="11294" max="11298" width="11.42578125" style="215" bestFit="1" customWidth="1"/>
    <col min="11299" max="11303" width="12.42578125" style="215" bestFit="1" customWidth="1"/>
    <col min="11304" max="11304" width="12" style="215" bestFit="1" customWidth="1"/>
    <col min="11305" max="11520" width="8.85546875" style="215"/>
    <col min="11521" max="11521" width="7.42578125" style="215" customWidth="1"/>
    <col min="11522" max="11522" width="41" style="215" customWidth="1"/>
    <col min="11523" max="11523" width="16" style="215" customWidth="1"/>
    <col min="11524" max="11524" width="16.140625" style="215" bestFit="1" customWidth="1"/>
    <col min="11525" max="11525" width="11.85546875" style="215" customWidth="1"/>
    <col min="11526" max="11526" width="12.42578125" style="215" bestFit="1" customWidth="1"/>
    <col min="11527" max="11528" width="13" style="215" bestFit="1" customWidth="1"/>
    <col min="11529" max="11529" width="12.5703125" style="215" bestFit="1" customWidth="1"/>
    <col min="11530" max="11530" width="13.42578125" style="215" bestFit="1" customWidth="1"/>
    <col min="11531" max="11531" width="13.5703125" style="215" bestFit="1" customWidth="1"/>
    <col min="11532" max="11532" width="14.5703125" style="215" bestFit="1" customWidth="1"/>
    <col min="11533" max="11533" width="14.85546875" style="215" bestFit="1" customWidth="1"/>
    <col min="11534" max="11534" width="17.140625" style="215" customWidth="1"/>
    <col min="11535" max="11535" width="16.42578125" style="215" bestFit="1" customWidth="1"/>
    <col min="11536" max="11536" width="17.140625" style="215" bestFit="1" customWidth="1"/>
    <col min="11537" max="11537" width="24.42578125" style="215" customWidth="1"/>
    <col min="11538" max="11538" width="18.42578125" style="215" bestFit="1" customWidth="1"/>
    <col min="11539" max="11539" width="18.5703125" style="215" bestFit="1" customWidth="1"/>
    <col min="11540" max="11540" width="19.42578125" style="215" bestFit="1" customWidth="1"/>
    <col min="11541" max="11541" width="20.42578125" style="215" bestFit="1" customWidth="1"/>
    <col min="11542" max="11542" width="20.85546875" style="215" bestFit="1" customWidth="1"/>
    <col min="11543" max="11543" width="21.42578125" style="215" bestFit="1" customWidth="1"/>
    <col min="11544" max="11545" width="22.42578125" style="215" bestFit="1" customWidth="1"/>
    <col min="11546" max="11547" width="23.85546875" style="215" bestFit="1" customWidth="1"/>
    <col min="11548" max="11549" width="24.85546875" style="215" bestFit="1" customWidth="1"/>
    <col min="11550" max="11554" width="11.42578125" style="215" bestFit="1" customWidth="1"/>
    <col min="11555" max="11559" width="12.42578125" style="215" bestFit="1" customWidth="1"/>
    <col min="11560" max="11560" width="12" style="215" bestFit="1" customWidth="1"/>
    <col min="11561" max="11776" width="8.85546875" style="215"/>
    <col min="11777" max="11777" width="7.42578125" style="215" customWidth="1"/>
    <col min="11778" max="11778" width="41" style="215" customWidth="1"/>
    <col min="11779" max="11779" width="16" style="215" customWidth="1"/>
    <col min="11780" max="11780" width="16.140625" style="215" bestFit="1" customWidth="1"/>
    <col min="11781" max="11781" width="11.85546875" style="215" customWidth="1"/>
    <col min="11782" max="11782" width="12.42578125" style="215" bestFit="1" customWidth="1"/>
    <col min="11783" max="11784" width="13" style="215" bestFit="1" customWidth="1"/>
    <col min="11785" max="11785" width="12.5703125" style="215" bestFit="1" customWidth="1"/>
    <col min="11786" max="11786" width="13.42578125" style="215" bestFit="1" customWidth="1"/>
    <col min="11787" max="11787" width="13.5703125" style="215" bestFit="1" customWidth="1"/>
    <col min="11788" max="11788" width="14.5703125" style="215" bestFit="1" customWidth="1"/>
    <col min="11789" max="11789" width="14.85546875" style="215" bestFit="1" customWidth="1"/>
    <col min="11790" max="11790" width="17.140625" style="215" customWidth="1"/>
    <col min="11791" max="11791" width="16.42578125" style="215" bestFit="1" customWidth="1"/>
    <col min="11792" max="11792" width="17.140625" style="215" bestFit="1" customWidth="1"/>
    <col min="11793" max="11793" width="24.42578125" style="215" customWidth="1"/>
    <col min="11794" max="11794" width="18.42578125" style="215" bestFit="1" customWidth="1"/>
    <col min="11795" max="11795" width="18.5703125" style="215" bestFit="1" customWidth="1"/>
    <col min="11796" max="11796" width="19.42578125" style="215" bestFit="1" customWidth="1"/>
    <col min="11797" max="11797" width="20.42578125" style="215" bestFit="1" customWidth="1"/>
    <col min="11798" max="11798" width="20.85546875" style="215" bestFit="1" customWidth="1"/>
    <col min="11799" max="11799" width="21.42578125" style="215" bestFit="1" customWidth="1"/>
    <col min="11800" max="11801" width="22.42578125" style="215" bestFit="1" customWidth="1"/>
    <col min="11802" max="11803" width="23.85546875" style="215" bestFit="1" customWidth="1"/>
    <col min="11804" max="11805" width="24.85546875" style="215" bestFit="1" customWidth="1"/>
    <col min="11806" max="11810" width="11.42578125" style="215" bestFit="1" customWidth="1"/>
    <col min="11811" max="11815" width="12.42578125" style="215" bestFit="1" customWidth="1"/>
    <col min="11816" max="11816" width="12" style="215" bestFit="1" customWidth="1"/>
    <col min="11817" max="12032" width="8.85546875" style="215"/>
    <col min="12033" max="12033" width="7.42578125" style="215" customWidth="1"/>
    <col min="12034" max="12034" width="41" style="215" customWidth="1"/>
    <col min="12035" max="12035" width="16" style="215" customWidth="1"/>
    <col min="12036" max="12036" width="16.140625" style="215" bestFit="1" customWidth="1"/>
    <col min="12037" max="12037" width="11.85546875" style="215" customWidth="1"/>
    <col min="12038" max="12038" width="12.42578125" style="215" bestFit="1" customWidth="1"/>
    <col min="12039" max="12040" width="13" style="215" bestFit="1" customWidth="1"/>
    <col min="12041" max="12041" width="12.5703125" style="215" bestFit="1" customWidth="1"/>
    <col min="12042" max="12042" width="13.42578125" style="215" bestFit="1" customWidth="1"/>
    <col min="12043" max="12043" width="13.5703125" style="215" bestFit="1" customWidth="1"/>
    <col min="12044" max="12044" width="14.5703125" style="215" bestFit="1" customWidth="1"/>
    <col min="12045" max="12045" width="14.85546875" style="215" bestFit="1" customWidth="1"/>
    <col min="12046" max="12046" width="17.140625" style="215" customWidth="1"/>
    <col min="12047" max="12047" width="16.42578125" style="215" bestFit="1" customWidth="1"/>
    <col min="12048" max="12048" width="17.140625" style="215" bestFit="1" customWidth="1"/>
    <col min="12049" max="12049" width="24.42578125" style="215" customWidth="1"/>
    <col min="12050" max="12050" width="18.42578125" style="215" bestFit="1" customWidth="1"/>
    <col min="12051" max="12051" width="18.5703125" style="215" bestFit="1" customWidth="1"/>
    <col min="12052" max="12052" width="19.42578125" style="215" bestFit="1" customWidth="1"/>
    <col min="12053" max="12053" width="20.42578125" style="215" bestFit="1" customWidth="1"/>
    <col min="12054" max="12054" width="20.85546875" style="215" bestFit="1" customWidth="1"/>
    <col min="12055" max="12055" width="21.42578125" style="215" bestFit="1" customWidth="1"/>
    <col min="12056" max="12057" width="22.42578125" style="215" bestFit="1" customWidth="1"/>
    <col min="12058" max="12059" width="23.85546875" style="215" bestFit="1" customWidth="1"/>
    <col min="12060" max="12061" width="24.85546875" style="215" bestFit="1" customWidth="1"/>
    <col min="12062" max="12066" width="11.42578125" style="215" bestFit="1" customWidth="1"/>
    <col min="12067" max="12071" width="12.42578125" style="215" bestFit="1" customWidth="1"/>
    <col min="12072" max="12072" width="12" style="215" bestFit="1" customWidth="1"/>
    <col min="12073" max="12288" width="8.85546875" style="215"/>
    <col min="12289" max="12289" width="7.42578125" style="215" customWidth="1"/>
    <col min="12290" max="12290" width="41" style="215" customWidth="1"/>
    <col min="12291" max="12291" width="16" style="215" customWidth="1"/>
    <col min="12292" max="12292" width="16.140625" style="215" bestFit="1" customWidth="1"/>
    <col min="12293" max="12293" width="11.85546875" style="215" customWidth="1"/>
    <col min="12294" max="12294" width="12.42578125" style="215" bestFit="1" customWidth="1"/>
    <col min="12295" max="12296" width="13" style="215" bestFit="1" customWidth="1"/>
    <col min="12297" max="12297" width="12.5703125" style="215" bestFit="1" customWidth="1"/>
    <col min="12298" max="12298" width="13.42578125" style="215" bestFit="1" customWidth="1"/>
    <col min="12299" max="12299" width="13.5703125" style="215" bestFit="1" customWidth="1"/>
    <col min="12300" max="12300" width="14.5703125" style="215" bestFit="1" customWidth="1"/>
    <col min="12301" max="12301" width="14.85546875" style="215" bestFit="1" customWidth="1"/>
    <col min="12302" max="12302" width="17.140625" style="215" customWidth="1"/>
    <col min="12303" max="12303" width="16.42578125" style="215" bestFit="1" customWidth="1"/>
    <col min="12304" max="12304" width="17.140625" style="215" bestFit="1" customWidth="1"/>
    <col min="12305" max="12305" width="24.42578125" style="215" customWidth="1"/>
    <col min="12306" max="12306" width="18.42578125" style="215" bestFit="1" customWidth="1"/>
    <col min="12307" max="12307" width="18.5703125" style="215" bestFit="1" customWidth="1"/>
    <col min="12308" max="12308" width="19.42578125" style="215" bestFit="1" customWidth="1"/>
    <col min="12309" max="12309" width="20.42578125" style="215" bestFit="1" customWidth="1"/>
    <col min="12310" max="12310" width="20.85546875" style="215" bestFit="1" customWidth="1"/>
    <col min="12311" max="12311" width="21.42578125" style="215" bestFit="1" customWidth="1"/>
    <col min="12312" max="12313" width="22.42578125" style="215" bestFit="1" customWidth="1"/>
    <col min="12314" max="12315" width="23.85546875" style="215" bestFit="1" customWidth="1"/>
    <col min="12316" max="12317" width="24.85546875" style="215" bestFit="1" customWidth="1"/>
    <col min="12318" max="12322" width="11.42578125" style="215" bestFit="1" customWidth="1"/>
    <col min="12323" max="12327" width="12.42578125" style="215" bestFit="1" customWidth="1"/>
    <col min="12328" max="12328" width="12" style="215" bestFit="1" customWidth="1"/>
    <col min="12329" max="12544" width="8.85546875" style="215"/>
    <col min="12545" max="12545" width="7.42578125" style="215" customWidth="1"/>
    <col min="12546" max="12546" width="41" style="215" customWidth="1"/>
    <col min="12547" max="12547" width="16" style="215" customWidth="1"/>
    <col min="12548" max="12548" width="16.140625" style="215" bestFit="1" customWidth="1"/>
    <col min="12549" max="12549" width="11.85546875" style="215" customWidth="1"/>
    <col min="12550" max="12550" width="12.42578125" style="215" bestFit="1" customWidth="1"/>
    <col min="12551" max="12552" width="13" style="215" bestFit="1" customWidth="1"/>
    <col min="12553" max="12553" width="12.5703125" style="215" bestFit="1" customWidth="1"/>
    <col min="12554" max="12554" width="13.42578125" style="215" bestFit="1" customWidth="1"/>
    <col min="12555" max="12555" width="13.5703125" style="215" bestFit="1" customWidth="1"/>
    <col min="12556" max="12556" width="14.5703125" style="215" bestFit="1" customWidth="1"/>
    <col min="12557" max="12557" width="14.85546875" style="215" bestFit="1" customWidth="1"/>
    <col min="12558" max="12558" width="17.140625" style="215" customWidth="1"/>
    <col min="12559" max="12559" width="16.42578125" style="215" bestFit="1" customWidth="1"/>
    <col min="12560" max="12560" width="17.140625" style="215" bestFit="1" customWidth="1"/>
    <col min="12561" max="12561" width="24.42578125" style="215" customWidth="1"/>
    <col min="12562" max="12562" width="18.42578125" style="215" bestFit="1" customWidth="1"/>
    <col min="12563" max="12563" width="18.5703125" style="215" bestFit="1" customWidth="1"/>
    <col min="12564" max="12564" width="19.42578125" style="215" bestFit="1" customWidth="1"/>
    <col min="12565" max="12565" width="20.42578125" style="215" bestFit="1" customWidth="1"/>
    <col min="12566" max="12566" width="20.85546875" style="215" bestFit="1" customWidth="1"/>
    <col min="12567" max="12567" width="21.42578125" style="215" bestFit="1" customWidth="1"/>
    <col min="12568" max="12569" width="22.42578125" style="215" bestFit="1" customWidth="1"/>
    <col min="12570" max="12571" width="23.85546875" style="215" bestFit="1" customWidth="1"/>
    <col min="12572" max="12573" width="24.85546875" style="215" bestFit="1" customWidth="1"/>
    <col min="12574" max="12578" width="11.42578125" style="215" bestFit="1" customWidth="1"/>
    <col min="12579" max="12583" width="12.42578125" style="215" bestFit="1" customWidth="1"/>
    <col min="12584" max="12584" width="12" style="215" bestFit="1" customWidth="1"/>
    <col min="12585" max="12800" width="8.85546875" style="215"/>
    <col min="12801" max="12801" width="7.42578125" style="215" customWidth="1"/>
    <col min="12802" max="12802" width="41" style="215" customWidth="1"/>
    <col min="12803" max="12803" width="16" style="215" customWidth="1"/>
    <col min="12804" max="12804" width="16.140625" style="215" bestFit="1" customWidth="1"/>
    <col min="12805" max="12805" width="11.85546875" style="215" customWidth="1"/>
    <col min="12806" max="12806" width="12.42578125" style="215" bestFit="1" customWidth="1"/>
    <col min="12807" max="12808" width="13" style="215" bestFit="1" customWidth="1"/>
    <col min="12809" max="12809" width="12.5703125" style="215" bestFit="1" customWidth="1"/>
    <col min="12810" max="12810" width="13.42578125" style="215" bestFit="1" customWidth="1"/>
    <col min="12811" max="12811" width="13.5703125" style="215" bestFit="1" customWidth="1"/>
    <col min="12812" max="12812" width="14.5703125" style="215" bestFit="1" customWidth="1"/>
    <col min="12813" max="12813" width="14.85546875" style="215" bestFit="1" customWidth="1"/>
    <col min="12814" max="12814" width="17.140625" style="215" customWidth="1"/>
    <col min="12815" max="12815" width="16.42578125" style="215" bestFit="1" customWidth="1"/>
    <col min="12816" max="12816" width="17.140625" style="215" bestFit="1" customWidth="1"/>
    <col min="12817" max="12817" width="24.42578125" style="215" customWidth="1"/>
    <col min="12818" max="12818" width="18.42578125" style="215" bestFit="1" customWidth="1"/>
    <col min="12819" max="12819" width="18.5703125" style="215" bestFit="1" customWidth="1"/>
    <col min="12820" max="12820" width="19.42578125" style="215" bestFit="1" customWidth="1"/>
    <col min="12821" max="12821" width="20.42578125" style="215" bestFit="1" customWidth="1"/>
    <col min="12822" max="12822" width="20.85546875" style="215" bestFit="1" customWidth="1"/>
    <col min="12823" max="12823" width="21.42578125" style="215" bestFit="1" customWidth="1"/>
    <col min="12824" max="12825" width="22.42578125" style="215" bestFit="1" customWidth="1"/>
    <col min="12826" max="12827" width="23.85546875" style="215" bestFit="1" customWidth="1"/>
    <col min="12828" max="12829" width="24.85546875" style="215" bestFit="1" customWidth="1"/>
    <col min="12830" max="12834" width="11.42578125" style="215" bestFit="1" customWidth="1"/>
    <col min="12835" max="12839" width="12.42578125" style="215" bestFit="1" customWidth="1"/>
    <col min="12840" max="12840" width="12" style="215" bestFit="1" customWidth="1"/>
    <col min="12841" max="13056" width="8.85546875" style="215"/>
    <col min="13057" max="13057" width="7.42578125" style="215" customWidth="1"/>
    <col min="13058" max="13058" width="41" style="215" customWidth="1"/>
    <col min="13059" max="13059" width="16" style="215" customWidth="1"/>
    <col min="13060" max="13060" width="16.140625" style="215" bestFit="1" customWidth="1"/>
    <col min="13061" max="13061" width="11.85546875" style="215" customWidth="1"/>
    <col min="13062" max="13062" width="12.42578125" style="215" bestFit="1" customWidth="1"/>
    <col min="13063" max="13064" width="13" style="215" bestFit="1" customWidth="1"/>
    <col min="13065" max="13065" width="12.5703125" style="215" bestFit="1" customWidth="1"/>
    <col min="13066" max="13066" width="13.42578125" style="215" bestFit="1" customWidth="1"/>
    <col min="13067" max="13067" width="13.5703125" style="215" bestFit="1" customWidth="1"/>
    <col min="13068" max="13068" width="14.5703125" style="215" bestFit="1" customWidth="1"/>
    <col min="13069" max="13069" width="14.85546875" style="215" bestFit="1" customWidth="1"/>
    <col min="13070" max="13070" width="17.140625" style="215" customWidth="1"/>
    <col min="13071" max="13071" width="16.42578125" style="215" bestFit="1" customWidth="1"/>
    <col min="13072" max="13072" width="17.140625" style="215" bestFit="1" customWidth="1"/>
    <col min="13073" max="13073" width="24.42578125" style="215" customWidth="1"/>
    <col min="13074" max="13074" width="18.42578125" style="215" bestFit="1" customWidth="1"/>
    <col min="13075" max="13075" width="18.5703125" style="215" bestFit="1" customWidth="1"/>
    <col min="13076" max="13076" width="19.42578125" style="215" bestFit="1" customWidth="1"/>
    <col min="13077" max="13077" width="20.42578125" style="215" bestFit="1" customWidth="1"/>
    <col min="13078" max="13078" width="20.85546875" style="215" bestFit="1" customWidth="1"/>
    <col min="13079" max="13079" width="21.42578125" style="215" bestFit="1" customWidth="1"/>
    <col min="13080" max="13081" width="22.42578125" style="215" bestFit="1" customWidth="1"/>
    <col min="13082" max="13083" width="23.85546875" style="215" bestFit="1" customWidth="1"/>
    <col min="13084" max="13085" width="24.85546875" style="215" bestFit="1" customWidth="1"/>
    <col min="13086" max="13090" width="11.42578125" style="215" bestFit="1" customWidth="1"/>
    <col min="13091" max="13095" width="12.42578125" style="215" bestFit="1" customWidth="1"/>
    <col min="13096" max="13096" width="12" style="215" bestFit="1" customWidth="1"/>
    <col min="13097" max="13312" width="8.85546875" style="215"/>
    <col min="13313" max="13313" width="7.42578125" style="215" customWidth="1"/>
    <col min="13314" max="13314" width="41" style="215" customWidth="1"/>
    <col min="13315" max="13315" width="16" style="215" customWidth="1"/>
    <col min="13316" max="13316" width="16.140625" style="215" bestFit="1" customWidth="1"/>
    <col min="13317" max="13317" width="11.85546875" style="215" customWidth="1"/>
    <col min="13318" max="13318" width="12.42578125" style="215" bestFit="1" customWidth="1"/>
    <col min="13319" max="13320" width="13" style="215" bestFit="1" customWidth="1"/>
    <col min="13321" max="13321" width="12.5703125" style="215" bestFit="1" customWidth="1"/>
    <col min="13322" max="13322" width="13.42578125" style="215" bestFit="1" customWidth="1"/>
    <col min="13323" max="13323" width="13.5703125" style="215" bestFit="1" customWidth="1"/>
    <col min="13324" max="13324" width="14.5703125" style="215" bestFit="1" customWidth="1"/>
    <col min="13325" max="13325" width="14.85546875" style="215" bestFit="1" customWidth="1"/>
    <col min="13326" max="13326" width="17.140625" style="215" customWidth="1"/>
    <col min="13327" max="13327" width="16.42578125" style="215" bestFit="1" customWidth="1"/>
    <col min="13328" max="13328" width="17.140625" style="215" bestFit="1" customWidth="1"/>
    <col min="13329" max="13329" width="24.42578125" style="215" customWidth="1"/>
    <col min="13330" max="13330" width="18.42578125" style="215" bestFit="1" customWidth="1"/>
    <col min="13331" max="13331" width="18.5703125" style="215" bestFit="1" customWidth="1"/>
    <col min="13332" max="13332" width="19.42578125" style="215" bestFit="1" customWidth="1"/>
    <col min="13333" max="13333" width="20.42578125" style="215" bestFit="1" customWidth="1"/>
    <col min="13334" max="13334" width="20.85546875" style="215" bestFit="1" customWidth="1"/>
    <col min="13335" max="13335" width="21.42578125" style="215" bestFit="1" customWidth="1"/>
    <col min="13336" max="13337" width="22.42578125" style="215" bestFit="1" customWidth="1"/>
    <col min="13338" max="13339" width="23.85546875" style="215" bestFit="1" customWidth="1"/>
    <col min="13340" max="13341" width="24.85546875" style="215" bestFit="1" customWidth="1"/>
    <col min="13342" max="13346" width="11.42578125" style="215" bestFit="1" customWidth="1"/>
    <col min="13347" max="13351" width="12.42578125" style="215" bestFit="1" customWidth="1"/>
    <col min="13352" max="13352" width="12" style="215" bestFit="1" customWidth="1"/>
    <col min="13353" max="13568" width="8.85546875" style="215"/>
    <col min="13569" max="13569" width="7.42578125" style="215" customWidth="1"/>
    <col min="13570" max="13570" width="41" style="215" customWidth="1"/>
    <col min="13571" max="13571" width="16" style="215" customWidth="1"/>
    <col min="13572" max="13572" width="16.140625" style="215" bestFit="1" customWidth="1"/>
    <col min="13573" max="13573" width="11.85546875" style="215" customWidth="1"/>
    <col min="13574" max="13574" width="12.42578125" style="215" bestFit="1" customWidth="1"/>
    <col min="13575" max="13576" width="13" style="215" bestFit="1" customWidth="1"/>
    <col min="13577" max="13577" width="12.5703125" style="215" bestFit="1" customWidth="1"/>
    <col min="13578" max="13578" width="13.42578125" style="215" bestFit="1" customWidth="1"/>
    <col min="13579" max="13579" width="13.5703125" style="215" bestFit="1" customWidth="1"/>
    <col min="13580" max="13580" width="14.5703125" style="215" bestFit="1" customWidth="1"/>
    <col min="13581" max="13581" width="14.85546875" style="215" bestFit="1" customWidth="1"/>
    <col min="13582" max="13582" width="17.140625" style="215" customWidth="1"/>
    <col min="13583" max="13583" width="16.42578125" style="215" bestFit="1" customWidth="1"/>
    <col min="13584" max="13584" width="17.140625" style="215" bestFit="1" customWidth="1"/>
    <col min="13585" max="13585" width="24.42578125" style="215" customWidth="1"/>
    <col min="13586" max="13586" width="18.42578125" style="215" bestFit="1" customWidth="1"/>
    <col min="13587" max="13587" width="18.5703125" style="215" bestFit="1" customWidth="1"/>
    <col min="13588" max="13588" width="19.42578125" style="215" bestFit="1" customWidth="1"/>
    <col min="13589" max="13589" width="20.42578125" style="215" bestFit="1" customWidth="1"/>
    <col min="13590" max="13590" width="20.85546875" style="215" bestFit="1" customWidth="1"/>
    <col min="13591" max="13591" width="21.42578125" style="215" bestFit="1" customWidth="1"/>
    <col min="13592" max="13593" width="22.42578125" style="215" bestFit="1" customWidth="1"/>
    <col min="13594" max="13595" width="23.85546875" style="215" bestFit="1" customWidth="1"/>
    <col min="13596" max="13597" width="24.85546875" style="215" bestFit="1" customWidth="1"/>
    <col min="13598" max="13602" width="11.42578125" style="215" bestFit="1" customWidth="1"/>
    <col min="13603" max="13607" width="12.42578125" style="215" bestFit="1" customWidth="1"/>
    <col min="13608" max="13608" width="12" style="215" bestFit="1" customWidth="1"/>
    <col min="13609" max="13824" width="8.85546875" style="215"/>
    <col min="13825" max="13825" width="7.42578125" style="215" customWidth="1"/>
    <col min="13826" max="13826" width="41" style="215" customWidth="1"/>
    <col min="13827" max="13827" width="16" style="215" customWidth="1"/>
    <col min="13828" max="13828" width="16.140625" style="215" bestFit="1" customWidth="1"/>
    <col min="13829" max="13829" width="11.85546875" style="215" customWidth="1"/>
    <col min="13830" max="13830" width="12.42578125" style="215" bestFit="1" customWidth="1"/>
    <col min="13831" max="13832" width="13" style="215" bestFit="1" customWidth="1"/>
    <col min="13833" max="13833" width="12.5703125" style="215" bestFit="1" customWidth="1"/>
    <col min="13834" max="13834" width="13.42578125" style="215" bestFit="1" customWidth="1"/>
    <col min="13835" max="13835" width="13.5703125" style="215" bestFit="1" customWidth="1"/>
    <col min="13836" max="13836" width="14.5703125" style="215" bestFit="1" customWidth="1"/>
    <col min="13837" max="13837" width="14.85546875" style="215" bestFit="1" customWidth="1"/>
    <col min="13838" max="13838" width="17.140625" style="215" customWidth="1"/>
    <col min="13839" max="13839" width="16.42578125" style="215" bestFit="1" customWidth="1"/>
    <col min="13840" max="13840" width="17.140625" style="215" bestFit="1" customWidth="1"/>
    <col min="13841" max="13841" width="24.42578125" style="215" customWidth="1"/>
    <col min="13842" max="13842" width="18.42578125" style="215" bestFit="1" customWidth="1"/>
    <col min="13843" max="13843" width="18.5703125" style="215" bestFit="1" customWidth="1"/>
    <col min="13844" max="13844" width="19.42578125" style="215" bestFit="1" customWidth="1"/>
    <col min="13845" max="13845" width="20.42578125" style="215" bestFit="1" customWidth="1"/>
    <col min="13846" max="13846" width="20.85546875" style="215" bestFit="1" customWidth="1"/>
    <col min="13847" max="13847" width="21.42578125" style="215" bestFit="1" customWidth="1"/>
    <col min="13848" max="13849" width="22.42578125" style="215" bestFit="1" customWidth="1"/>
    <col min="13850" max="13851" width="23.85546875" style="215" bestFit="1" customWidth="1"/>
    <col min="13852" max="13853" width="24.85546875" style="215" bestFit="1" customWidth="1"/>
    <col min="13854" max="13858" width="11.42578125" style="215" bestFit="1" customWidth="1"/>
    <col min="13859" max="13863" width="12.42578125" style="215" bestFit="1" customWidth="1"/>
    <col min="13864" max="13864" width="12" style="215" bestFit="1" customWidth="1"/>
    <col min="13865" max="14080" width="8.85546875" style="215"/>
    <col min="14081" max="14081" width="7.42578125" style="215" customWidth="1"/>
    <col min="14082" max="14082" width="41" style="215" customWidth="1"/>
    <col min="14083" max="14083" width="16" style="215" customWidth="1"/>
    <col min="14084" max="14084" width="16.140625" style="215" bestFit="1" customWidth="1"/>
    <col min="14085" max="14085" width="11.85546875" style="215" customWidth="1"/>
    <col min="14086" max="14086" width="12.42578125" style="215" bestFit="1" customWidth="1"/>
    <col min="14087" max="14088" width="13" style="215" bestFit="1" customWidth="1"/>
    <col min="14089" max="14089" width="12.5703125" style="215" bestFit="1" customWidth="1"/>
    <col min="14090" max="14090" width="13.42578125" style="215" bestFit="1" customWidth="1"/>
    <col min="14091" max="14091" width="13.5703125" style="215" bestFit="1" customWidth="1"/>
    <col min="14092" max="14092" width="14.5703125" style="215" bestFit="1" customWidth="1"/>
    <col min="14093" max="14093" width="14.85546875" style="215" bestFit="1" customWidth="1"/>
    <col min="14094" max="14094" width="17.140625" style="215" customWidth="1"/>
    <col min="14095" max="14095" width="16.42578125" style="215" bestFit="1" customWidth="1"/>
    <col min="14096" max="14096" width="17.140625" style="215" bestFit="1" customWidth="1"/>
    <col min="14097" max="14097" width="24.42578125" style="215" customWidth="1"/>
    <col min="14098" max="14098" width="18.42578125" style="215" bestFit="1" customWidth="1"/>
    <col min="14099" max="14099" width="18.5703125" style="215" bestFit="1" customWidth="1"/>
    <col min="14100" max="14100" width="19.42578125" style="215" bestFit="1" customWidth="1"/>
    <col min="14101" max="14101" width="20.42578125" style="215" bestFit="1" customWidth="1"/>
    <col min="14102" max="14102" width="20.85546875" style="215" bestFit="1" customWidth="1"/>
    <col min="14103" max="14103" width="21.42578125" style="215" bestFit="1" customWidth="1"/>
    <col min="14104" max="14105" width="22.42578125" style="215" bestFit="1" customWidth="1"/>
    <col min="14106" max="14107" width="23.85546875" style="215" bestFit="1" customWidth="1"/>
    <col min="14108" max="14109" width="24.85546875" style="215" bestFit="1" customWidth="1"/>
    <col min="14110" max="14114" width="11.42578125" style="215" bestFit="1" customWidth="1"/>
    <col min="14115" max="14119" width="12.42578125" style="215" bestFit="1" customWidth="1"/>
    <col min="14120" max="14120" width="12" style="215" bestFit="1" customWidth="1"/>
    <col min="14121" max="14336" width="8.85546875" style="215"/>
    <col min="14337" max="14337" width="7.42578125" style="215" customWidth="1"/>
    <col min="14338" max="14338" width="41" style="215" customWidth="1"/>
    <col min="14339" max="14339" width="16" style="215" customWidth="1"/>
    <col min="14340" max="14340" width="16.140625" style="215" bestFit="1" customWidth="1"/>
    <col min="14341" max="14341" width="11.85546875" style="215" customWidth="1"/>
    <col min="14342" max="14342" width="12.42578125" style="215" bestFit="1" customWidth="1"/>
    <col min="14343" max="14344" width="13" style="215" bestFit="1" customWidth="1"/>
    <col min="14345" max="14345" width="12.5703125" style="215" bestFit="1" customWidth="1"/>
    <col min="14346" max="14346" width="13.42578125" style="215" bestFit="1" customWidth="1"/>
    <col min="14347" max="14347" width="13.5703125" style="215" bestFit="1" customWidth="1"/>
    <col min="14348" max="14348" width="14.5703125" style="215" bestFit="1" customWidth="1"/>
    <col min="14349" max="14349" width="14.85546875" style="215" bestFit="1" customWidth="1"/>
    <col min="14350" max="14350" width="17.140625" style="215" customWidth="1"/>
    <col min="14351" max="14351" width="16.42578125" style="215" bestFit="1" customWidth="1"/>
    <col min="14352" max="14352" width="17.140625" style="215" bestFit="1" customWidth="1"/>
    <col min="14353" max="14353" width="24.42578125" style="215" customWidth="1"/>
    <col min="14354" max="14354" width="18.42578125" style="215" bestFit="1" customWidth="1"/>
    <col min="14355" max="14355" width="18.5703125" style="215" bestFit="1" customWidth="1"/>
    <col min="14356" max="14356" width="19.42578125" style="215" bestFit="1" customWidth="1"/>
    <col min="14357" max="14357" width="20.42578125" style="215" bestFit="1" customWidth="1"/>
    <col min="14358" max="14358" width="20.85546875" style="215" bestFit="1" customWidth="1"/>
    <col min="14359" max="14359" width="21.42578125" style="215" bestFit="1" customWidth="1"/>
    <col min="14360" max="14361" width="22.42578125" style="215" bestFit="1" customWidth="1"/>
    <col min="14362" max="14363" width="23.85546875" style="215" bestFit="1" customWidth="1"/>
    <col min="14364" max="14365" width="24.85546875" style="215" bestFit="1" customWidth="1"/>
    <col min="14366" max="14370" width="11.42578125" style="215" bestFit="1" customWidth="1"/>
    <col min="14371" max="14375" width="12.42578125" style="215" bestFit="1" customWidth="1"/>
    <col min="14376" max="14376" width="12" style="215" bestFit="1" customWidth="1"/>
    <col min="14377" max="14592" width="8.85546875" style="215"/>
    <col min="14593" max="14593" width="7.42578125" style="215" customWidth="1"/>
    <col min="14594" max="14594" width="41" style="215" customWidth="1"/>
    <col min="14595" max="14595" width="16" style="215" customWidth="1"/>
    <col min="14596" max="14596" width="16.140625" style="215" bestFit="1" customWidth="1"/>
    <col min="14597" max="14597" width="11.85546875" style="215" customWidth="1"/>
    <col min="14598" max="14598" width="12.42578125" style="215" bestFit="1" customWidth="1"/>
    <col min="14599" max="14600" width="13" style="215" bestFit="1" customWidth="1"/>
    <col min="14601" max="14601" width="12.5703125" style="215" bestFit="1" customWidth="1"/>
    <col min="14602" max="14602" width="13.42578125" style="215" bestFit="1" customWidth="1"/>
    <col min="14603" max="14603" width="13.5703125" style="215" bestFit="1" customWidth="1"/>
    <col min="14604" max="14604" width="14.5703125" style="215" bestFit="1" customWidth="1"/>
    <col min="14605" max="14605" width="14.85546875" style="215" bestFit="1" customWidth="1"/>
    <col min="14606" max="14606" width="17.140625" style="215" customWidth="1"/>
    <col min="14607" max="14607" width="16.42578125" style="215" bestFit="1" customWidth="1"/>
    <col min="14608" max="14608" width="17.140625" style="215" bestFit="1" customWidth="1"/>
    <col min="14609" max="14609" width="24.42578125" style="215" customWidth="1"/>
    <col min="14610" max="14610" width="18.42578125" style="215" bestFit="1" customWidth="1"/>
    <col min="14611" max="14611" width="18.5703125" style="215" bestFit="1" customWidth="1"/>
    <col min="14612" max="14612" width="19.42578125" style="215" bestFit="1" customWidth="1"/>
    <col min="14613" max="14613" width="20.42578125" style="215" bestFit="1" customWidth="1"/>
    <col min="14614" max="14614" width="20.85546875" style="215" bestFit="1" customWidth="1"/>
    <col min="14615" max="14615" width="21.42578125" style="215" bestFit="1" customWidth="1"/>
    <col min="14616" max="14617" width="22.42578125" style="215" bestFit="1" customWidth="1"/>
    <col min="14618" max="14619" width="23.85546875" style="215" bestFit="1" customWidth="1"/>
    <col min="14620" max="14621" width="24.85546875" style="215" bestFit="1" customWidth="1"/>
    <col min="14622" max="14626" width="11.42578125" style="215" bestFit="1" customWidth="1"/>
    <col min="14627" max="14631" width="12.42578125" style="215" bestFit="1" customWidth="1"/>
    <col min="14632" max="14632" width="12" style="215" bestFit="1" customWidth="1"/>
    <col min="14633" max="14848" width="8.85546875" style="215"/>
    <col min="14849" max="14849" width="7.42578125" style="215" customWidth="1"/>
    <col min="14850" max="14850" width="41" style="215" customWidth="1"/>
    <col min="14851" max="14851" width="16" style="215" customWidth="1"/>
    <col min="14852" max="14852" width="16.140625" style="215" bestFit="1" customWidth="1"/>
    <col min="14853" max="14853" width="11.85546875" style="215" customWidth="1"/>
    <col min="14854" max="14854" width="12.42578125" style="215" bestFit="1" customWidth="1"/>
    <col min="14855" max="14856" width="13" style="215" bestFit="1" customWidth="1"/>
    <col min="14857" max="14857" width="12.5703125" style="215" bestFit="1" customWidth="1"/>
    <col min="14858" max="14858" width="13.42578125" style="215" bestFit="1" customWidth="1"/>
    <col min="14859" max="14859" width="13.5703125" style="215" bestFit="1" customWidth="1"/>
    <col min="14860" max="14860" width="14.5703125" style="215" bestFit="1" customWidth="1"/>
    <col min="14861" max="14861" width="14.85546875" style="215" bestFit="1" customWidth="1"/>
    <col min="14862" max="14862" width="17.140625" style="215" customWidth="1"/>
    <col min="14863" max="14863" width="16.42578125" style="215" bestFit="1" customWidth="1"/>
    <col min="14864" max="14864" width="17.140625" style="215" bestFit="1" customWidth="1"/>
    <col min="14865" max="14865" width="24.42578125" style="215" customWidth="1"/>
    <col min="14866" max="14866" width="18.42578125" style="215" bestFit="1" customWidth="1"/>
    <col min="14867" max="14867" width="18.5703125" style="215" bestFit="1" customWidth="1"/>
    <col min="14868" max="14868" width="19.42578125" style="215" bestFit="1" customWidth="1"/>
    <col min="14869" max="14869" width="20.42578125" style="215" bestFit="1" customWidth="1"/>
    <col min="14870" max="14870" width="20.85546875" style="215" bestFit="1" customWidth="1"/>
    <col min="14871" max="14871" width="21.42578125" style="215" bestFit="1" customWidth="1"/>
    <col min="14872" max="14873" width="22.42578125" style="215" bestFit="1" customWidth="1"/>
    <col min="14874" max="14875" width="23.85546875" style="215" bestFit="1" customWidth="1"/>
    <col min="14876" max="14877" width="24.85546875" style="215" bestFit="1" customWidth="1"/>
    <col min="14878" max="14882" width="11.42578125" style="215" bestFit="1" customWidth="1"/>
    <col min="14883" max="14887" width="12.42578125" style="215" bestFit="1" customWidth="1"/>
    <col min="14888" max="14888" width="12" style="215" bestFit="1" customWidth="1"/>
    <col min="14889" max="15104" width="8.85546875" style="215"/>
    <col min="15105" max="15105" width="7.42578125" style="215" customWidth="1"/>
    <col min="15106" max="15106" width="41" style="215" customWidth="1"/>
    <col min="15107" max="15107" width="16" style="215" customWidth="1"/>
    <col min="15108" max="15108" width="16.140625" style="215" bestFit="1" customWidth="1"/>
    <col min="15109" max="15109" width="11.85546875" style="215" customWidth="1"/>
    <col min="15110" max="15110" width="12.42578125" style="215" bestFit="1" customWidth="1"/>
    <col min="15111" max="15112" width="13" style="215" bestFit="1" customWidth="1"/>
    <col min="15113" max="15113" width="12.5703125" style="215" bestFit="1" customWidth="1"/>
    <col min="15114" max="15114" width="13.42578125" style="215" bestFit="1" customWidth="1"/>
    <col min="15115" max="15115" width="13.5703125" style="215" bestFit="1" customWidth="1"/>
    <col min="15116" max="15116" width="14.5703125" style="215" bestFit="1" customWidth="1"/>
    <col min="15117" max="15117" width="14.85546875" style="215" bestFit="1" customWidth="1"/>
    <col min="15118" max="15118" width="17.140625" style="215" customWidth="1"/>
    <col min="15119" max="15119" width="16.42578125" style="215" bestFit="1" customWidth="1"/>
    <col min="15120" max="15120" width="17.140625" style="215" bestFit="1" customWidth="1"/>
    <col min="15121" max="15121" width="24.42578125" style="215" customWidth="1"/>
    <col min="15122" max="15122" width="18.42578125" style="215" bestFit="1" customWidth="1"/>
    <col min="15123" max="15123" width="18.5703125" style="215" bestFit="1" customWidth="1"/>
    <col min="15124" max="15124" width="19.42578125" style="215" bestFit="1" customWidth="1"/>
    <col min="15125" max="15125" width="20.42578125" style="215" bestFit="1" customWidth="1"/>
    <col min="15126" max="15126" width="20.85546875" style="215" bestFit="1" customWidth="1"/>
    <col min="15127" max="15127" width="21.42578125" style="215" bestFit="1" customWidth="1"/>
    <col min="15128" max="15129" width="22.42578125" style="215" bestFit="1" customWidth="1"/>
    <col min="15130" max="15131" width="23.85546875" style="215" bestFit="1" customWidth="1"/>
    <col min="15132" max="15133" width="24.85546875" style="215" bestFit="1" customWidth="1"/>
    <col min="15134" max="15138" width="11.42578125" style="215" bestFit="1" customWidth="1"/>
    <col min="15139" max="15143" width="12.42578125" style="215" bestFit="1" customWidth="1"/>
    <col min="15144" max="15144" width="12" style="215" bestFit="1" customWidth="1"/>
    <col min="15145" max="15360" width="8.85546875" style="215"/>
    <col min="15361" max="15361" width="7.42578125" style="215" customWidth="1"/>
    <col min="15362" max="15362" width="41" style="215" customWidth="1"/>
    <col min="15363" max="15363" width="16" style="215" customWidth="1"/>
    <col min="15364" max="15364" width="16.140625" style="215" bestFit="1" customWidth="1"/>
    <col min="15365" max="15365" width="11.85546875" style="215" customWidth="1"/>
    <col min="15366" max="15366" width="12.42578125" style="215" bestFit="1" customWidth="1"/>
    <col min="15367" max="15368" width="13" style="215" bestFit="1" customWidth="1"/>
    <col min="15369" max="15369" width="12.5703125" style="215" bestFit="1" customWidth="1"/>
    <col min="15370" max="15370" width="13.42578125" style="215" bestFit="1" customWidth="1"/>
    <col min="15371" max="15371" width="13.5703125" style="215" bestFit="1" customWidth="1"/>
    <col min="15372" max="15372" width="14.5703125" style="215" bestFit="1" customWidth="1"/>
    <col min="15373" max="15373" width="14.85546875" style="215" bestFit="1" customWidth="1"/>
    <col min="15374" max="15374" width="17.140625" style="215" customWidth="1"/>
    <col min="15375" max="15375" width="16.42578125" style="215" bestFit="1" customWidth="1"/>
    <col min="15376" max="15376" width="17.140625" style="215" bestFit="1" customWidth="1"/>
    <col min="15377" max="15377" width="24.42578125" style="215" customWidth="1"/>
    <col min="15378" max="15378" width="18.42578125" style="215" bestFit="1" customWidth="1"/>
    <col min="15379" max="15379" width="18.5703125" style="215" bestFit="1" customWidth="1"/>
    <col min="15380" max="15380" width="19.42578125" style="215" bestFit="1" customWidth="1"/>
    <col min="15381" max="15381" width="20.42578125" style="215" bestFit="1" customWidth="1"/>
    <col min="15382" max="15382" width="20.85546875" style="215" bestFit="1" customWidth="1"/>
    <col min="15383" max="15383" width="21.42578125" style="215" bestFit="1" customWidth="1"/>
    <col min="15384" max="15385" width="22.42578125" style="215" bestFit="1" customWidth="1"/>
    <col min="15386" max="15387" width="23.85546875" style="215" bestFit="1" customWidth="1"/>
    <col min="15388" max="15389" width="24.85546875" style="215" bestFit="1" customWidth="1"/>
    <col min="15390" max="15394" width="11.42578125" style="215" bestFit="1" customWidth="1"/>
    <col min="15395" max="15399" width="12.42578125" style="215" bestFit="1" customWidth="1"/>
    <col min="15400" max="15400" width="12" style="215" bestFit="1" customWidth="1"/>
    <col min="15401" max="15616" width="8.85546875" style="215"/>
    <col min="15617" max="15617" width="7.42578125" style="215" customWidth="1"/>
    <col min="15618" max="15618" width="41" style="215" customWidth="1"/>
    <col min="15619" max="15619" width="16" style="215" customWidth="1"/>
    <col min="15620" max="15620" width="16.140625" style="215" bestFit="1" customWidth="1"/>
    <col min="15621" max="15621" width="11.85546875" style="215" customWidth="1"/>
    <col min="15622" max="15622" width="12.42578125" style="215" bestFit="1" customWidth="1"/>
    <col min="15623" max="15624" width="13" style="215" bestFit="1" customWidth="1"/>
    <col min="15625" max="15625" width="12.5703125" style="215" bestFit="1" customWidth="1"/>
    <col min="15626" max="15626" width="13.42578125" style="215" bestFit="1" customWidth="1"/>
    <col min="15627" max="15627" width="13.5703125" style="215" bestFit="1" customWidth="1"/>
    <col min="15628" max="15628" width="14.5703125" style="215" bestFit="1" customWidth="1"/>
    <col min="15629" max="15629" width="14.85546875" style="215" bestFit="1" customWidth="1"/>
    <col min="15630" max="15630" width="17.140625" style="215" customWidth="1"/>
    <col min="15631" max="15631" width="16.42578125" style="215" bestFit="1" customWidth="1"/>
    <col min="15632" max="15632" width="17.140625" style="215" bestFit="1" customWidth="1"/>
    <col min="15633" max="15633" width="24.42578125" style="215" customWidth="1"/>
    <col min="15634" max="15634" width="18.42578125" style="215" bestFit="1" customWidth="1"/>
    <col min="15635" max="15635" width="18.5703125" style="215" bestFit="1" customWidth="1"/>
    <col min="15636" max="15636" width="19.42578125" style="215" bestFit="1" customWidth="1"/>
    <col min="15637" max="15637" width="20.42578125" style="215" bestFit="1" customWidth="1"/>
    <col min="15638" max="15638" width="20.85546875" style="215" bestFit="1" customWidth="1"/>
    <col min="15639" max="15639" width="21.42578125" style="215" bestFit="1" customWidth="1"/>
    <col min="15640" max="15641" width="22.42578125" style="215" bestFit="1" customWidth="1"/>
    <col min="15642" max="15643" width="23.85546875" style="215" bestFit="1" customWidth="1"/>
    <col min="15644" max="15645" width="24.85546875" style="215" bestFit="1" customWidth="1"/>
    <col min="15646" max="15650" width="11.42578125" style="215" bestFit="1" customWidth="1"/>
    <col min="15651" max="15655" width="12.42578125" style="215" bestFit="1" customWidth="1"/>
    <col min="15656" max="15656" width="12" style="215" bestFit="1" customWidth="1"/>
    <col min="15657" max="15872" width="8.85546875" style="215"/>
    <col min="15873" max="15873" width="7.42578125" style="215" customWidth="1"/>
    <col min="15874" max="15874" width="41" style="215" customWidth="1"/>
    <col min="15875" max="15875" width="16" style="215" customWidth="1"/>
    <col min="15876" max="15876" width="16.140625" style="215" bestFit="1" customWidth="1"/>
    <col min="15877" max="15877" width="11.85546875" style="215" customWidth="1"/>
    <col min="15878" max="15878" width="12.42578125" style="215" bestFit="1" customWidth="1"/>
    <col min="15879" max="15880" width="13" style="215" bestFit="1" customWidth="1"/>
    <col min="15881" max="15881" width="12.5703125" style="215" bestFit="1" customWidth="1"/>
    <col min="15882" max="15882" width="13.42578125" style="215" bestFit="1" customWidth="1"/>
    <col min="15883" max="15883" width="13.5703125" style="215" bestFit="1" customWidth="1"/>
    <col min="15884" max="15884" width="14.5703125" style="215" bestFit="1" customWidth="1"/>
    <col min="15885" max="15885" width="14.85546875" style="215" bestFit="1" customWidth="1"/>
    <col min="15886" max="15886" width="17.140625" style="215" customWidth="1"/>
    <col min="15887" max="15887" width="16.42578125" style="215" bestFit="1" customWidth="1"/>
    <col min="15888" max="15888" width="17.140625" style="215" bestFit="1" customWidth="1"/>
    <col min="15889" max="15889" width="24.42578125" style="215" customWidth="1"/>
    <col min="15890" max="15890" width="18.42578125" style="215" bestFit="1" customWidth="1"/>
    <col min="15891" max="15891" width="18.5703125" style="215" bestFit="1" customWidth="1"/>
    <col min="15892" max="15892" width="19.42578125" style="215" bestFit="1" customWidth="1"/>
    <col min="15893" max="15893" width="20.42578125" style="215" bestFit="1" customWidth="1"/>
    <col min="15894" max="15894" width="20.85546875" style="215" bestFit="1" customWidth="1"/>
    <col min="15895" max="15895" width="21.42578125" style="215" bestFit="1" customWidth="1"/>
    <col min="15896" max="15897" width="22.42578125" style="215" bestFit="1" customWidth="1"/>
    <col min="15898" max="15899" width="23.85546875" style="215" bestFit="1" customWidth="1"/>
    <col min="15900" max="15901" width="24.85546875" style="215" bestFit="1" customWidth="1"/>
    <col min="15902" max="15906" width="11.42578125" style="215" bestFit="1" customWidth="1"/>
    <col min="15907" max="15911" width="12.42578125" style="215" bestFit="1" customWidth="1"/>
    <col min="15912" max="15912" width="12" style="215" bestFit="1" customWidth="1"/>
    <col min="15913" max="16128" width="8.85546875" style="215"/>
    <col min="16129" max="16129" width="7.42578125" style="215" customWidth="1"/>
    <col min="16130" max="16130" width="41" style="215" customWidth="1"/>
    <col min="16131" max="16131" width="16" style="215" customWidth="1"/>
    <col min="16132" max="16132" width="16.140625" style="215" bestFit="1" customWidth="1"/>
    <col min="16133" max="16133" width="11.85546875" style="215" customWidth="1"/>
    <col min="16134" max="16134" width="12.42578125" style="215" bestFit="1" customWidth="1"/>
    <col min="16135" max="16136" width="13" style="215" bestFit="1" customWidth="1"/>
    <col min="16137" max="16137" width="12.5703125" style="215" bestFit="1" customWidth="1"/>
    <col min="16138" max="16138" width="13.42578125" style="215" bestFit="1" customWidth="1"/>
    <col min="16139" max="16139" width="13.5703125" style="215" bestFit="1" customWidth="1"/>
    <col min="16140" max="16140" width="14.5703125" style="215" bestFit="1" customWidth="1"/>
    <col min="16141" max="16141" width="14.85546875" style="215" bestFit="1" customWidth="1"/>
    <col min="16142" max="16142" width="17.140625" style="215" customWidth="1"/>
    <col min="16143" max="16143" width="16.42578125" style="215" bestFit="1" customWidth="1"/>
    <col min="16144" max="16144" width="17.140625" style="215" bestFit="1" customWidth="1"/>
    <col min="16145" max="16145" width="24.42578125" style="215" customWidth="1"/>
    <col min="16146" max="16146" width="18.42578125" style="215" bestFit="1" customWidth="1"/>
    <col min="16147" max="16147" width="18.5703125" style="215" bestFit="1" customWidth="1"/>
    <col min="16148" max="16148" width="19.42578125" style="215" bestFit="1" customWidth="1"/>
    <col min="16149" max="16149" width="20.42578125" style="215" bestFit="1" customWidth="1"/>
    <col min="16150" max="16150" width="20.85546875" style="215" bestFit="1" customWidth="1"/>
    <col min="16151" max="16151" width="21.42578125" style="215" bestFit="1" customWidth="1"/>
    <col min="16152" max="16153" width="22.42578125" style="215" bestFit="1" customWidth="1"/>
    <col min="16154" max="16155" width="23.85546875" style="215" bestFit="1" customWidth="1"/>
    <col min="16156" max="16157" width="24.85546875" style="215" bestFit="1" customWidth="1"/>
    <col min="16158" max="16162" width="11.42578125" style="215" bestFit="1" customWidth="1"/>
    <col min="16163" max="16167" width="12.42578125" style="215" bestFit="1" customWidth="1"/>
    <col min="16168" max="16168" width="12" style="215" bestFit="1" customWidth="1"/>
    <col min="16169" max="16384" width="8.85546875" style="215"/>
  </cols>
  <sheetData>
    <row r="1" spans="2:14" ht="12.95">
      <c r="B1" s="212" t="s">
        <v>293</v>
      </c>
      <c r="C1" s="213"/>
      <c r="D1" s="214"/>
    </row>
    <row r="2" spans="2:14" ht="12.95">
      <c r="B2" s="379" t="s">
        <v>476</v>
      </c>
      <c r="C2" s="378"/>
      <c r="D2" s="381">
        <f>+EnergyDemand!F88</f>
        <v>2585.748</v>
      </c>
    </row>
    <row r="3" spans="2:14">
      <c r="B3" s="379" t="s">
        <v>108</v>
      </c>
      <c r="C3" s="217"/>
      <c r="D3" s="380">
        <f>+EnergyDemand!D69</f>
        <v>14690.26684096154</v>
      </c>
    </row>
    <row r="4" spans="2:14" ht="12.95">
      <c r="B4" s="379" t="s">
        <v>477</v>
      </c>
      <c r="C4" s="217"/>
      <c r="D4" s="382">
        <f>+EnergyDemand!E99</f>
        <v>17276.014840961539</v>
      </c>
    </row>
    <row r="5" spans="2:14">
      <c r="B5" s="216"/>
      <c r="C5" s="217"/>
      <c r="D5" s="218"/>
    </row>
    <row r="6" spans="2:14">
      <c r="B6" s="216" t="s">
        <v>478</v>
      </c>
      <c r="C6" s="217"/>
      <c r="D6" s="219">
        <f>1000*D4</f>
        <v>17276014.840961538</v>
      </c>
      <c r="F6" s="220"/>
    </row>
    <row r="7" spans="2:14">
      <c r="B7" s="216" t="s">
        <v>479</v>
      </c>
      <c r="C7" s="217"/>
      <c r="D7" s="386">
        <f>D2*500</f>
        <v>1292874</v>
      </c>
      <c r="F7" s="220"/>
    </row>
    <row r="8" spans="2:14">
      <c r="B8" s="216"/>
      <c r="C8" s="217"/>
      <c r="D8" s="218"/>
    </row>
    <row r="9" spans="2:14">
      <c r="B9" s="216" t="s">
        <v>480</v>
      </c>
      <c r="C9" s="217" t="s">
        <v>301</v>
      </c>
      <c r="D9" s="221">
        <f>D6*0.1</f>
        <v>1727601.4840961539</v>
      </c>
      <c r="F9" s="220"/>
    </row>
    <row r="10" spans="2:14">
      <c r="B10" s="216" t="s">
        <v>481</v>
      </c>
      <c r="C10" s="217" t="s">
        <v>304</v>
      </c>
      <c r="D10" s="223">
        <v>0</v>
      </c>
      <c r="F10" s="222"/>
    </row>
    <row r="11" spans="2:14">
      <c r="B11" s="216"/>
      <c r="C11" s="217"/>
      <c r="D11" s="218"/>
      <c r="F11" s="224"/>
    </row>
    <row r="12" spans="2:14">
      <c r="B12" s="216" t="s">
        <v>482</v>
      </c>
      <c r="C12" s="225" t="s">
        <v>307</v>
      </c>
      <c r="D12" s="226">
        <v>0.2</v>
      </c>
      <c r="E12" s="215" t="s">
        <v>483</v>
      </c>
    </row>
    <row r="13" spans="2:14">
      <c r="B13" s="216" t="s">
        <v>310</v>
      </c>
      <c r="C13" s="225" t="s">
        <v>307</v>
      </c>
      <c r="D13" s="227">
        <v>0.44</v>
      </c>
      <c r="E13" s="215" t="s">
        <v>308</v>
      </c>
    </row>
    <row r="14" spans="2:14">
      <c r="B14" s="216" t="s">
        <v>484</v>
      </c>
      <c r="C14" s="225"/>
      <c r="D14" s="383">
        <f>5*365</f>
        <v>1825</v>
      </c>
    </row>
    <row r="15" spans="2:14" ht="17.25" customHeight="1">
      <c r="B15" s="216" t="s">
        <v>485</v>
      </c>
      <c r="C15" s="225" t="s">
        <v>313</v>
      </c>
      <c r="D15" s="228">
        <f>12*365</f>
        <v>4380</v>
      </c>
      <c r="N15" s="229"/>
    </row>
    <row r="16" spans="2:14">
      <c r="B16" s="216"/>
      <c r="C16" s="217"/>
      <c r="D16" s="218"/>
      <c r="N16" s="229"/>
    </row>
    <row r="17" spans="2:27">
      <c r="B17" s="216" t="s">
        <v>486</v>
      </c>
      <c r="C17" s="217" t="s">
        <v>304</v>
      </c>
      <c r="D17" s="230">
        <v>0.08</v>
      </c>
      <c r="E17" s="215" t="str">
        <f>'ProgrBiogas Electricity Fin Anl'!E16</f>
        <v>Assumption based on Trimble et. al/ World Bank 2016</v>
      </c>
    </row>
    <row r="18" spans="2:27" s="232" customFormat="1" ht="12.95">
      <c r="B18" s="216" t="s">
        <v>487</v>
      </c>
      <c r="C18" s="217" t="s">
        <v>304</v>
      </c>
      <c r="D18" s="231">
        <v>0.23</v>
      </c>
      <c r="E18" s="232" t="str">
        <f>'ProgrBiogas Electricity Fin Anl'!E17</f>
        <v>Assumption based on IEA 2020 for Countries with Diesel based power systems</v>
      </c>
      <c r="O18" s="233"/>
    </row>
    <row r="19" spans="2:27">
      <c r="B19" s="216" t="s">
        <v>488</v>
      </c>
      <c r="C19" s="217"/>
      <c r="D19" s="385">
        <f>D2*(1-D12)*D14</f>
        <v>3775192.0800000005</v>
      </c>
      <c r="U19" s="234"/>
      <c r="V19" s="234"/>
      <c r="Z19" s="235"/>
    </row>
    <row r="20" spans="2:27">
      <c r="B20" s="216" t="s">
        <v>489</v>
      </c>
      <c r="C20" s="217"/>
      <c r="D20" s="384">
        <f>D3*(1-D12)*D15</f>
        <v>51474695.010729238</v>
      </c>
      <c r="E20" s="728">
        <f>D20+D19</f>
        <v>55249887.090729237</v>
      </c>
      <c r="F20" s="215">
        <f>(D20/E20)*D117</f>
        <v>-13731.389641062131</v>
      </c>
      <c r="Q20" s="236"/>
      <c r="U20" s="234"/>
      <c r="V20" s="234"/>
      <c r="Z20" s="235"/>
    </row>
    <row r="21" spans="2:27">
      <c r="B21" s="216"/>
      <c r="C21" s="217"/>
      <c r="D21" s="218"/>
      <c r="F21" s="222"/>
      <c r="U21" s="234"/>
      <c r="V21" s="234"/>
      <c r="Z21" s="235"/>
    </row>
    <row r="22" spans="2:27">
      <c r="B22" s="216" t="s">
        <v>320</v>
      </c>
      <c r="C22" s="225" t="s">
        <v>490</v>
      </c>
      <c r="D22" s="237">
        <f>'ProgrBiogas Electricity Fin Anl'!G12/1000</f>
        <v>0.46949999999999997</v>
      </c>
      <c r="E22" s="215" t="str">
        <f>'ProgrBiogas Electricity Fin Anl'!E21</f>
        <v>Average based on IFI Dataset</v>
      </c>
      <c r="U22" s="234"/>
      <c r="V22" s="234"/>
      <c r="Z22" s="235"/>
    </row>
    <row r="23" spans="2:27">
      <c r="B23" s="216" t="s">
        <v>324</v>
      </c>
      <c r="C23" s="225" t="s">
        <v>325</v>
      </c>
      <c r="D23" s="867">
        <v>7.4099999999999999E-2</v>
      </c>
      <c r="E23" s="868" t="s">
        <v>326</v>
      </c>
      <c r="U23" s="234"/>
      <c r="V23" s="234"/>
      <c r="Z23" s="235"/>
    </row>
    <row r="24" spans="2:27">
      <c r="B24" s="216" t="s">
        <v>329</v>
      </c>
      <c r="C24" s="225" t="s">
        <v>307</v>
      </c>
      <c r="D24" s="238">
        <v>0</v>
      </c>
      <c r="U24" s="234"/>
      <c r="V24" s="234"/>
      <c r="Z24" s="235"/>
    </row>
    <row r="25" spans="2:27">
      <c r="B25" s="216"/>
      <c r="C25" s="217"/>
      <c r="D25" s="218"/>
      <c r="E25" s="869">
        <f>(D19+D20)*C31</f>
        <v>198899.59352662525</v>
      </c>
      <c r="F25" s="215" t="s">
        <v>491</v>
      </c>
      <c r="U25" s="234"/>
      <c r="V25" s="234"/>
      <c r="Z25" s="235"/>
    </row>
    <row r="26" spans="2:27">
      <c r="B26" s="216"/>
      <c r="C26" s="217"/>
      <c r="D26" s="218"/>
      <c r="E26" s="869">
        <f>E25*D23</f>
        <v>14738.459880322931</v>
      </c>
      <c r="F26" s="728"/>
      <c r="U26" s="234"/>
      <c r="V26" s="234"/>
      <c r="Z26" s="235"/>
    </row>
    <row r="27" spans="2:27">
      <c r="B27" s="239" t="s">
        <v>492</v>
      </c>
      <c r="C27" s="240" t="s">
        <v>331</v>
      </c>
      <c r="D27" s="241">
        <f>D6+D7</f>
        <v>18568888.840961538</v>
      </c>
      <c r="F27" s="728"/>
      <c r="U27" s="234"/>
      <c r="V27" s="234"/>
      <c r="Z27" s="235"/>
    </row>
    <row r="28" spans="2:27">
      <c r="U28" s="234"/>
      <c r="V28" s="234"/>
      <c r="Z28" s="235"/>
    </row>
    <row r="29" spans="2:27">
      <c r="B29" s="242" t="s">
        <v>332</v>
      </c>
      <c r="C29" s="243">
        <v>1</v>
      </c>
      <c r="D29" s="244" t="s">
        <v>333</v>
      </c>
      <c r="M29" s="234"/>
      <c r="U29" s="234"/>
      <c r="V29" s="234"/>
      <c r="Z29" s="235"/>
    </row>
    <row r="30" spans="2:27">
      <c r="B30" s="245" t="s">
        <v>334</v>
      </c>
      <c r="C30" s="246">
        <v>1000</v>
      </c>
      <c r="D30" s="247" t="s">
        <v>335</v>
      </c>
      <c r="O30" s="234"/>
      <c r="P30" s="234"/>
      <c r="V30" s="234"/>
      <c r="W30" s="234"/>
      <c r="AA30" s="235"/>
    </row>
    <row r="31" spans="2:27">
      <c r="B31" s="245" t="s">
        <v>336</v>
      </c>
      <c r="C31" s="248">
        <v>3.5999999999999999E-3</v>
      </c>
      <c r="D31" s="247" t="s">
        <v>337</v>
      </c>
      <c r="O31" s="234"/>
      <c r="P31" s="234"/>
      <c r="V31" s="234"/>
      <c r="W31" s="234"/>
      <c r="AA31" s="235"/>
    </row>
    <row r="33" spans="2:4" ht="12.95">
      <c r="B33" s="887" t="s">
        <v>338</v>
      </c>
      <c r="C33" s="888"/>
      <c r="D33" s="889"/>
    </row>
    <row r="34" spans="2:4">
      <c r="B34" s="249" t="s">
        <v>339</v>
      </c>
      <c r="C34" s="250" t="s">
        <v>307</v>
      </c>
      <c r="D34" s="226">
        <v>1</v>
      </c>
    </row>
    <row r="35" spans="2:4">
      <c r="B35" s="245" t="s">
        <v>340</v>
      </c>
      <c r="C35" s="247" t="s">
        <v>307</v>
      </c>
      <c r="D35" s="238">
        <v>0</v>
      </c>
    </row>
    <row r="36" spans="2:4">
      <c r="B36" s="251" t="s">
        <v>341</v>
      </c>
      <c r="C36" s="252" t="s">
        <v>342</v>
      </c>
      <c r="D36" s="253">
        <v>25</v>
      </c>
    </row>
    <row r="37" spans="2:4">
      <c r="B37" s="245" t="s">
        <v>343</v>
      </c>
      <c r="C37" s="247" t="s">
        <v>342</v>
      </c>
      <c r="D37" s="254">
        <v>25</v>
      </c>
    </row>
    <row r="38" spans="2:4">
      <c r="B38" s="251" t="s">
        <v>344</v>
      </c>
      <c r="C38" s="252" t="s">
        <v>307</v>
      </c>
      <c r="D38" s="227">
        <v>0.14699999999999999</v>
      </c>
    </row>
    <row r="39" spans="2:4">
      <c r="B39" s="251" t="s">
        <v>493</v>
      </c>
      <c r="C39" s="252" t="s">
        <v>307</v>
      </c>
      <c r="D39" s="227">
        <f>0.0075</f>
        <v>7.4999999999999997E-3</v>
      </c>
    </row>
    <row r="40" spans="2:4">
      <c r="B40" s="251" t="s">
        <v>346</v>
      </c>
      <c r="C40" s="252" t="s">
        <v>307</v>
      </c>
      <c r="D40" s="227">
        <v>0.12</v>
      </c>
    </row>
    <row r="41" spans="2:4">
      <c r="B41" s="245" t="s">
        <v>104</v>
      </c>
      <c r="C41" s="247" t="s">
        <v>307</v>
      </c>
      <c r="D41" s="377">
        <v>0.2</v>
      </c>
    </row>
    <row r="43" spans="2:4" ht="13.5" thickBot="1">
      <c r="B43" s="890" t="s">
        <v>350</v>
      </c>
      <c r="C43" s="890"/>
      <c r="D43" s="890"/>
    </row>
    <row r="44" spans="2:4" ht="12.95" thickTop="1">
      <c r="B44" s="217" t="s">
        <v>351</v>
      </c>
      <c r="C44" s="255">
        <f>D99</f>
        <v>742755.55363846151</v>
      </c>
      <c r="D44" s="225" t="s">
        <v>331</v>
      </c>
    </row>
    <row r="45" spans="2:4">
      <c r="B45" s="217" t="s">
        <v>352</v>
      </c>
      <c r="C45" s="255">
        <f>SUM(D82:AB82)</f>
        <v>302443344.23971158</v>
      </c>
      <c r="D45" s="225" t="s">
        <v>331</v>
      </c>
    </row>
    <row r="46" spans="2:4" ht="13.5" thickBot="1">
      <c r="B46" s="256" t="s">
        <v>97</v>
      </c>
      <c r="C46" s="257">
        <f>C45+C44</f>
        <v>303186099.79335004</v>
      </c>
      <c r="D46" s="258" t="s">
        <v>331</v>
      </c>
    </row>
    <row r="47" spans="2:4">
      <c r="B47" s="217" t="s">
        <v>353</v>
      </c>
      <c r="C47" s="255">
        <f>D123</f>
        <v>-80117948.422915176</v>
      </c>
      <c r="D47" s="225" t="s">
        <v>331</v>
      </c>
    </row>
    <row r="48" spans="2:4">
      <c r="B48" s="217" t="s">
        <v>354</v>
      </c>
      <c r="C48" s="255">
        <f>D129</f>
        <v>-10797922.858908582</v>
      </c>
      <c r="D48" s="225" t="s">
        <v>331</v>
      </c>
    </row>
    <row r="49" spans="2:4" ht="13.5" thickBot="1">
      <c r="B49" s="256" t="s">
        <v>355</v>
      </c>
      <c r="C49" s="257">
        <f>C46-C47-C48</f>
        <v>394101971.0751738</v>
      </c>
      <c r="D49" s="258" t="s">
        <v>331</v>
      </c>
    </row>
    <row r="51" spans="2:4" ht="13.5" thickBot="1">
      <c r="B51" s="890" t="s">
        <v>356</v>
      </c>
      <c r="C51" s="890"/>
      <c r="D51" s="890"/>
    </row>
    <row r="52" spans="2:4" ht="12.95" thickTop="1">
      <c r="B52" s="217" t="s">
        <v>351</v>
      </c>
      <c r="C52" s="504">
        <f>C44/D79</f>
        <v>5.6883733069818562E-4</v>
      </c>
      <c r="D52" s="225" t="s">
        <v>331</v>
      </c>
    </row>
    <row r="53" spans="2:4">
      <c r="B53" s="217" t="s">
        <v>352</v>
      </c>
      <c r="C53" s="255">
        <f>C45/D79</f>
        <v>0.23162541670942727</v>
      </c>
      <c r="D53" s="225" t="s">
        <v>331</v>
      </c>
    </row>
    <row r="54" spans="2:4" ht="13.5" thickBot="1">
      <c r="B54" s="256" t="s">
        <v>97</v>
      </c>
      <c r="C54" s="257">
        <f>C53+C52</f>
        <v>0.23219425404012545</v>
      </c>
      <c r="D54" s="258" t="s">
        <v>331</v>
      </c>
    </row>
    <row r="55" spans="2:4">
      <c r="B55" s="217" t="s">
        <v>353</v>
      </c>
      <c r="C55" s="255">
        <f>C47/D79</f>
        <v>-6.135811398333791E-2</v>
      </c>
      <c r="D55" s="225" t="s">
        <v>331</v>
      </c>
    </row>
    <row r="56" spans="2:4">
      <c r="B56" s="217" t="s">
        <v>354</v>
      </c>
      <c r="C56" s="255">
        <f>C48/D79</f>
        <v>-8.2695600000000039E-3</v>
      </c>
      <c r="D56" s="225" t="s">
        <v>331</v>
      </c>
    </row>
    <row r="57" spans="2:4" ht="13.5" thickBot="1">
      <c r="B57" s="256" t="s">
        <v>355</v>
      </c>
      <c r="C57" s="257">
        <f>C54-C55-C56</f>
        <v>0.30182192802346336</v>
      </c>
      <c r="D57" s="258" t="s">
        <v>331</v>
      </c>
    </row>
    <row r="59" spans="2:4" ht="12.95">
      <c r="B59" s="887" t="s">
        <v>357</v>
      </c>
      <c r="C59" s="888"/>
      <c r="D59" s="889"/>
    </row>
    <row r="60" spans="2:4" ht="12.95">
      <c r="B60" s="242" t="s">
        <v>358</v>
      </c>
      <c r="C60" s="259" t="s">
        <v>359</v>
      </c>
      <c r="D60" s="231">
        <f>SUM(D109:AM109)/SUM(D108:AM108)</f>
        <v>0.14135811398333792</v>
      </c>
    </row>
    <row r="61" spans="2:4" ht="12.95">
      <c r="B61" s="242" t="s">
        <v>360</v>
      </c>
      <c r="C61" s="259" t="s">
        <v>359</v>
      </c>
      <c r="D61" s="231">
        <f>SUM(D110:AD110)/SUM(D108:AD108)</f>
        <v>0.1496276739833379</v>
      </c>
    </row>
    <row r="62" spans="2:4" ht="12.95">
      <c r="B62" s="242" t="s">
        <v>358</v>
      </c>
      <c r="C62" s="259" t="s">
        <v>361</v>
      </c>
      <c r="D62" s="260">
        <f>D60/$C$31</f>
        <v>39.266142773149426</v>
      </c>
    </row>
    <row r="63" spans="2:4" ht="12.95">
      <c r="B63" s="242" t="s">
        <v>362</v>
      </c>
      <c r="C63" s="259" t="s">
        <v>361</v>
      </c>
      <c r="D63" s="260">
        <f>D61/C31</f>
        <v>41.563242773149419</v>
      </c>
    </row>
    <row r="65" spans="1:39" ht="13.5" thickBot="1">
      <c r="B65" s="261" t="s">
        <v>363</v>
      </c>
      <c r="C65" s="262" t="s">
        <v>364</v>
      </c>
      <c r="D65" s="261"/>
    </row>
    <row r="66" spans="1:39" ht="12.95" thickTop="1">
      <c r="B66" s="263" t="s">
        <v>365</v>
      </c>
      <c r="C66" s="225" t="s">
        <v>331</v>
      </c>
      <c r="D66" s="264">
        <f>(D17-D60)*SUM(D78:AB78)</f>
        <v>-80117948.422915176</v>
      </c>
    </row>
    <row r="67" spans="1:39">
      <c r="B67" s="263" t="s">
        <v>366</v>
      </c>
      <c r="C67" s="225" t="s">
        <v>331</v>
      </c>
      <c r="D67" s="264">
        <f>(D18-D60)*SUM(D78:AB78)</f>
        <v>115743551.92731948</v>
      </c>
    </row>
    <row r="68" spans="1:39">
      <c r="B68" s="263" t="s">
        <v>367</v>
      </c>
      <c r="C68" s="225" t="s">
        <v>368</v>
      </c>
      <c r="D68" s="265">
        <f>D22*SUM(D78:AB78)</f>
        <v>613046496.09623444</v>
      </c>
    </row>
    <row r="69" spans="1:39">
      <c r="B69" s="263" t="s">
        <v>369</v>
      </c>
      <c r="C69" s="225" t="s">
        <v>368</v>
      </c>
      <c r="D69" s="265">
        <f>-D118</f>
        <v>348320.09222285723</v>
      </c>
    </row>
    <row r="71" spans="1:39">
      <c r="B71" s="217" t="s">
        <v>370</v>
      </c>
      <c r="C71" s="225" t="s">
        <v>371</v>
      </c>
      <c r="D71" s="265">
        <f>SUM(D78:AB78)</f>
        <v>1305743335.668231</v>
      </c>
    </row>
    <row r="72" spans="1:39">
      <c r="B72" s="217" t="s">
        <v>372</v>
      </c>
      <c r="C72" s="266" t="s">
        <v>373</v>
      </c>
      <c r="D72" s="267">
        <f>D118</f>
        <v>-348320.09222285723</v>
      </c>
    </row>
    <row r="75" spans="1:39" ht="12.95">
      <c r="B75" s="268" t="s">
        <v>67</v>
      </c>
      <c r="C75" s="269"/>
      <c r="D75" s="270" t="s">
        <v>374</v>
      </c>
      <c r="E75" s="270" t="s">
        <v>375</v>
      </c>
      <c r="F75" s="270" t="s">
        <v>376</v>
      </c>
      <c r="G75" s="270" t="s">
        <v>377</v>
      </c>
      <c r="H75" s="270" t="s">
        <v>378</v>
      </c>
      <c r="I75" s="270" t="s">
        <v>379</v>
      </c>
      <c r="J75" s="270" t="s">
        <v>380</v>
      </c>
      <c r="K75" s="270" t="s">
        <v>381</v>
      </c>
      <c r="L75" s="270" t="s">
        <v>382</v>
      </c>
      <c r="M75" s="270" t="s">
        <v>383</v>
      </c>
      <c r="N75" s="270" t="s">
        <v>384</v>
      </c>
      <c r="O75" s="270" t="s">
        <v>385</v>
      </c>
      <c r="P75" s="270" t="s">
        <v>386</v>
      </c>
      <c r="Q75" s="270" t="s">
        <v>387</v>
      </c>
      <c r="R75" s="270" t="s">
        <v>388</v>
      </c>
      <c r="S75" s="270" t="s">
        <v>389</v>
      </c>
      <c r="T75" s="270" t="s">
        <v>390</v>
      </c>
      <c r="U75" s="270" t="s">
        <v>391</v>
      </c>
      <c r="V75" s="270" t="s">
        <v>392</v>
      </c>
      <c r="W75" s="270" t="s">
        <v>393</v>
      </c>
      <c r="X75" s="270" t="s">
        <v>394</v>
      </c>
      <c r="Y75" s="270" t="s">
        <v>395</v>
      </c>
      <c r="Z75" s="270" t="s">
        <v>396</v>
      </c>
      <c r="AA75" s="270" t="s">
        <v>397</v>
      </c>
      <c r="AB75" s="270" t="s">
        <v>398</v>
      </c>
      <c r="AC75" s="270" t="s">
        <v>399</v>
      </c>
      <c r="AD75" s="270" t="s">
        <v>400</v>
      </c>
      <c r="AE75" s="270" t="s">
        <v>401</v>
      </c>
      <c r="AF75" s="270" t="s">
        <v>402</v>
      </c>
      <c r="AG75" s="270" t="s">
        <v>403</v>
      </c>
      <c r="AH75" s="270" t="s">
        <v>404</v>
      </c>
      <c r="AI75" s="270" t="s">
        <v>405</v>
      </c>
      <c r="AJ75" s="270" t="s">
        <v>406</v>
      </c>
      <c r="AK75" s="270" t="s">
        <v>407</v>
      </c>
      <c r="AL75" s="270" t="s">
        <v>408</v>
      </c>
      <c r="AM75" s="270" t="s">
        <v>409</v>
      </c>
    </row>
    <row r="76" spans="1:39">
      <c r="B76" s="271" t="s">
        <v>410</v>
      </c>
      <c r="C76" s="272"/>
      <c r="D76" s="273">
        <v>0</v>
      </c>
      <c r="E76" s="273">
        <v>1</v>
      </c>
      <c r="F76" s="273">
        <v>2</v>
      </c>
      <c r="G76" s="273">
        <v>3</v>
      </c>
      <c r="H76" s="273">
        <v>4</v>
      </c>
      <c r="I76" s="273">
        <v>5</v>
      </c>
      <c r="J76" s="273">
        <v>6</v>
      </c>
      <c r="K76" s="273">
        <v>7</v>
      </c>
      <c r="L76" s="273">
        <v>8</v>
      </c>
      <c r="M76" s="273">
        <v>9</v>
      </c>
      <c r="N76" s="273">
        <v>10</v>
      </c>
      <c r="O76" s="273">
        <v>11</v>
      </c>
      <c r="P76" s="273">
        <v>12</v>
      </c>
      <c r="Q76" s="273">
        <v>13</v>
      </c>
      <c r="R76" s="273">
        <v>14</v>
      </c>
      <c r="S76" s="273">
        <v>15</v>
      </c>
      <c r="T76" s="273">
        <v>16</v>
      </c>
      <c r="U76" s="273">
        <v>17</v>
      </c>
      <c r="V76" s="273">
        <v>18</v>
      </c>
      <c r="W76" s="273">
        <v>19</v>
      </c>
      <c r="X76" s="273">
        <v>20</v>
      </c>
      <c r="Y76" s="273">
        <v>21</v>
      </c>
      <c r="Z76" s="273">
        <v>22</v>
      </c>
      <c r="AA76" s="273">
        <v>23</v>
      </c>
      <c r="AB76" s="273">
        <v>24</v>
      </c>
      <c r="AC76" s="273">
        <v>25</v>
      </c>
      <c r="AD76" s="273">
        <v>26</v>
      </c>
      <c r="AE76" s="273">
        <v>27</v>
      </c>
      <c r="AF76" s="273">
        <v>28</v>
      </c>
      <c r="AG76" s="273">
        <v>29</v>
      </c>
      <c r="AH76" s="273">
        <v>30</v>
      </c>
      <c r="AI76" s="273">
        <v>31</v>
      </c>
      <c r="AJ76" s="273">
        <v>32</v>
      </c>
      <c r="AK76" s="273">
        <v>33</v>
      </c>
      <c r="AL76" s="273">
        <v>34</v>
      </c>
      <c r="AM76" s="274">
        <v>35</v>
      </c>
    </row>
    <row r="77" spans="1:39" ht="18" customHeight="1">
      <c r="B77" s="232"/>
      <c r="C77" s="275"/>
      <c r="D77" s="275"/>
    </row>
    <row r="78" spans="1:39">
      <c r="B78" s="276" t="s">
        <v>411</v>
      </c>
      <c r="C78" s="259" t="s">
        <v>412</v>
      </c>
      <c r="D78" s="277">
        <f>+D19+D20</f>
        <v>55249887.090729237</v>
      </c>
      <c r="E78" s="246">
        <f t="shared" ref="E78:AB78" si="0">$D$78</f>
        <v>55249887.090729237</v>
      </c>
      <c r="F78" s="246">
        <f t="shared" si="0"/>
        <v>55249887.090729237</v>
      </c>
      <c r="G78" s="246">
        <f t="shared" si="0"/>
        <v>55249887.090729237</v>
      </c>
      <c r="H78" s="246">
        <f t="shared" si="0"/>
        <v>55249887.090729237</v>
      </c>
      <c r="I78" s="246">
        <f>$D$20</f>
        <v>51474695.010729238</v>
      </c>
      <c r="J78" s="246">
        <f t="shared" ref="J78:AB78" si="1">$D$20</f>
        <v>51474695.010729238</v>
      </c>
      <c r="K78" s="246">
        <f t="shared" si="1"/>
        <v>51474695.010729238</v>
      </c>
      <c r="L78" s="246">
        <f t="shared" si="1"/>
        <v>51474695.010729238</v>
      </c>
      <c r="M78" s="246">
        <f t="shared" si="1"/>
        <v>51474695.010729238</v>
      </c>
      <c r="N78" s="246">
        <f t="shared" si="1"/>
        <v>51474695.010729238</v>
      </c>
      <c r="O78" s="246">
        <f t="shared" si="1"/>
        <v>51474695.010729238</v>
      </c>
      <c r="P78" s="246">
        <f t="shared" si="1"/>
        <v>51474695.010729238</v>
      </c>
      <c r="Q78" s="246">
        <f t="shared" si="1"/>
        <v>51474695.010729238</v>
      </c>
      <c r="R78" s="246">
        <f t="shared" si="1"/>
        <v>51474695.010729238</v>
      </c>
      <c r="S78" s="246">
        <f t="shared" si="1"/>
        <v>51474695.010729238</v>
      </c>
      <c r="T78" s="246">
        <f t="shared" si="1"/>
        <v>51474695.010729238</v>
      </c>
      <c r="U78" s="246">
        <f t="shared" si="1"/>
        <v>51474695.010729238</v>
      </c>
      <c r="V78" s="246">
        <f t="shared" si="1"/>
        <v>51474695.010729238</v>
      </c>
      <c r="W78" s="246">
        <f t="shared" si="1"/>
        <v>51474695.010729238</v>
      </c>
      <c r="X78" s="246">
        <f t="shared" si="1"/>
        <v>51474695.010729238</v>
      </c>
      <c r="Y78" s="246">
        <f t="shared" si="1"/>
        <v>51474695.010729238</v>
      </c>
      <c r="Z78" s="246">
        <f t="shared" si="1"/>
        <v>51474695.010729238</v>
      </c>
      <c r="AA78" s="246">
        <f t="shared" si="1"/>
        <v>51474695.010729238</v>
      </c>
      <c r="AB78" s="246">
        <f t="shared" si="1"/>
        <v>51474695.010729238</v>
      </c>
      <c r="AC78" s="246"/>
      <c r="AD78" s="246"/>
      <c r="AE78" s="246">
        <f>IF(AE76&lt;=$D$37,AD78*(1-'SolarPV Financial Analysis'!$D$24),0)</f>
        <v>0</v>
      </c>
      <c r="AF78" s="246">
        <f>IF(AF76&lt;=$D$37,AE78*(1-'SolarPV Financial Analysis'!$D$24),0)</f>
        <v>0</v>
      </c>
      <c r="AG78" s="246">
        <f>IF(AG76&lt;=$D$37,AF78*(1-'SolarPV Financial Analysis'!$D$24),0)</f>
        <v>0</v>
      </c>
      <c r="AH78" s="246">
        <f>IF(AH76&lt;=$D$37,AG78*(1-'SolarPV Financial Analysis'!$D$24),0)</f>
        <v>0</v>
      </c>
      <c r="AI78" s="246">
        <f>IF(AI76&lt;=$D$37,AH78*(1-'SolarPV Financial Analysis'!$D$24),0)</f>
        <v>0</v>
      </c>
      <c r="AJ78" s="246">
        <f>IF(AJ76&lt;=$D$37,AI78*(1-'SolarPV Financial Analysis'!$D$24),0)</f>
        <v>0</v>
      </c>
      <c r="AK78" s="246">
        <f>IF(AK76&lt;=$D$37,AJ78*(1-'SolarPV Financial Analysis'!$D$24),0)</f>
        <v>0</v>
      </c>
      <c r="AL78" s="246">
        <f>IF(AL76&lt;=$D$37,AK78*(1-'SolarPV Financial Analysis'!$D$24),0)</f>
        <v>0</v>
      </c>
      <c r="AM78" s="278">
        <f>IF(AM76&lt;=$D$37,AL78*(1-'SolarPV Financial Analysis'!$D$24),0)</f>
        <v>0</v>
      </c>
    </row>
    <row r="79" spans="1:39" s="281" customFormat="1">
      <c r="A79" s="215"/>
      <c r="B79" s="279" t="s">
        <v>413</v>
      </c>
      <c r="C79" s="259" t="s">
        <v>371</v>
      </c>
      <c r="D79" s="278">
        <f>SUM(D78:AB78)</f>
        <v>1305743335.668231</v>
      </c>
      <c r="E79" s="280"/>
      <c r="F79" s="280"/>
      <c r="G79" s="280"/>
      <c r="H79" s="280"/>
      <c r="I79" s="280"/>
      <c r="J79" s="280"/>
      <c r="K79" s="280"/>
      <c r="L79" s="280"/>
      <c r="M79" s="280"/>
      <c r="N79" s="280"/>
      <c r="O79" s="280"/>
      <c r="P79" s="280"/>
      <c r="Q79" s="280"/>
      <c r="R79" s="280"/>
      <c r="S79" s="280"/>
      <c r="T79" s="280"/>
      <c r="U79" s="280"/>
      <c r="V79" s="280"/>
      <c r="W79" s="280"/>
      <c r="X79" s="280"/>
      <c r="Y79" s="280"/>
      <c r="Z79" s="280"/>
      <c r="AA79" s="280"/>
      <c r="AB79" s="280"/>
      <c r="AC79" s="280"/>
      <c r="AD79" s="280"/>
      <c r="AE79" s="280"/>
      <c r="AF79" s="280"/>
      <c r="AG79" s="280"/>
      <c r="AH79" s="280"/>
      <c r="AI79" s="280"/>
      <c r="AJ79" s="280"/>
      <c r="AK79" s="280"/>
      <c r="AL79" s="280"/>
      <c r="AM79" s="280"/>
    </row>
    <row r="80" spans="1:39">
      <c r="B80" s="232"/>
      <c r="C80" s="275"/>
      <c r="D80" s="282"/>
      <c r="E80" s="282"/>
      <c r="F80" s="282"/>
      <c r="G80" s="282"/>
      <c r="H80" s="282"/>
      <c r="I80" s="282"/>
      <c r="J80" s="282"/>
      <c r="K80" s="282"/>
      <c r="L80" s="282"/>
      <c r="M80" s="282"/>
      <c r="N80" s="282"/>
      <c r="O80" s="282"/>
      <c r="P80" s="282"/>
      <c r="Q80" s="282"/>
      <c r="R80" s="282"/>
      <c r="S80" s="282"/>
      <c r="T80" s="282"/>
      <c r="U80" s="282"/>
      <c r="V80" s="282"/>
      <c r="W80" s="282"/>
      <c r="X80" s="282"/>
      <c r="Y80" s="282"/>
      <c r="Z80" s="282"/>
      <c r="AA80" s="282"/>
      <c r="AB80" s="282"/>
      <c r="AC80" s="282"/>
      <c r="AD80" s="282"/>
      <c r="AE80" s="282"/>
      <c r="AF80" s="282"/>
      <c r="AG80" s="282"/>
      <c r="AH80" s="282"/>
      <c r="AI80" s="282"/>
      <c r="AJ80" s="282"/>
      <c r="AK80" s="282"/>
      <c r="AL80" s="282"/>
      <c r="AM80" s="282"/>
    </row>
    <row r="81" spans="2:39" ht="12.95">
      <c r="B81" s="283" t="s">
        <v>414</v>
      </c>
      <c r="C81" s="284" t="s">
        <v>364</v>
      </c>
      <c r="D81" s="275"/>
      <c r="E81" s="285"/>
      <c r="F81" s="285"/>
      <c r="G81" s="285"/>
      <c r="H81" s="285"/>
      <c r="I81" s="285"/>
      <c r="J81" s="285"/>
      <c r="K81" s="285"/>
      <c r="L81" s="285"/>
      <c r="M81" s="285"/>
      <c r="N81" s="285"/>
      <c r="O81" s="285"/>
      <c r="P81" s="285"/>
      <c r="Q81" s="285"/>
      <c r="R81" s="285"/>
      <c r="S81" s="285"/>
      <c r="T81" s="285"/>
      <c r="U81" s="285"/>
      <c r="V81" s="285"/>
      <c r="W81" s="285"/>
      <c r="X81" s="285"/>
      <c r="Y81" s="285"/>
      <c r="Z81" s="285"/>
      <c r="AA81" s="285"/>
      <c r="AB81" s="285"/>
      <c r="AC81" s="285"/>
      <c r="AD81" s="285"/>
      <c r="AE81" s="285"/>
      <c r="AF81" s="285"/>
      <c r="AG81" s="285"/>
      <c r="AH81" s="285"/>
      <c r="AI81" s="285"/>
      <c r="AJ81" s="285"/>
      <c r="AK81" s="285"/>
      <c r="AL81" s="285"/>
      <c r="AM81" s="285"/>
    </row>
    <row r="82" spans="2:39">
      <c r="B82" s="286" t="s">
        <v>494</v>
      </c>
      <c r="C82" s="287" t="s">
        <v>417</v>
      </c>
      <c r="D82" s="288">
        <f>D9</f>
        <v>1727601.4840961539</v>
      </c>
      <c r="E82" s="289">
        <f t="shared" ref="E82:AB82" si="2">$D$82</f>
        <v>1727601.4840961539</v>
      </c>
      <c r="F82" s="289">
        <f t="shared" si="2"/>
        <v>1727601.4840961539</v>
      </c>
      <c r="G82" s="289">
        <f t="shared" si="2"/>
        <v>1727601.4840961539</v>
      </c>
      <c r="H82" s="289">
        <f t="shared" si="2"/>
        <v>1727601.4840961539</v>
      </c>
      <c r="I82" s="289">
        <f>$D$3*1000</f>
        <v>14690266.84096154</v>
      </c>
      <c r="J82" s="289">
        <f t="shared" ref="J82:AB82" si="3">$D$3*1000</f>
        <v>14690266.84096154</v>
      </c>
      <c r="K82" s="289">
        <f t="shared" si="3"/>
        <v>14690266.84096154</v>
      </c>
      <c r="L82" s="289">
        <f t="shared" si="3"/>
        <v>14690266.84096154</v>
      </c>
      <c r="M82" s="289">
        <f t="shared" si="3"/>
        <v>14690266.84096154</v>
      </c>
      <c r="N82" s="289">
        <f t="shared" si="3"/>
        <v>14690266.84096154</v>
      </c>
      <c r="O82" s="289">
        <f t="shared" si="3"/>
        <v>14690266.84096154</v>
      </c>
      <c r="P82" s="289">
        <f t="shared" si="3"/>
        <v>14690266.84096154</v>
      </c>
      <c r="Q82" s="289">
        <f t="shared" si="3"/>
        <v>14690266.84096154</v>
      </c>
      <c r="R82" s="289">
        <f t="shared" si="3"/>
        <v>14690266.84096154</v>
      </c>
      <c r="S82" s="289">
        <f t="shared" si="3"/>
        <v>14690266.84096154</v>
      </c>
      <c r="T82" s="289">
        <f t="shared" si="3"/>
        <v>14690266.84096154</v>
      </c>
      <c r="U82" s="289">
        <f t="shared" si="3"/>
        <v>14690266.84096154</v>
      </c>
      <c r="V82" s="289">
        <f t="shared" si="3"/>
        <v>14690266.84096154</v>
      </c>
      <c r="W82" s="289">
        <f t="shared" si="3"/>
        <v>14690266.84096154</v>
      </c>
      <c r="X82" s="289">
        <f t="shared" si="3"/>
        <v>14690266.84096154</v>
      </c>
      <c r="Y82" s="289">
        <f t="shared" si="3"/>
        <v>14690266.84096154</v>
      </c>
      <c r="Z82" s="289">
        <f t="shared" si="3"/>
        <v>14690266.84096154</v>
      </c>
      <c r="AA82" s="289">
        <f t="shared" si="3"/>
        <v>14690266.84096154</v>
      </c>
      <c r="AB82" s="289">
        <f t="shared" si="3"/>
        <v>14690266.84096154</v>
      </c>
      <c r="AC82" s="289"/>
      <c r="AD82" s="289"/>
      <c r="AE82" s="289">
        <f>IF(AE76&lt;=$D$37,$D$9*$D$4*(1+#REF!)^(AE76-1),0)</f>
        <v>0</v>
      </c>
      <c r="AF82" s="289">
        <f>IF(AF76&lt;=$D$37,$D$9*$D$4*(1+#REF!)^(AF76-1),0)</f>
        <v>0</v>
      </c>
      <c r="AG82" s="289">
        <f>IF(AG76&lt;=$D$37,$D$9*$D$4*(1+#REF!)^(AG76-1),0)</f>
        <v>0</v>
      </c>
      <c r="AH82" s="289">
        <f>IF(AH76&lt;=$D$37,$D$9*$D$4*(1+#REF!)^(AH76-1),0)</f>
        <v>0</v>
      </c>
      <c r="AI82" s="289">
        <f>IF(AI76&lt;=$D$37,$D$9*$D$4*(1+#REF!)^(AI76-1),0)</f>
        <v>0</v>
      </c>
      <c r="AJ82" s="289">
        <f>IF(AJ76&lt;=$D$37,$D$9*$D$4*(1+#REF!)^(AJ76-1),0)</f>
        <v>0</v>
      </c>
      <c r="AK82" s="289">
        <f>IF(AK76&lt;=$D$37,$D$9*$D$4*(1+#REF!)^(AK76-1),0)</f>
        <v>0</v>
      </c>
      <c r="AL82" s="289">
        <f>IF(AL76&lt;=$D$37,$D$9*$D$4*(1+#REF!)^(AL76-1),0)</f>
        <v>0</v>
      </c>
      <c r="AM82" s="290">
        <f>IF(AM76&lt;=$D$37,$D$9*$D$4*(1+#REF!)^(AM76-1),0)</f>
        <v>0</v>
      </c>
    </row>
    <row r="83" spans="2:39">
      <c r="B83" s="294" t="s">
        <v>419</v>
      </c>
      <c r="C83" s="295" t="s">
        <v>417</v>
      </c>
      <c r="D83" s="296">
        <f>0</f>
        <v>0</v>
      </c>
      <c r="E83" s="297">
        <f>0</f>
        <v>0</v>
      </c>
      <c r="F83" s="297">
        <f>0</f>
        <v>0</v>
      </c>
      <c r="G83" s="297">
        <f>0</f>
        <v>0</v>
      </c>
      <c r="H83" s="297">
        <f>0</f>
        <v>0</v>
      </c>
      <c r="I83" s="297">
        <f>0</f>
        <v>0</v>
      </c>
      <c r="J83" s="297">
        <f>0</f>
        <v>0</v>
      </c>
      <c r="K83" s="297">
        <f>0</f>
        <v>0</v>
      </c>
      <c r="L83" s="297">
        <f>0</f>
        <v>0</v>
      </c>
      <c r="M83" s="297">
        <f>0</f>
        <v>0</v>
      </c>
      <c r="N83" s="297">
        <f>0</f>
        <v>0</v>
      </c>
      <c r="O83" s="297">
        <f>0</f>
        <v>0</v>
      </c>
      <c r="P83" s="297">
        <f>0</f>
        <v>0</v>
      </c>
      <c r="Q83" s="297">
        <f>0</f>
        <v>0</v>
      </c>
      <c r="R83" s="297">
        <f>0</f>
        <v>0</v>
      </c>
      <c r="S83" s="297">
        <f>0</f>
        <v>0</v>
      </c>
      <c r="T83" s="297">
        <f>0</f>
        <v>0</v>
      </c>
      <c r="U83" s="297">
        <f>0</f>
        <v>0</v>
      </c>
      <c r="V83" s="297">
        <f>0</f>
        <v>0</v>
      </c>
      <c r="W83" s="297">
        <f>0</f>
        <v>0</v>
      </c>
      <c r="X83" s="297">
        <f>0</f>
        <v>0</v>
      </c>
      <c r="Y83" s="297">
        <f>0</f>
        <v>0</v>
      </c>
      <c r="Z83" s="297">
        <f>0</f>
        <v>0</v>
      </c>
      <c r="AA83" s="297">
        <f>0</f>
        <v>0</v>
      </c>
      <c r="AB83" s="297">
        <f>0</f>
        <v>0</v>
      </c>
      <c r="AC83" s="297">
        <f>0</f>
        <v>0</v>
      </c>
      <c r="AD83" s="297">
        <f>0</f>
        <v>0</v>
      </c>
      <c r="AE83" s="297">
        <f>0</f>
        <v>0</v>
      </c>
      <c r="AF83" s="297">
        <f>0</f>
        <v>0</v>
      </c>
      <c r="AG83" s="297">
        <f>0</f>
        <v>0</v>
      </c>
      <c r="AH83" s="297">
        <f>0</f>
        <v>0</v>
      </c>
      <c r="AI83" s="297">
        <f>0</f>
        <v>0</v>
      </c>
      <c r="AJ83" s="297">
        <f>0</f>
        <v>0</v>
      </c>
      <c r="AK83" s="297">
        <f>0</f>
        <v>0</v>
      </c>
      <c r="AL83" s="297">
        <f>0</f>
        <v>0</v>
      </c>
      <c r="AM83" s="298">
        <f>0</f>
        <v>0</v>
      </c>
    </row>
    <row r="84" spans="2:39" ht="12.95">
      <c r="B84" s="299" t="s">
        <v>420</v>
      </c>
      <c r="C84" s="300" t="s">
        <v>417</v>
      </c>
      <c r="D84" s="301">
        <f t="shared" ref="D84:AM84" si="4">IF(D76&lt;=$D$37,SUM(D82:D82),0)</f>
        <v>1727601.4840961539</v>
      </c>
      <c r="E84" s="302">
        <f t="shared" si="4"/>
        <v>1727601.4840961539</v>
      </c>
      <c r="F84" s="302">
        <f t="shared" si="4"/>
        <v>1727601.4840961539</v>
      </c>
      <c r="G84" s="302">
        <f t="shared" si="4"/>
        <v>1727601.4840961539</v>
      </c>
      <c r="H84" s="302">
        <f t="shared" si="4"/>
        <v>1727601.4840961539</v>
      </c>
      <c r="I84" s="302">
        <f t="shared" si="4"/>
        <v>14690266.84096154</v>
      </c>
      <c r="J84" s="302">
        <f t="shared" si="4"/>
        <v>14690266.84096154</v>
      </c>
      <c r="K84" s="302">
        <f t="shared" si="4"/>
        <v>14690266.84096154</v>
      </c>
      <c r="L84" s="302">
        <f t="shared" si="4"/>
        <v>14690266.84096154</v>
      </c>
      <c r="M84" s="302">
        <f t="shared" si="4"/>
        <v>14690266.84096154</v>
      </c>
      <c r="N84" s="302">
        <f t="shared" si="4"/>
        <v>14690266.84096154</v>
      </c>
      <c r="O84" s="302">
        <f t="shared" si="4"/>
        <v>14690266.84096154</v>
      </c>
      <c r="P84" s="302">
        <f t="shared" si="4"/>
        <v>14690266.84096154</v>
      </c>
      <c r="Q84" s="302">
        <f t="shared" si="4"/>
        <v>14690266.84096154</v>
      </c>
      <c r="R84" s="302">
        <f t="shared" si="4"/>
        <v>14690266.84096154</v>
      </c>
      <c r="S84" s="302">
        <f t="shared" si="4"/>
        <v>14690266.84096154</v>
      </c>
      <c r="T84" s="302">
        <f t="shared" si="4"/>
        <v>14690266.84096154</v>
      </c>
      <c r="U84" s="302">
        <f t="shared" si="4"/>
        <v>14690266.84096154</v>
      </c>
      <c r="V84" s="302">
        <f t="shared" si="4"/>
        <v>14690266.84096154</v>
      </c>
      <c r="W84" s="302">
        <f t="shared" si="4"/>
        <v>14690266.84096154</v>
      </c>
      <c r="X84" s="302">
        <f t="shared" si="4"/>
        <v>14690266.84096154</v>
      </c>
      <c r="Y84" s="302">
        <f t="shared" si="4"/>
        <v>14690266.84096154</v>
      </c>
      <c r="Z84" s="302">
        <f t="shared" si="4"/>
        <v>14690266.84096154</v>
      </c>
      <c r="AA84" s="302">
        <f t="shared" si="4"/>
        <v>14690266.84096154</v>
      </c>
      <c r="AB84" s="302">
        <f t="shared" si="4"/>
        <v>14690266.84096154</v>
      </c>
      <c r="AC84" s="302">
        <f t="shared" si="4"/>
        <v>0</v>
      </c>
      <c r="AD84" s="302">
        <f t="shared" si="4"/>
        <v>0</v>
      </c>
      <c r="AE84" s="302">
        <f t="shared" si="4"/>
        <v>0</v>
      </c>
      <c r="AF84" s="302">
        <f t="shared" si="4"/>
        <v>0</v>
      </c>
      <c r="AG84" s="302">
        <f t="shared" si="4"/>
        <v>0</v>
      </c>
      <c r="AH84" s="302">
        <f t="shared" si="4"/>
        <v>0</v>
      </c>
      <c r="AI84" s="302">
        <f t="shared" si="4"/>
        <v>0</v>
      </c>
      <c r="AJ84" s="302">
        <f t="shared" si="4"/>
        <v>0</v>
      </c>
      <c r="AK84" s="302">
        <f t="shared" si="4"/>
        <v>0</v>
      </c>
      <c r="AL84" s="302">
        <f t="shared" si="4"/>
        <v>0</v>
      </c>
      <c r="AM84" s="303">
        <f t="shared" si="4"/>
        <v>0</v>
      </c>
    </row>
    <row r="85" spans="2:39" ht="12.95">
      <c r="B85" s="233"/>
      <c r="C85" s="304"/>
      <c r="D85" s="304"/>
      <c r="E85" s="305"/>
      <c r="F85" s="305"/>
      <c r="G85" s="305"/>
      <c r="H85" s="305"/>
      <c r="I85" s="305"/>
      <c r="J85" s="305"/>
      <c r="K85" s="305"/>
      <c r="L85" s="305"/>
      <c r="M85" s="305"/>
      <c r="N85" s="305"/>
      <c r="O85" s="305"/>
      <c r="P85" s="305"/>
      <c r="Q85" s="305"/>
      <c r="R85" s="305"/>
      <c r="S85" s="305"/>
      <c r="T85" s="305"/>
      <c r="U85" s="305"/>
      <c r="V85" s="305"/>
      <c r="W85" s="305"/>
      <c r="X85" s="305"/>
      <c r="Y85" s="305"/>
      <c r="Z85" s="305"/>
      <c r="AA85" s="305"/>
      <c r="AB85" s="305"/>
      <c r="AC85" s="305"/>
      <c r="AD85" s="305"/>
      <c r="AE85" s="305"/>
      <c r="AF85" s="305"/>
      <c r="AG85" s="305"/>
      <c r="AH85" s="305"/>
      <c r="AI85" s="305"/>
      <c r="AJ85" s="305"/>
      <c r="AK85" s="305"/>
      <c r="AL85" s="305"/>
      <c r="AM85" s="305"/>
    </row>
    <row r="86" spans="2:39" ht="12.95">
      <c r="B86" s="233"/>
      <c r="C86" s="304"/>
      <c r="D86" s="304"/>
      <c r="E86" s="305"/>
      <c r="F86" s="305"/>
      <c r="G86" s="305"/>
      <c r="H86" s="305"/>
      <c r="I86" s="305"/>
      <c r="J86" s="305"/>
      <c r="K86" s="305"/>
      <c r="L86" s="305"/>
      <c r="M86" s="305"/>
      <c r="N86" s="305"/>
      <c r="O86" s="305"/>
      <c r="P86" s="305"/>
      <c r="Q86" s="305"/>
      <c r="R86" s="305"/>
      <c r="S86" s="305"/>
      <c r="T86" s="305"/>
      <c r="U86" s="305"/>
      <c r="V86" s="305"/>
      <c r="W86" s="305"/>
      <c r="X86" s="305"/>
      <c r="Y86" s="305"/>
      <c r="Z86" s="305"/>
      <c r="AA86" s="305"/>
      <c r="AB86" s="305"/>
      <c r="AC86" s="305"/>
      <c r="AD86" s="305"/>
      <c r="AE86" s="305"/>
      <c r="AF86" s="305"/>
      <c r="AG86" s="305"/>
      <c r="AH86" s="305"/>
      <c r="AI86" s="305"/>
      <c r="AJ86" s="305"/>
      <c r="AK86" s="305"/>
      <c r="AL86" s="305"/>
      <c r="AM86" s="305"/>
    </row>
    <row r="87" spans="2:39" ht="12.95">
      <c r="B87" s="283" t="s">
        <v>421</v>
      </c>
      <c r="C87" s="284" t="s">
        <v>364</v>
      </c>
      <c r="D87" s="304"/>
      <c r="E87" s="305"/>
      <c r="F87" s="305"/>
      <c r="G87" s="305"/>
      <c r="H87" s="305"/>
      <c r="I87" s="305"/>
      <c r="J87" s="305"/>
      <c r="K87" s="305"/>
      <c r="L87" s="305"/>
      <c r="M87" s="305"/>
      <c r="N87" s="305"/>
      <c r="O87" s="305"/>
      <c r="P87" s="305"/>
      <c r="Q87" s="305"/>
      <c r="R87" s="305"/>
      <c r="S87" s="305"/>
      <c r="T87" s="305"/>
      <c r="U87" s="305"/>
      <c r="V87" s="305"/>
      <c r="W87" s="305"/>
      <c r="X87" s="305"/>
      <c r="Y87" s="305"/>
      <c r="Z87" s="305"/>
      <c r="AA87" s="305"/>
      <c r="AB87" s="305"/>
      <c r="AC87" s="305"/>
      <c r="AD87" s="305"/>
      <c r="AE87" s="305"/>
      <c r="AF87" s="305"/>
      <c r="AG87" s="305"/>
      <c r="AH87" s="305"/>
      <c r="AI87" s="305"/>
      <c r="AJ87" s="305"/>
      <c r="AK87" s="305"/>
      <c r="AL87" s="305"/>
      <c r="AM87" s="305"/>
    </row>
    <row r="88" spans="2:39" ht="12.95">
      <c r="B88" s="286" t="s">
        <v>494</v>
      </c>
      <c r="C88" s="287" t="s">
        <v>331</v>
      </c>
      <c r="D88" s="306">
        <f>SUM(D82:AB82)</f>
        <v>302443344.23971158</v>
      </c>
      <c r="E88" s="305"/>
      <c r="F88" s="305"/>
      <c r="G88" s="305"/>
      <c r="H88" s="305"/>
      <c r="I88" s="305"/>
      <c r="J88" s="305"/>
      <c r="K88" s="305"/>
      <c r="L88" s="305"/>
      <c r="M88" s="305"/>
      <c r="N88" s="305"/>
      <c r="O88" s="305"/>
      <c r="P88" s="305"/>
      <c r="Q88" s="305"/>
      <c r="R88" s="305"/>
      <c r="S88" s="305"/>
      <c r="T88" s="305"/>
      <c r="U88" s="305"/>
      <c r="V88" s="305"/>
      <c r="W88" s="305"/>
      <c r="X88" s="305"/>
      <c r="Y88" s="305"/>
      <c r="Z88" s="305"/>
      <c r="AA88" s="305"/>
      <c r="AB88" s="305"/>
      <c r="AC88" s="305"/>
      <c r="AD88" s="305"/>
      <c r="AE88" s="305"/>
      <c r="AF88" s="305"/>
      <c r="AG88" s="305"/>
      <c r="AH88" s="305"/>
      <c r="AI88" s="305"/>
      <c r="AJ88" s="305"/>
      <c r="AK88" s="305"/>
      <c r="AL88" s="305"/>
      <c r="AM88" s="305"/>
    </row>
    <row r="89" spans="2:39" ht="12.95">
      <c r="B89" s="294" t="s">
        <v>481</v>
      </c>
      <c r="C89" s="295" t="s">
        <v>331</v>
      </c>
      <c r="D89" s="307">
        <v>0</v>
      </c>
      <c r="E89" s="305"/>
      <c r="F89" s="305"/>
      <c r="G89" s="305"/>
      <c r="H89" s="305"/>
      <c r="I89" s="305"/>
      <c r="J89" s="305"/>
      <c r="K89" s="305"/>
      <c r="L89" s="305"/>
      <c r="M89" s="305"/>
      <c r="N89" s="305"/>
      <c r="O89" s="305"/>
      <c r="P89" s="305"/>
      <c r="Q89" s="305"/>
      <c r="R89" s="305"/>
      <c r="S89" s="305"/>
      <c r="T89" s="305"/>
      <c r="U89" s="305"/>
      <c r="V89" s="305"/>
      <c r="W89" s="305"/>
      <c r="X89" s="305"/>
      <c r="Y89" s="305"/>
      <c r="Z89" s="305"/>
      <c r="AA89" s="305"/>
      <c r="AB89" s="305"/>
      <c r="AC89" s="305"/>
      <c r="AD89" s="305"/>
      <c r="AE89" s="305"/>
      <c r="AF89" s="305"/>
      <c r="AG89" s="305"/>
      <c r="AH89" s="305"/>
      <c r="AI89" s="305"/>
      <c r="AJ89" s="305"/>
      <c r="AK89" s="305"/>
      <c r="AL89" s="305"/>
      <c r="AM89" s="305"/>
    </row>
    <row r="90" spans="2:39" ht="12.95">
      <c r="B90" s="308" t="s">
        <v>423</v>
      </c>
      <c r="C90" s="300" t="s">
        <v>331</v>
      </c>
      <c r="D90" s="309">
        <f>SUM(D88:D89)</f>
        <v>302443344.23971158</v>
      </c>
      <c r="E90" s="305"/>
      <c r="F90" s="305"/>
      <c r="G90" s="305"/>
      <c r="H90" s="305"/>
      <c r="I90" s="305"/>
      <c r="J90" s="305"/>
      <c r="K90" s="305"/>
      <c r="L90" s="305"/>
      <c r="M90" s="305"/>
      <c r="N90" s="305"/>
      <c r="O90" s="305"/>
      <c r="P90" s="305"/>
      <c r="Q90" s="305"/>
      <c r="R90" s="305"/>
      <c r="S90" s="305"/>
      <c r="T90" s="305"/>
      <c r="U90" s="305"/>
      <c r="V90" s="305"/>
      <c r="W90" s="305"/>
      <c r="X90" s="305"/>
      <c r="Y90" s="305"/>
      <c r="Z90" s="305"/>
      <c r="AA90" s="305"/>
      <c r="AB90" s="305"/>
      <c r="AC90" s="305"/>
      <c r="AD90" s="305"/>
      <c r="AE90" s="305"/>
      <c r="AF90" s="305"/>
      <c r="AG90" s="305"/>
      <c r="AH90" s="305"/>
      <c r="AI90" s="305"/>
      <c r="AJ90" s="305"/>
      <c r="AK90" s="305"/>
      <c r="AL90" s="305"/>
      <c r="AM90" s="305"/>
    </row>
    <row r="91" spans="2:39">
      <c r="B91" s="232"/>
      <c r="C91" s="275"/>
      <c r="D91" s="275"/>
      <c r="E91" s="285"/>
      <c r="F91" s="285"/>
      <c r="G91" s="285"/>
      <c r="H91" s="285"/>
      <c r="I91" s="285"/>
      <c r="J91" s="285"/>
      <c r="K91" s="285"/>
      <c r="L91" s="285"/>
      <c r="M91" s="285"/>
      <c r="N91" s="285"/>
      <c r="O91" s="285"/>
      <c r="P91" s="285"/>
      <c r="Q91" s="285"/>
      <c r="R91" s="285"/>
      <c r="S91" s="285"/>
      <c r="T91" s="285"/>
      <c r="U91" s="285"/>
      <c r="V91" s="285"/>
      <c r="W91" s="285"/>
      <c r="X91" s="285"/>
      <c r="Y91" s="285"/>
      <c r="Z91" s="285"/>
      <c r="AA91" s="285"/>
      <c r="AB91" s="285"/>
      <c r="AC91" s="285"/>
      <c r="AD91" s="285"/>
      <c r="AE91" s="285"/>
      <c r="AF91" s="285"/>
      <c r="AG91" s="285"/>
      <c r="AH91" s="285"/>
      <c r="AI91" s="285"/>
      <c r="AJ91" s="285"/>
      <c r="AK91" s="285"/>
      <c r="AL91" s="285"/>
      <c r="AM91" s="285"/>
    </row>
    <row r="92" spans="2:39" ht="12.95">
      <c r="B92" s="283" t="s">
        <v>424</v>
      </c>
      <c r="C92" s="284" t="s">
        <v>364</v>
      </c>
      <c r="D92" s="310">
        <v>1</v>
      </c>
      <c r="E92" s="273">
        <v>2</v>
      </c>
      <c r="F92" s="273">
        <v>3</v>
      </c>
      <c r="G92" s="273">
        <v>4</v>
      </c>
      <c r="H92" s="273">
        <v>5</v>
      </c>
      <c r="I92" s="273">
        <v>6</v>
      </c>
      <c r="J92" s="273">
        <v>7</v>
      </c>
      <c r="K92" s="273">
        <v>8</v>
      </c>
      <c r="L92" s="273">
        <v>9</v>
      </c>
      <c r="M92" s="311">
        <v>10</v>
      </c>
      <c r="N92" s="311"/>
      <c r="O92" s="311"/>
      <c r="P92" s="311"/>
      <c r="Q92" s="311"/>
      <c r="R92" s="311"/>
      <c r="S92" s="285"/>
      <c r="T92" s="285"/>
      <c r="U92" s="285"/>
      <c r="V92" s="285"/>
      <c r="W92" s="285"/>
      <c r="X92" s="285"/>
      <c r="Y92" s="285"/>
      <c r="Z92" s="285"/>
      <c r="AA92" s="285"/>
      <c r="AB92" s="285"/>
      <c r="AC92" s="285"/>
      <c r="AD92" s="285"/>
      <c r="AE92" s="285"/>
      <c r="AF92" s="285"/>
      <c r="AG92" s="285"/>
      <c r="AH92" s="285"/>
      <c r="AI92" s="285"/>
      <c r="AJ92" s="285"/>
      <c r="AK92" s="285"/>
      <c r="AL92" s="285"/>
      <c r="AM92" s="285"/>
    </row>
    <row r="93" spans="2:39" ht="12.95">
      <c r="B93" s="283" t="s">
        <v>425</v>
      </c>
      <c r="C93" s="312" t="s">
        <v>67</v>
      </c>
      <c r="D93" s="313">
        <v>1</v>
      </c>
      <c r="E93" s="285"/>
      <c r="F93" s="285"/>
      <c r="G93" s="285"/>
      <c r="H93" s="285"/>
      <c r="I93" s="285"/>
      <c r="J93" s="285"/>
      <c r="K93" s="285"/>
      <c r="L93" s="285"/>
      <c r="M93" s="314"/>
      <c r="N93" s="314"/>
      <c r="O93" s="314"/>
      <c r="P93" s="314"/>
      <c r="Q93" s="314"/>
      <c r="R93" s="314"/>
      <c r="S93" s="285"/>
      <c r="T93" s="285"/>
      <c r="U93" s="285"/>
      <c r="V93" s="285"/>
      <c r="W93" s="285"/>
      <c r="X93" s="285"/>
      <c r="Y93" s="285"/>
      <c r="Z93" s="285"/>
      <c r="AA93" s="285"/>
      <c r="AB93" s="285"/>
      <c r="AC93" s="285"/>
      <c r="AD93" s="285"/>
      <c r="AE93" s="285"/>
      <c r="AF93" s="285"/>
      <c r="AG93" s="285"/>
      <c r="AH93" s="285"/>
      <c r="AI93" s="285"/>
      <c r="AJ93" s="285"/>
      <c r="AK93" s="285"/>
      <c r="AL93" s="285"/>
      <c r="AM93" s="285"/>
    </row>
    <row r="94" spans="2:39">
      <c r="B94" s="276" t="s">
        <v>495</v>
      </c>
      <c r="C94" s="315" t="s">
        <v>417</v>
      </c>
      <c r="D94" s="316">
        <f>IF($D$93&gt;=D92,$D$27/$D$93,0)</f>
        <v>18568888.840961538</v>
      </c>
      <c r="E94" s="317">
        <f t="shared" ref="E94:M94" si="5">IF($D$93&gt;=E92,$D$27/$D$93,0)</f>
        <v>0</v>
      </c>
      <c r="F94" s="317">
        <f t="shared" si="5"/>
        <v>0</v>
      </c>
      <c r="G94" s="317">
        <f t="shared" si="5"/>
        <v>0</v>
      </c>
      <c r="H94" s="317">
        <f t="shared" si="5"/>
        <v>0</v>
      </c>
      <c r="I94" s="317">
        <f t="shared" si="5"/>
        <v>0</v>
      </c>
      <c r="J94" s="317">
        <f t="shared" si="5"/>
        <v>0</v>
      </c>
      <c r="K94" s="317">
        <f t="shared" si="5"/>
        <v>0</v>
      </c>
      <c r="L94" s="317">
        <f t="shared" si="5"/>
        <v>0</v>
      </c>
      <c r="M94" s="318">
        <f t="shared" si="5"/>
        <v>0</v>
      </c>
      <c r="N94" s="318"/>
      <c r="O94" s="318"/>
      <c r="P94" s="318"/>
      <c r="Q94" s="318"/>
      <c r="R94" s="318"/>
      <c r="S94" s="285"/>
      <c r="T94" s="285"/>
      <c r="U94" s="285"/>
      <c r="V94" s="285"/>
      <c r="W94" s="285"/>
      <c r="X94" s="285"/>
      <c r="Y94" s="285"/>
      <c r="Z94" s="285"/>
      <c r="AA94" s="285"/>
      <c r="AB94" s="285"/>
      <c r="AC94" s="285"/>
      <c r="AD94" s="285"/>
      <c r="AE94" s="285"/>
      <c r="AF94" s="285"/>
      <c r="AG94" s="285"/>
      <c r="AH94" s="285"/>
      <c r="AI94" s="285"/>
      <c r="AJ94" s="285"/>
      <c r="AK94" s="285"/>
      <c r="AL94" s="285"/>
      <c r="AM94" s="285"/>
    </row>
    <row r="95" spans="2:39">
      <c r="B95" s="232"/>
      <c r="C95" s="275"/>
      <c r="D95" s="275"/>
      <c r="E95" s="285"/>
      <c r="F95" s="285"/>
      <c r="G95" s="285"/>
      <c r="H95" s="285"/>
      <c r="I95" s="285"/>
      <c r="J95" s="285"/>
      <c r="K95" s="285"/>
      <c r="L95" s="285"/>
      <c r="M95" s="285"/>
      <c r="N95" s="285"/>
      <c r="O95" s="285"/>
      <c r="P95" s="285"/>
      <c r="Q95" s="285"/>
      <c r="R95" s="285"/>
      <c r="S95" s="285"/>
      <c r="T95" s="285"/>
      <c r="U95" s="285"/>
      <c r="V95" s="285"/>
      <c r="W95" s="285"/>
      <c r="X95" s="285"/>
      <c r="Y95" s="285"/>
      <c r="Z95" s="285"/>
      <c r="AA95" s="285"/>
      <c r="AB95" s="285"/>
      <c r="AC95" s="285"/>
      <c r="AD95" s="285"/>
      <c r="AE95" s="285"/>
      <c r="AF95" s="285"/>
      <c r="AG95" s="285"/>
      <c r="AH95" s="285"/>
      <c r="AI95" s="285"/>
      <c r="AJ95" s="285"/>
      <c r="AK95" s="285"/>
      <c r="AL95" s="285"/>
      <c r="AM95" s="285"/>
    </row>
    <row r="96" spans="2:39" ht="12.95">
      <c r="B96" s="283" t="s">
        <v>427</v>
      </c>
      <c r="C96" s="312" t="s">
        <v>364</v>
      </c>
      <c r="D96" s="275"/>
      <c r="E96" s="285"/>
      <c r="F96" s="285"/>
      <c r="G96" s="285"/>
      <c r="H96" s="285"/>
      <c r="I96" s="285"/>
      <c r="J96" s="285"/>
      <c r="K96" s="285"/>
      <c r="L96" s="285"/>
      <c r="M96" s="285"/>
      <c r="N96" s="285"/>
      <c r="O96" s="285"/>
      <c r="P96" s="285"/>
      <c r="Q96" s="285"/>
      <c r="R96" s="285"/>
      <c r="S96" s="285"/>
      <c r="T96" s="285"/>
      <c r="U96" s="285"/>
      <c r="V96" s="285"/>
      <c r="W96" s="285"/>
      <c r="X96" s="285"/>
      <c r="Y96" s="285"/>
      <c r="Z96" s="285"/>
      <c r="AA96" s="285"/>
      <c r="AB96" s="285"/>
      <c r="AC96" s="285"/>
      <c r="AD96" s="285"/>
      <c r="AE96" s="285"/>
      <c r="AF96" s="285"/>
      <c r="AG96" s="285"/>
      <c r="AH96" s="285"/>
      <c r="AI96" s="285"/>
      <c r="AJ96" s="285"/>
      <c r="AK96" s="285"/>
      <c r="AL96" s="285"/>
      <c r="AM96" s="285"/>
    </row>
    <row r="97" spans="2:39">
      <c r="B97" s="286" t="s">
        <v>428</v>
      </c>
      <c r="C97" s="292" t="s">
        <v>417</v>
      </c>
      <c r="D97" s="288"/>
      <c r="E97" s="289">
        <f>IF(E76&lt;=$D$36,-IPMT($D$35,E76,$D$36,'SolarPV Financial Analysis'!$D$27*$D$34),0)</f>
        <v>0</v>
      </c>
      <c r="F97" s="289">
        <f>IF(F76&lt;=$D$36,-IPMT($D$35,F76,$D$36,'SolarPV Financial Analysis'!$D$27*$D$34),0)</f>
        <v>0</v>
      </c>
      <c r="G97" s="289">
        <f>IF(G76&lt;=$D$36,-IPMT($D$35,G76,$D$36,'SolarPV Financial Analysis'!$D$27*$D$34),0)</f>
        <v>0</v>
      </c>
      <c r="H97" s="289">
        <f>IF(H76&lt;=$D$36,-IPMT($D$35,H76,$D$36,'SolarPV Financial Analysis'!$D$27*$D$34),0)</f>
        <v>0</v>
      </c>
      <c r="I97" s="289">
        <f>IF(I76&lt;=$D$36,-IPMT($D$35,I76,$D$36,'SolarPV Financial Analysis'!$D$27*$D$34),0)</f>
        <v>0</v>
      </c>
      <c r="J97" s="289">
        <f>IF(J76&lt;=$D$36,-IPMT($D$35,J76,$D$36,'SolarPV Financial Analysis'!$D$27*$D$34),0)</f>
        <v>0</v>
      </c>
      <c r="K97" s="289">
        <f>IF(K76&lt;=$D$36,-IPMT($D$35,K76,$D$36,'SolarPV Financial Analysis'!$D$27*$D$34),0)</f>
        <v>0</v>
      </c>
      <c r="L97" s="289">
        <f>IF(L76&lt;=$D$36,-IPMT($D$35,L76,$D$36,'SolarPV Financial Analysis'!$D$27*$D$34),0)</f>
        <v>0</v>
      </c>
      <c r="M97" s="289">
        <f>IF(M76&lt;=$D$36,-IPMT($D$35,M76,$D$36,'SolarPV Financial Analysis'!$D$27*$D$34),0)</f>
        <v>0</v>
      </c>
      <c r="N97" s="289">
        <f>IF(N76&lt;=$D$36,-IPMT($D$35,N76,$D$36,'SolarPV Financial Analysis'!$D$27*$D$34),0)</f>
        <v>0</v>
      </c>
      <c r="O97" s="289">
        <f>IF(O76&lt;=$D$36,-IPMT($D$35,O76,$D$36,'SolarPV Financial Analysis'!$D$27*$D$34),0)</f>
        <v>0</v>
      </c>
      <c r="P97" s="289">
        <f>IF(P76&lt;=$D$36,-IPMT($D$35,P76,$D$36,'SolarPV Financial Analysis'!$D$27*$D$34),0)</f>
        <v>0</v>
      </c>
      <c r="Q97" s="289">
        <f>IF(Q76&lt;=$D$36,-IPMT($D$35,Q76,$D$36,'SolarPV Financial Analysis'!$D$27*$D$34),0)</f>
        <v>0</v>
      </c>
      <c r="R97" s="289">
        <f>IF(R76&lt;=$D$36,-IPMT($D$35,R76,$D$36,'SolarPV Financial Analysis'!$D$27*$D$34),0)</f>
        <v>0</v>
      </c>
      <c r="S97" s="289">
        <f>IF(S76&lt;=$D$36,-IPMT($D$35,S76,$D$36,'SolarPV Financial Analysis'!$D$27*$D$34),0)</f>
        <v>0</v>
      </c>
      <c r="T97" s="289">
        <f>IF(T76&lt;=$D$36,-IPMT($D$35,T76,$D$36,'SolarPV Financial Analysis'!$D$27*$D$34),0)</f>
        <v>0</v>
      </c>
      <c r="U97" s="289">
        <f>IF(U76&lt;=$D$36,-IPMT($D$35,U76,$D$36,'SolarPV Financial Analysis'!$D$27*$D$34),0)</f>
        <v>0</v>
      </c>
      <c r="V97" s="289">
        <f>IF(V76&lt;=$D$36,-IPMT($D$35,V76,$D$36,'SolarPV Financial Analysis'!$D$27*$D$34),0)</f>
        <v>0</v>
      </c>
      <c r="W97" s="289">
        <f>IF(W76&lt;=$D$36,-IPMT($D$35,W76,$D$36,'SolarPV Financial Analysis'!$D$27*$D$34),0)</f>
        <v>0</v>
      </c>
      <c r="X97" s="289">
        <f>IF(X76&lt;=$D$36,-IPMT($D$35,X76,$D$36,'SolarPV Financial Analysis'!$D$27*$D$34),0)</f>
        <v>0</v>
      </c>
      <c r="Y97" s="289">
        <f>IF(Y76&lt;=$D$36,-IPMT($D$35,Y76,$D$36,'SolarPV Financial Analysis'!$D$27*$D$34),0)</f>
        <v>0</v>
      </c>
      <c r="Z97" s="289">
        <f>IF(Z76&lt;=$D$36,-IPMT($D$35,Z76,$D$36,'SolarPV Financial Analysis'!$D$27*$D$34),0)</f>
        <v>0</v>
      </c>
      <c r="AA97" s="289">
        <f>IF(AA76&lt;=$D$36,-IPMT($D$35,AA76,$D$36,'SolarPV Financial Analysis'!$D$27*$D$34),0)</f>
        <v>0</v>
      </c>
      <c r="AB97" s="289">
        <f>IF(AB76&lt;=$D$36,-IPMT($D$35,AB76,$D$36,'SolarPV Financial Analysis'!$D$27*$D$34),0)</f>
        <v>0</v>
      </c>
      <c r="AC97" s="289">
        <f>IF(AC76&lt;=$D$36,-IPMT($D$35,AC76,$D$36,'SolarPV Financial Analysis'!$D$27*$D$34),0)</f>
        <v>0</v>
      </c>
      <c r="AD97" s="289">
        <f>IF(AD76&lt;=$D$36,-IPMT($D$35,AD76,$D$36,'SolarPV Financial Analysis'!$D$27*$D$34),0)</f>
        <v>0</v>
      </c>
      <c r="AE97" s="289">
        <f>IF(AE76&lt;=$D$36,-IPMT($D$35,AE76,$D$36,'SolarPV Financial Analysis'!$D$27*$D$34),0)</f>
        <v>0</v>
      </c>
      <c r="AF97" s="289">
        <f>IF(AF76&lt;=$D$36,-IPMT($D$35,AF76,$D$36,'SolarPV Financial Analysis'!$D$27*$D$34),0)</f>
        <v>0</v>
      </c>
      <c r="AG97" s="289">
        <f>IF(AG76&lt;=$D$36,-IPMT($D$35,AG76,$D$36,'SolarPV Financial Analysis'!$D$27*$D$34),0)</f>
        <v>0</v>
      </c>
      <c r="AH97" s="289">
        <f>IF(AH76&lt;=$D$36,-IPMT($D$35,AH76,$D$36,'SolarPV Financial Analysis'!$D$27*$D$34),0)</f>
        <v>0</v>
      </c>
      <c r="AI97" s="289">
        <f>IF(AI76&lt;=$D$36,-IPMT($D$35,AI76,$D$36,'SolarPV Financial Analysis'!$D$27*$D$34),0)</f>
        <v>0</v>
      </c>
      <c r="AJ97" s="289">
        <f>IF(AJ76&lt;=$D$36,-IPMT($D$35,AJ76,$D$36,'SolarPV Financial Analysis'!$D$27*$D$34),0)</f>
        <v>0</v>
      </c>
      <c r="AK97" s="289">
        <f>IF(AK76&lt;=$D$36,-IPMT($D$35,AK76,$D$36,'SolarPV Financial Analysis'!$D$27*$D$34),0)</f>
        <v>0</v>
      </c>
      <c r="AL97" s="289">
        <f>IF(AL76&lt;=$D$36,-IPMT($D$35,AL76,$D$36,'SolarPV Financial Analysis'!$D$27*$D$34),0)</f>
        <v>0</v>
      </c>
      <c r="AM97" s="290">
        <f>IF(AM76&lt;=$D$36,-IPMT($D$35,AM76,$D$36,'SolarPV Financial Analysis'!$D$27*$D$34),0)</f>
        <v>0</v>
      </c>
    </row>
    <row r="98" spans="2:39">
      <c r="B98" s="291" t="s">
        <v>429</v>
      </c>
      <c r="C98" s="295" t="s">
        <v>417</v>
      </c>
      <c r="D98" s="296"/>
      <c r="E98" s="297">
        <f>IF(E76&lt;=$D$36,-PPMT($D$35,E76,$D$36,'SolarPV Financial Analysis'!$D$27*$D$34),0)</f>
        <v>742755.55363846151</v>
      </c>
      <c r="F98" s="297">
        <f>IF(F76&lt;=$D$36,-PPMT($D$35,F76,$D$36,'SolarPV Financial Analysis'!$D$27*$D$34),0)</f>
        <v>742755.55363846151</v>
      </c>
      <c r="G98" s="297">
        <f>IF(G76&lt;=$D$36,-PPMT($D$35,G76,$D$36,'SolarPV Financial Analysis'!$D$27*$D$34),0)</f>
        <v>742755.55363846151</v>
      </c>
      <c r="H98" s="297">
        <f>IF(H76&lt;=$D$36,-PPMT($D$35,H76,$D$36,'SolarPV Financial Analysis'!$D$27*$D$34),0)</f>
        <v>742755.55363846151</v>
      </c>
      <c r="I98" s="297">
        <f>IF(I76&lt;=$D$36,-PPMT($D$35,I76,$D$36,'SolarPV Financial Analysis'!$D$27*$D$34),0)</f>
        <v>742755.55363846151</v>
      </c>
      <c r="J98" s="297">
        <f>IF(J76&lt;=$D$36,-PPMT($D$35,J76,$D$36,'SolarPV Financial Analysis'!$D$27*$D$34),0)</f>
        <v>742755.55363846151</v>
      </c>
      <c r="K98" s="297">
        <f>IF(K76&lt;=$D$36,-PPMT($D$35,K76,$D$36,'SolarPV Financial Analysis'!$D$27*$D$34),0)</f>
        <v>742755.55363846151</v>
      </c>
      <c r="L98" s="297">
        <f>IF(L76&lt;=$D$36,-PPMT($D$35,L76,$D$36,'SolarPV Financial Analysis'!$D$27*$D$34),0)</f>
        <v>742755.55363846151</v>
      </c>
      <c r="M98" s="297">
        <f>IF(M76&lt;=$D$36,-PPMT($D$35,M76,$D$36,'SolarPV Financial Analysis'!$D$27*$D$34),0)</f>
        <v>742755.55363846151</v>
      </c>
      <c r="N98" s="297">
        <f>IF(N76&lt;=$D$36,-PPMT($D$35,N76,$D$36,'SolarPV Financial Analysis'!$D$27*$D$34),0)</f>
        <v>742755.55363846151</v>
      </c>
      <c r="O98" s="297">
        <f>IF(O76&lt;=$D$36,-PPMT($D$35,O76,$D$36,'SolarPV Financial Analysis'!$D$27*$D$34),0)</f>
        <v>742755.55363846151</v>
      </c>
      <c r="P98" s="297">
        <f>IF(P76&lt;=$D$36,-PPMT($D$35,P76,$D$36,'SolarPV Financial Analysis'!$D$27*$D$34),0)</f>
        <v>742755.55363846151</v>
      </c>
      <c r="Q98" s="297">
        <f>IF(Q76&lt;=$D$36,-PPMT($D$35,Q76,$D$36,'SolarPV Financial Analysis'!$D$27*$D$34),0)</f>
        <v>742755.55363846151</v>
      </c>
      <c r="R98" s="297">
        <f>IF(R76&lt;=$D$36,-PPMT($D$35,R76,$D$36,'SolarPV Financial Analysis'!$D$27*$D$34),0)</f>
        <v>742755.55363846151</v>
      </c>
      <c r="S98" s="297">
        <f>IF(S76&lt;=$D$36,-PPMT($D$35,S76,$D$36,'SolarPV Financial Analysis'!$D$27*$D$34),0)</f>
        <v>742755.55363846151</v>
      </c>
      <c r="T98" s="297">
        <f>IF(T76&lt;=$D$36,-PPMT($D$35,T76,$D$36,'SolarPV Financial Analysis'!$D$27*$D$34),0)</f>
        <v>742755.55363846151</v>
      </c>
      <c r="U98" s="297">
        <f>IF(U76&lt;=$D$36,-PPMT($D$35,U76,$D$36,'SolarPV Financial Analysis'!$D$27*$D$34),0)</f>
        <v>742755.55363846151</v>
      </c>
      <c r="V98" s="297">
        <f>IF(V76&lt;=$D$36,-PPMT($D$35,V76,$D$36,'SolarPV Financial Analysis'!$D$27*$D$34),0)</f>
        <v>742755.55363846151</v>
      </c>
      <c r="W98" s="297">
        <f>IF(W76&lt;=$D$36,-PPMT($D$35,W76,$D$36,'SolarPV Financial Analysis'!$D$27*$D$34),0)</f>
        <v>742755.55363846151</v>
      </c>
      <c r="X98" s="297">
        <f>IF(X76&lt;=$D$36,-PPMT($D$35,X76,$D$36,'SolarPV Financial Analysis'!$D$27*$D$34),0)</f>
        <v>742755.55363846151</v>
      </c>
      <c r="Y98" s="297">
        <f>IF(Y76&lt;=$D$36,-PPMT($D$35,Y76,$D$36,'SolarPV Financial Analysis'!$D$27*$D$34),0)</f>
        <v>742755.55363846151</v>
      </c>
      <c r="Z98" s="297">
        <f>IF(Z76&lt;=$D$36,-PPMT($D$35,Z76,$D$36,'SolarPV Financial Analysis'!$D$27*$D$34),0)</f>
        <v>742755.55363846151</v>
      </c>
      <c r="AA98" s="297">
        <f>IF(AA76&lt;=$D$36,-PPMT($D$35,AA76,$D$36,'SolarPV Financial Analysis'!$D$27*$D$34),0)</f>
        <v>742755.55363846151</v>
      </c>
      <c r="AB98" s="297">
        <f>IF(AB76&lt;=$D$36,-PPMT($D$35,AB76,$D$36,'SolarPV Financial Analysis'!$D$27*$D$34),0)</f>
        <v>742755.55363846151</v>
      </c>
      <c r="AC98" s="297">
        <f>IF(AC76&lt;=$D$36,-PPMT($D$35,AC76,$D$36,'SolarPV Financial Analysis'!$D$27*$D$34),0)</f>
        <v>742755.55363846151</v>
      </c>
      <c r="AD98" s="297">
        <f>IF(AD76&lt;=$D$36,-PPMT($D$35,AD76,$D$36,'SolarPV Financial Analysis'!$D$27*$D$34),0)</f>
        <v>0</v>
      </c>
      <c r="AE98" s="297">
        <f>IF(AE76&lt;=$D$36,-PPMT($D$35,AE76,$D$36,'SolarPV Financial Analysis'!$D$27*$D$34),0)</f>
        <v>0</v>
      </c>
      <c r="AF98" s="297">
        <f>IF(AF76&lt;=$D$36,-PPMT($D$35,AF76,$D$36,'SolarPV Financial Analysis'!$D$27*$D$34),0)</f>
        <v>0</v>
      </c>
      <c r="AG98" s="297">
        <f>IF(AG76&lt;=$D$36,-PPMT($D$35,AG76,$D$36,'SolarPV Financial Analysis'!$D$27*$D$34),0)</f>
        <v>0</v>
      </c>
      <c r="AH98" s="297">
        <f>IF(AH76&lt;=$D$36,-PPMT($D$35,AH76,$D$36,'SolarPV Financial Analysis'!$D$27*$D$34),0)</f>
        <v>0</v>
      </c>
      <c r="AI98" s="297">
        <f>IF(AI76&lt;=$D$36,-PPMT($D$35,AI76,$D$36,'SolarPV Financial Analysis'!$D$27*$D$34),0)</f>
        <v>0</v>
      </c>
      <c r="AJ98" s="297">
        <f>IF(AJ76&lt;=$D$36,-PPMT($D$35,AJ76,$D$36,'SolarPV Financial Analysis'!$D$27*$D$34),0)</f>
        <v>0</v>
      </c>
      <c r="AK98" s="297">
        <f>IF(AK76&lt;=$D$36,-PPMT($D$35,AK76,$D$36,'SolarPV Financial Analysis'!$D$27*$D$34),0)</f>
        <v>0</v>
      </c>
      <c r="AL98" s="297">
        <f>IF(AL76&lt;=$D$36,-PPMT($D$35,AL76,$D$36,'SolarPV Financial Analysis'!$D$27*$D$34),0)</f>
        <v>0</v>
      </c>
      <c r="AM98" s="298">
        <f>IF(AM76&lt;=$D$36,-PPMT($D$35,AM76,$D$36,'SolarPV Financial Analysis'!$D$27*$D$34),0)</f>
        <v>0</v>
      </c>
    </row>
    <row r="99" spans="2:39" ht="12.95">
      <c r="B99" s="319" t="s">
        <v>430</v>
      </c>
      <c r="C99" s="300" t="s">
        <v>417</v>
      </c>
      <c r="D99" s="320">
        <f>E99</f>
        <v>742755.55363846151</v>
      </c>
      <c r="E99" s="321">
        <f>SUM(E97:E98)+E94</f>
        <v>742755.55363846151</v>
      </c>
      <c r="F99" s="321">
        <f t="shared" ref="F99:M99" si="6">SUM(F97:F98)+F94</f>
        <v>742755.55363846151</v>
      </c>
      <c r="G99" s="321">
        <f t="shared" si="6"/>
        <v>742755.55363846151</v>
      </c>
      <c r="H99" s="321">
        <f t="shared" si="6"/>
        <v>742755.55363846151</v>
      </c>
      <c r="I99" s="321">
        <f t="shared" si="6"/>
        <v>742755.55363846151</v>
      </c>
      <c r="J99" s="321">
        <f t="shared" si="6"/>
        <v>742755.55363846151</v>
      </c>
      <c r="K99" s="321">
        <f t="shared" si="6"/>
        <v>742755.55363846151</v>
      </c>
      <c r="L99" s="321">
        <f t="shared" si="6"/>
        <v>742755.55363846151</v>
      </c>
      <c r="M99" s="321">
        <f t="shared" si="6"/>
        <v>742755.55363846151</v>
      </c>
      <c r="N99" s="321">
        <f>SUM(N97:N98)</f>
        <v>742755.55363846151</v>
      </c>
      <c r="O99" s="321">
        <f t="shared" ref="O99:AM99" si="7">SUM(O97:O98)</f>
        <v>742755.55363846151</v>
      </c>
      <c r="P99" s="321">
        <f t="shared" si="7"/>
        <v>742755.55363846151</v>
      </c>
      <c r="Q99" s="321">
        <f t="shared" si="7"/>
        <v>742755.55363846151</v>
      </c>
      <c r="R99" s="321">
        <f t="shared" si="7"/>
        <v>742755.55363846151</v>
      </c>
      <c r="S99" s="321">
        <f t="shared" si="7"/>
        <v>742755.55363846151</v>
      </c>
      <c r="T99" s="321">
        <f t="shared" si="7"/>
        <v>742755.55363846151</v>
      </c>
      <c r="U99" s="321">
        <f t="shared" si="7"/>
        <v>742755.55363846151</v>
      </c>
      <c r="V99" s="321">
        <f t="shared" si="7"/>
        <v>742755.55363846151</v>
      </c>
      <c r="W99" s="321">
        <f t="shared" si="7"/>
        <v>742755.55363846151</v>
      </c>
      <c r="X99" s="321">
        <f t="shared" si="7"/>
        <v>742755.55363846151</v>
      </c>
      <c r="Y99" s="321">
        <f t="shared" si="7"/>
        <v>742755.55363846151</v>
      </c>
      <c r="Z99" s="321">
        <f t="shared" si="7"/>
        <v>742755.55363846151</v>
      </c>
      <c r="AA99" s="321">
        <f t="shared" si="7"/>
        <v>742755.55363846151</v>
      </c>
      <c r="AB99" s="321">
        <f t="shared" si="7"/>
        <v>742755.55363846151</v>
      </c>
      <c r="AC99" s="321">
        <f t="shared" si="7"/>
        <v>742755.55363846151</v>
      </c>
      <c r="AD99" s="321">
        <f t="shared" si="7"/>
        <v>0</v>
      </c>
      <c r="AE99" s="321">
        <f t="shared" si="7"/>
        <v>0</v>
      </c>
      <c r="AF99" s="321">
        <f t="shared" si="7"/>
        <v>0</v>
      </c>
      <c r="AG99" s="321">
        <f t="shared" si="7"/>
        <v>0</v>
      </c>
      <c r="AH99" s="321">
        <f t="shared" si="7"/>
        <v>0</v>
      </c>
      <c r="AI99" s="321">
        <f t="shared" si="7"/>
        <v>0</v>
      </c>
      <c r="AJ99" s="321">
        <f t="shared" si="7"/>
        <v>0</v>
      </c>
      <c r="AK99" s="321">
        <f t="shared" si="7"/>
        <v>0</v>
      </c>
      <c r="AL99" s="321">
        <f t="shared" si="7"/>
        <v>0</v>
      </c>
      <c r="AM99" s="322">
        <f t="shared" si="7"/>
        <v>0</v>
      </c>
    </row>
    <row r="100" spans="2:39" ht="12.95">
      <c r="B100" s="233"/>
      <c r="C100" s="233"/>
      <c r="D100" s="323"/>
      <c r="E100" s="323"/>
      <c r="F100" s="323"/>
      <c r="G100" s="323"/>
      <c r="H100" s="323"/>
      <c r="I100" s="323"/>
      <c r="J100" s="323"/>
      <c r="K100" s="323"/>
      <c r="L100" s="323"/>
      <c r="M100" s="323"/>
      <c r="N100" s="323"/>
      <c r="O100" s="323"/>
      <c r="P100" s="323"/>
      <c r="Q100" s="323"/>
      <c r="R100" s="323"/>
      <c r="S100" s="323"/>
      <c r="T100" s="323"/>
      <c r="U100" s="323"/>
      <c r="V100" s="323"/>
      <c r="W100" s="323"/>
      <c r="X100" s="323"/>
      <c r="Y100" s="323"/>
      <c r="Z100" s="323"/>
      <c r="AA100" s="323"/>
      <c r="AB100" s="323"/>
      <c r="AC100" s="323"/>
      <c r="AD100" s="323"/>
      <c r="AE100" s="323"/>
      <c r="AF100" s="323"/>
      <c r="AG100" s="323"/>
      <c r="AH100" s="323"/>
      <c r="AI100" s="323"/>
      <c r="AJ100" s="323"/>
      <c r="AK100" s="323"/>
      <c r="AL100" s="323"/>
      <c r="AM100" s="323"/>
    </row>
    <row r="101" spans="2:39" ht="12.95">
      <c r="B101" s="319" t="s">
        <v>431</v>
      </c>
      <c r="C101" s="324" t="s">
        <v>417</v>
      </c>
      <c r="D101" s="320">
        <f>D99+D84+D106</f>
        <v>2470357.0377346156</v>
      </c>
      <c r="E101" s="321">
        <f>E99+E84+E105</f>
        <v>2470357.0377346156</v>
      </c>
      <c r="F101" s="321">
        <f t="shared" ref="F101:AM101" si="8">F99+F84+F105</f>
        <v>2470357.0377346156</v>
      </c>
      <c r="G101" s="321">
        <f t="shared" si="8"/>
        <v>2470357.0377346156</v>
      </c>
      <c r="H101" s="321">
        <f t="shared" si="8"/>
        <v>2470357.0377346156</v>
      </c>
      <c r="I101" s="321">
        <f t="shared" si="8"/>
        <v>15433022.394600002</v>
      </c>
      <c r="J101" s="321">
        <f t="shared" si="8"/>
        <v>15433022.394600002</v>
      </c>
      <c r="K101" s="321">
        <f t="shared" si="8"/>
        <v>15433022.394600002</v>
      </c>
      <c r="L101" s="321">
        <f t="shared" si="8"/>
        <v>15433022.394600002</v>
      </c>
      <c r="M101" s="321">
        <f t="shared" si="8"/>
        <v>15433022.394600002</v>
      </c>
      <c r="N101" s="321">
        <f t="shared" si="8"/>
        <v>15433022.394600002</v>
      </c>
      <c r="O101" s="321">
        <f t="shared" si="8"/>
        <v>15433022.394600002</v>
      </c>
      <c r="P101" s="321">
        <f t="shared" si="8"/>
        <v>15433022.394600002</v>
      </c>
      <c r="Q101" s="321">
        <f t="shared" si="8"/>
        <v>15433022.394600002</v>
      </c>
      <c r="R101" s="321">
        <f t="shared" si="8"/>
        <v>15433022.394600002</v>
      </c>
      <c r="S101" s="321">
        <f t="shared" si="8"/>
        <v>15433022.394600002</v>
      </c>
      <c r="T101" s="321">
        <f t="shared" si="8"/>
        <v>15433022.394600002</v>
      </c>
      <c r="U101" s="321">
        <f t="shared" si="8"/>
        <v>15433022.394600002</v>
      </c>
      <c r="V101" s="321">
        <f t="shared" si="8"/>
        <v>15433022.394600002</v>
      </c>
      <c r="W101" s="321">
        <f t="shared" si="8"/>
        <v>15433022.394600002</v>
      </c>
      <c r="X101" s="321">
        <f t="shared" si="8"/>
        <v>15433022.394600002</v>
      </c>
      <c r="Y101" s="321">
        <f t="shared" si="8"/>
        <v>15433022.394600002</v>
      </c>
      <c r="Z101" s="321">
        <f t="shared" si="8"/>
        <v>15433022.394600002</v>
      </c>
      <c r="AA101" s="321">
        <f t="shared" si="8"/>
        <v>15433022.394600002</v>
      </c>
      <c r="AB101" s="321">
        <f t="shared" si="8"/>
        <v>15433022.394600002</v>
      </c>
      <c r="AC101" s="321">
        <f t="shared" si="8"/>
        <v>742755.55363846151</v>
      </c>
      <c r="AD101" s="321">
        <f t="shared" si="8"/>
        <v>0</v>
      </c>
      <c r="AE101" s="321">
        <f t="shared" si="8"/>
        <v>0</v>
      </c>
      <c r="AF101" s="321">
        <f t="shared" si="8"/>
        <v>0</v>
      </c>
      <c r="AG101" s="321">
        <f t="shared" si="8"/>
        <v>0</v>
      </c>
      <c r="AH101" s="321">
        <f t="shared" si="8"/>
        <v>0</v>
      </c>
      <c r="AI101" s="321">
        <f t="shared" si="8"/>
        <v>0</v>
      </c>
      <c r="AJ101" s="321">
        <f t="shared" si="8"/>
        <v>0</v>
      </c>
      <c r="AK101" s="321">
        <f t="shared" si="8"/>
        <v>0</v>
      </c>
      <c r="AL101" s="321">
        <f t="shared" si="8"/>
        <v>0</v>
      </c>
      <c r="AM101" s="322">
        <f t="shared" si="8"/>
        <v>0</v>
      </c>
    </row>
    <row r="102" spans="2:39">
      <c r="B102" s="232"/>
      <c r="C102" s="275"/>
      <c r="D102" s="220"/>
      <c r="E102" s="220"/>
      <c r="F102" s="220"/>
      <c r="G102" s="220"/>
      <c r="H102" s="220"/>
      <c r="I102" s="220"/>
      <c r="J102" s="220"/>
      <c r="K102" s="220"/>
      <c r="L102" s="220"/>
      <c r="M102" s="220"/>
      <c r="N102" s="220"/>
      <c r="O102" s="220"/>
      <c r="P102" s="220"/>
      <c r="Q102" s="220"/>
      <c r="R102" s="220"/>
      <c r="S102" s="220"/>
      <c r="T102" s="220"/>
      <c r="U102" s="220"/>
      <c r="V102" s="220"/>
      <c r="W102" s="220"/>
      <c r="X102" s="220"/>
      <c r="Y102" s="220"/>
      <c r="Z102" s="220"/>
      <c r="AA102" s="220"/>
      <c r="AB102" s="220"/>
      <c r="AC102" s="220"/>
      <c r="AD102" s="220"/>
      <c r="AE102" s="220"/>
      <c r="AF102" s="220"/>
      <c r="AG102" s="220"/>
      <c r="AH102" s="220"/>
      <c r="AI102" s="220"/>
      <c r="AJ102" s="220"/>
      <c r="AK102" s="220"/>
      <c r="AL102" s="220"/>
      <c r="AM102" s="220"/>
    </row>
    <row r="103" spans="2:39" ht="12.95">
      <c r="B103" s="325"/>
      <c r="D103" s="326" t="s">
        <v>432</v>
      </c>
      <c r="E103" s="326" t="s">
        <v>433</v>
      </c>
    </row>
    <row r="105" spans="2:39" s="326" customFormat="1" ht="12.95">
      <c r="B105" s="283" t="s">
        <v>434</v>
      </c>
      <c r="C105" s="312" t="s">
        <v>417</v>
      </c>
      <c r="D105" s="320"/>
      <c r="E105" s="321">
        <f t="shared" ref="E105:AM105" si="9">IF(E76&lt;=$D37,$D106*$D38,0)</f>
        <v>0</v>
      </c>
      <c r="F105" s="321">
        <f t="shared" si="9"/>
        <v>0</v>
      </c>
      <c r="G105" s="321">
        <f t="shared" si="9"/>
        <v>0</v>
      </c>
      <c r="H105" s="321">
        <f t="shared" si="9"/>
        <v>0</v>
      </c>
      <c r="I105" s="321">
        <f t="shared" si="9"/>
        <v>0</v>
      </c>
      <c r="J105" s="321">
        <f t="shared" si="9"/>
        <v>0</v>
      </c>
      <c r="K105" s="321">
        <f t="shared" si="9"/>
        <v>0</v>
      </c>
      <c r="L105" s="321">
        <f t="shared" si="9"/>
        <v>0</v>
      </c>
      <c r="M105" s="321">
        <f t="shared" si="9"/>
        <v>0</v>
      </c>
      <c r="N105" s="321">
        <f t="shared" si="9"/>
        <v>0</v>
      </c>
      <c r="O105" s="321">
        <f t="shared" si="9"/>
        <v>0</v>
      </c>
      <c r="P105" s="321">
        <f t="shared" si="9"/>
        <v>0</v>
      </c>
      <c r="Q105" s="321">
        <f t="shared" si="9"/>
        <v>0</v>
      </c>
      <c r="R105" s="321">
        <f t="shared" si="9"/>
        <v>0</v>
      </c>
      <c r="S105" s="321">
        <f t="shared" si="9"/>
        <v>0</v>
      </c>
      <c r="T105" s="321">
        <f t="shared" si="9"/>
        <v>0</v>
      </c>
      <c r="U105" s="321">
        <f t="shared" si="9"/>
        <v>0</v>
      </c>
      <c r="V105" s="321">
        <f t="shared" si="9"/>
        <v>0</v>
      </c>
      <c r="W105" s="321">
        <f t="shared" si="9"/>
        <v>0</v>
      </c>
      <c r="X105" s="321">
        <f t="shared" si="9"/>
        <v>0</v>
      </c>
      <c r="Y105" s="321">
        <f t="shared" si="9"/>
        <v>0</v>
      </c>
      <c r="Z105" s="321">
        <f t="shared" si="9"/>
        <v>0</v>
      </c>
      <c r="AA105" s="321">
        <f t="shared" si="9"/>
        <v>0</v>
      </c>
      <c r="AB105" s="321">
        <f t="shared" si="9"/>
        <v>0</v>
      </c>
      <c r="AC105" s="321">
        <f t="shared" si="9"/>
        <v>0</v>
      </c>
      <c r="AD105" s="321">
        <f t="shared" si="9"/>
        <v>0</v>
      </c>
      <c r="AE105" s="321">
        <f t="shared" si="9"/>
        <v>0</v>
      </c>
      <c r="AF105" s="321">
        <f t="shared" si="9"/>
        <v>0</v>
      </c>
      <c r="AG105" s="321">
        <f t="shared" si="9"/>
        <v>0</v>
      </c>
      <c r="AH105" s="321">
        <f t="shared" si="9"/>
        <v>0</v>
      </c>
      <c r="AI105" s="321">
        <f t="shared" si="9"/>
        <v>0</v>
      </c>
      <c r="AJ105" s="321">
        <f t="shared" si="9"/>
        <v>0</v>
      </c>
      <c r="AK105" s="321">
        <f t="shared" si="9"/>
        <v>0</v>
      </c>
      <c r="AL105" s="321">
        <f t="shared" si="9"/>
        <v>0</v>
      </c>
      <c r="AM105" s="322">
        <f t="shared" si="9"/>
        <v>0</v>
      </c>
    </row>
    <row r="106" spans="2:39">
      <c r="B106" s="276" t="s">
        <v>435</v>
      </c>
      <c r="C106" s="259" t="s">
        <v>331</v>
      </c>
      <c r="D106" s="327">
        <f>'SolarPV Financial Analysis'!D27*(1-D34)</f>
        <v>0</v>
      </c>
    </row>
    <row r="107" spans="2:39">
      <c r="D107" s="281"/>
    </row>
    <row r="108" spans="2:39" s="331" customFormat="1" ht="12.95">
      <c r="B108" s="276" t="s">
        <v>436</v>
      </c>
      <c r="C108" s="259" t="s">
        <v>437</v>
      </c>
      <c r="D108" s="328">
        <f t="shared" ref="D108:AM108" si="10">D78/((1+$D41)^D76)</f>
        <v>55249887.090729237</v>
      </c>
      <c r="E108" s="329">
        <f t="shared" si="10"/>
        <v>46041572.575607702</v>
      </c>
      <c r="F108" s="329">
        <f t="shared" si="10"/>
        <v>38367977.146339752</v>
      </c>
      <c r="G108" s="329">
        <f t="shared" si="10"/>
        <v>31973314.288616456</v>
      </c>
      <c r="H108" s="329">
        <f t="shared" si="10"/>
        <v>26644428.573847048</v>
      </c>
      <c r="I108" s="329">
        <f t="shared" si="10"/>
        <v>20686525.451199703</v>
      </c>
      <c r="J108" s="329">
        <f t="shared" si="10"/>
        <v>17238771.209333085</v>
      </c>
      <c r="K108" s="329">
        <f t="shared" si="10"/>
        <v>14365642.674444238</v>
      </c>
      <c r="L108" s="329">
        <f t="shared" si="10"/>
        <v>11971368.895370198</v>
      </c>
      <c r="M108" s="329">
        <f t="shared" si="10"/>
        <v>9976140.7461418323</v>
      </c>
      <c r="N108" s="329">
        <f t="shared" si="10"/>
        <v>8313450.6217848603</v>
      </c>
      <c r="O108" s="329">
        <f t="shared" si="10"/>
        <v>6927875.5181540502</v>
      </c>
      <c r="P108" s="329">
        <f t="shared" si="10"/>
        <v>5773229.598461709</v>
      </c>
      <c r="Q108" s="329">
        <f t="shared" si="10"/>
        <v>4811024.6653847573</v>
      </c>
      <c r="R108" s="329">
        <f t="shared" si="10"/>
        <v>4009187.2211539648</v>
      </c>
      <c r="S108" s="329">
        <f t="shared" si="10"/>
        <v>3340989.3509616372</v>
      </c>
      <c r="T108" s="329">
        <f t="shared" si="10"/>
        <v>2784157.7924680314</v>
      </c>
      <c r="U108" s="329">
        <f t="shared" si="10"/>
        <v>2320131.4937233594</v>
      </c>
      <c r="V108" s="329">
        <f t="shared" si="10"/>
        <v>1933442.9114361329</v>
      </c>
      <c r="W108" s="329">
        <f t="shared" si="10"/>
        <v>1611202.4261967773</v>
      </c>
      <c r="X108" s="329">
        <f t="shared" si="10"/>
        <v>1342668.6884973145</v>
      </c>
      <c r="Y108" s="329">
        <f t="shared" si="10"/>
        <v>1118890.5737477622</v>
      </c>
      <c r="Z108" s="329">
        <f t="shared" si="10"/>
        <v>932408.81145646854</v>
      </c>
      <c r="AA108" s="329">
        <f t="shared" si="10"/>
        <v>777007.34288039047</v>
      </c>
      <c r="AB108" s="329">
        <f t="shared" si="10"/>
        <v>647506.11906699208</v>
      </c>
      <c r="AC108" s="329">
        <f t="shared" si="10"/>
        <v>0</v>
      </c>
      <c r="AD108" s="329">
        <f t="shared" si="10"/>
        <v>0</v>
      </c>
      <c r="AE108" s="329">
        <f t="shared" si="10"/>
        <v>0</v>
      </c>
      <c r="AF108" s="329">
        <f t="shared" si="10"/>
        <v>0</v>
      </c>
      <c r="AG108" s="329">
        <f t="shared" si="10"/>
        <v>0</v>
      </c>
      <c r="AH108" s="329">
        <f t="shared" si="10"/>
        <v>0</v>
      </c>
      <c r="AI108" s="329">
        <f t="shared" si="10"/>
        <v>0</v>
      </c>
      <c r="AJ108" s="329">
        <f t="shared" si="10"/>
        <v>0</v>
      </c>
      <c r="AK108" s="329">
        <f t="shared" si="10"/>
        <v>0</v>
      </c>
      <c r="AL108" s="329">
        <f t="shared" si="10"/>
        <v>0</v>
      </c>
      <c r="AM108" s="330">
        <f t="shared" si="10"/>
        <v>0</v>
      </c>
    </row>
    <row r="109" spans="2:39" s="331" customFormat="1" ht="12.95">
      <c r="B109" s="294" t="s">
        <v>438</v>
      </c>
      <c r="C109" s="332" t="s">
        <v>439</v>
      </c>
      <c r="D109" s="296">
        <f>D101/(1+$D41)^D76</f>
        <v>2470357.0377346156</v>
      </c>
      <c r="E109" s="297">
        <f>E101/(1+$D41)^E76</f>
        <v>2058630.8647788465</v>
      </c>
      <c r="F109" s="297">
        <f t="shared" ref="F109:AM109" si="11">F101/(1+$D41)^F76</f>
        <v>1715525.7206490387</v>
      </c>
      <c r="G109" s="297">
        <f t="shared" si="11"/>
        <v>1429604.7672075322</v>
      </c>
      <c r="H109" s="297">
        <f t="shared" si="11"/>
        <v>1191337.306006277</v>
      </c>
      <c r="I109" s="297">
        <f t="shared" si="11"/>
        <v>6202185.5688175168</v>
      </c>
      <c r="J109" s="297">
        <f t="shared" si="11"/>
        <v>5168487.974014597</v>
      </c>
      <c r="K109" s="297">
        <f t="shared" si="11"/>
        <v>4307073.3116788315</v>
      </c>
      <c r="L109" s="297">
        <f t="shared" si="11"/>
        <v>3589227.7597323596</v>
      </c>
      <c r="M109" s="297">
        <f t="shared" si="11"/>
        <v>2991023.1331102997</v>
      </c>
      <c r="N109" s="297">
        <f t="shared" si="11"/>
        <v>2492519.2775919163</v>
      </c>
      <c r="O109" s="297">
        <f t="shared" si="11"/>
        <v>2077099.3979932636</v>
      </c>
      <c r="P109" s="297">
        <f t="shared" si="11"/>
        <v>1730916.1649943865</v>
      </c>
      <c r="Q109" s="297">
        <f t="shared" si="11"/>
        <v>1442430.1374953219</v>
      </c>
      <c r="R109" s="297">
        <f t="shared" si="11"/>
        <v>1202025.1145794352</v>
      </c>
      <c r="S109" s="297">
        <f t="shared" si="11"/>
        <v>1001687.5954828626</v>
      </c>
      <c r="T109" s="297">
        <f t="shared" si="11"/>
        <v>834739.66290238558</v>
      </c>
      <c r="U109" s="297">
        <f t="shared" si="11"/>
        <v>695616.38575198792</v>
      </c>
      <c r="V109" s="297">
        <f t="shared" si="11"/>
        <v>579680.32145998999</v>
      </c>
      <c r="W109" s="297">
        <f t="shared" si="11"/>
        <v>483066.93454999162</v>
      </c>
      <c r="X109" s="297">
        <f t="shared" si="11"/>
        <v>402555.77879165969</v>
      </c>
      <c r="Y109" s="297">
        <f t="shared" si="11"/>
        <v>335463.14899304975</v>
      </c>
      <c r="Z109" s="297">
        <f t="shared" si="11"/>
        <v>279552.62416087481</v>
      </c>
      <c r="AA109" s="297">
        <f t="shared" si="11"/>
        <v>232960.52013406236</v>
      </c>
      <c r="AB109" s="297">
        <f t="shared" si="11"/>
        <v>194133.76677838532</v>
      </c>
      <c r="AC109" s="297">
        <f t="shared" si="11"/>
        <v>7786.0064032700875</v>
      </c>
      <c r="AD109" s="297">
        <f t="shared" si="11"/>
        <v>0</v>
      </c>
      <c r="AE109" s="297">
        <f t="shared" si="11"/>
        <v>0</v>
      </c>
      <c r="AF109" s="297">
        <f t="shared" si="11"/>
        <v>0</v>
      </c>
      <c r="AG109" s="297">
        <f t="shared" si="11"/>
        <v>0</v>
      </c>
      <c r="AH109" s="297">
        <f t="shared" si="11"/>
        <v>0</v>
      </c>
      <c r="AI109" s="297">
        <f t="shared" si="11"/>
        <v>0</v>
      </c>
      <c r="AJ109" s="297">
        <f t="shared" si="11"/>
        <v>0</v>
      </c>
      <c r="AK109" s="297">
        <f t="shared" si="11"/>
        <v>0</v>
      </c>
      <c r="AL109" s="297">
        <f t="shared" si="11"/>
        <v>0</v>
      </c>
      <c r="AM109" s="298">
        <f t="shared" si="11"/>
        <v>0</v>
      </c>
    </row>
    <row r="110" spans="2:39" s="331" customFormat="1" ht="12.95">
      <c r="B110" s="333" t="s">
        <v>440</v>
      </c>
      <c r="C110" s="334" t="s">
        <v>441</v>
      </c>
      <c r="D110" s="335">
        <f>(D101-D128)/(1+$D41)^D76</f>
        <v>2927249.2940246267</v>
      </c>
      <c r="E110" s="336">
        <f t="shared" ref="E110:AM110" si="12">(E101-E128)/(1+$D41)^E76</f>
        <v>2439374.4116871892</v>
      </c>
      <c r="F110" s="336">
        <f t="shared" si="12"/>
        <v>2032812.0097393242</v>
      </c>
      <c r="G110" s="336">
        <f t="shared" si="12"/>
        <v>1694010.0081161035</v>
      </c>
      <c r="H110" s="336">
        <f t="shared" si="12"/>
        <v>1411675.0067634196</v>
      </c>
      <c r="I110" s="336">
        <f t="shared" si="12"/>
        <v>6373254.0322277397</v>
      </c>
      <c r="J110" s="336">
        <f t="shared" si="12"/>
        <v>5311045.0268564504</v>
      </c>
      <c r="K110" s="336">
        <f t="shared" si="12"/>
        <v>4425870.8557137083</v>
      </c>
      <c r="L110" s="336">
        <f t="shared" si="12"/>
        <v>3688225.7130947574</v>
      </c>
      <c r="M110" s="336">
        <f t="shared" si="12"/>
        <v>3073521.4275789643</v>
      </c>
      <c r="N110" s="336">
        <f t="shared" si="12"/>
        <v>2561267.8563158037</v>
      </c>
      <c r="O110" s="336">
        <f t="shared" si="12"/>
        <v>2134389.8802631698</v>
      </c>
      <c r="P110" s="336">
        <f t="shared" si="12"/>
        <v>1778658.2335526415</v>
      </c>
      <c r="Q110" s="336">
        <f t="shared" si="12"/>
        <v>1482215.1946272012</v>
      </c>
      <c r="R110" s="336">
        <f t="shared" si="12"/>
        <v>1235179.3288560011</v>
      </c>
      <c r="S110" s="336">
        <f t="shared" si="12"/>
        <v>1029316.1073800009</v>
      </c>
      <c r="T110" s="336">
        <f t="shared" si="12"/>
        <v>857763.42281666747</v>
      </c>
      <c r="U110" s="336">
        <f t="shared" si="12"/>
        <v>714802.85234722297</v>
      </c>
      <c r="V110" s="336">
        <f t="shared" si="12"/>
        <v>595669.04362268583</v>
      </c>
      <c r="W110" s="336">
        <f t="shared" si="12"/>
        <v>496390.86968557147</v>
      </c>
      <c r="X110" s="336">
        <f t="shared" si="12"/>
        <v>413659.05807130958</v>
      </c>
      <c r="Y110" s="336">
        <f t="shared" si="12"/>
        <v>344715.88172609132</v>
      </c>
      <c r="Z110" s="336">
        <f t="shared" si="12"/>
        <v>287263.23477174278</v>
      </c>
      <c r="AA110" s="336">
        <f t="shared" si="12"/>
        <v>239386.02897645233</v>
      </c>
      <c r="AB110" s="336">
        <f t="shared" si="12"/>
        <v>199488.35748037696</v>
      </c>
      <c r="AC110" s="336">
        <f t="shared" si="12"/>
        <v>7786.0064032700875</v>
      </c>
      <c r="AD110" s="336">
        <f t="shared" si="12"/>
        <v>0</v>
      </c>
      <c r="AE110" s="336">
        <f t="shared" si="12"/>
        <v>0</v>
      </c>
      <c r="AF110" s="336">
        <f t="shared" si="12"/>
        <v>0</v>
      </c>
      <c r="AG110" s="336">
        <f t="shared" si="12"/>
        <v>0</v>
      </c>
      <c r="AH110" s="336">
        <f t="shared" si="12"/>
        <v>0</v>
      </c>
      <c r="AI110" s="336">
        <f t="shared" si="12"/>
        <v>0</v>
      </c>
      <c r="AJ110" s="336">
        <f t="shared" si="12"/>
        <v>0</v>
      </c>
      <c r="AK110" s="336">
        <f t="shared" si="12"/>
        <v>0</v>
      </c>
      <c r="AL110" s="336">
        <f t="shared" si="12"/>
        <v>0</v>
      </c>
      <c r="AM110" s="337">
        <f t="shared" si="12"/>
        <v>0</v>
      </c>
    </row>
    <row r="111" spans="2:39" s="331" customFormat="1" ht="12.95">
      <c r="B111" s="294" t="s">
        <v>442</v>
      </c>
      <c r="C111" s="332" t="s">
        <v>439</v>
      </c>
      <c r="D111" s="296">
        <f t="shared" ref="D111:AM111" si="13">(D147)/(1+$D41)^D76</f>
        <v>4419990.9672583388</v>
      </c>
      <c r="E111" s="297">
        <f t="shared" si="13"/>
        <v>3683325.8060486158</v>
      </c>
      <c r="F111" s="297">
        <f t="shared" si="13"/>
        <v>3069438.1717071799</v>
      </c>
      <c r="G111" s="297">
        <f t="shared" si="13"/>
        <v>2557865.1430893163</v>
      </c>
      <c r="H111" s="297">
        <f t="shared" si="13"/>
        <v>2131554.285907764</v>
      </c>
      <c r="I111" s="297">
        <f t="shared" si="13"/>
        <v>1654922.0360959761</v>
      </c>
      <c r="J111" s="297">
        <f t="shared" si="13"/>
        <v>1379101.6967466469</v>
      </c>
      <c r="K111" s="297">
        <f t="shared" si="13"/>
        <v>1149251.413955539</v>
      </c>
      <c r="L111" s="297">
        <f t="shared" si="13"/>
        <v>957709.51162961591</v>
      </c>
      <c r="M111" s="297">
        <f t="shared" si="13"/>
        <v>798091.25969134655</v>
      </c>
      <c r="N111" s="297">
        <f t="shared" si="13"/>
        <v>665076.04974278877</v>
      </c>
      <c r="O111" s="297">
        <f t="shared" si="13"/>
        <v>554230.04145232402</v>
      </c>
      <c r="P111" s="297">
        <f t="shared" si="13"/>
        <v>461858.36787693674</v>
      </c>
      <c r="Q111" s="297">
        <f t="shared" si="13"/>
        <v>384881.97323078057</v>
      </c>
      <c r="R111" s="297">
        <f t="shared" si="13"/>
        <v>320734.97769231716</v>
      </c>
      <c r="S111" s="297">
        <f t="shared" si="13"/>
        <v>267279.14807693096</v>
      </c>
      <c r="T111" s="297">
        <f t="shared" si="13"/>
        <v>222732.62339744251</v>
      </c>
      <c r="U111" s="297">
        <f t="shared" si="13"/>
        <v>185610.51949786875</v>
      </c>
      <c r="V111" s="297">
        <f t="shared" si="13"/>
        <v>154675.43291489064</v>
      </c>
      <c r="W111" s="297">
        <f t="shared" si="13"/>
        <v>128896.19409574219</v>
      </c>
      <c r="X111" s="297">
        <f t="shared" si="13"/>
        <v>107413.49507978516</v>
      </c>
      <c r="Y111" s="297">
        <f t="shared" si="13"/>
        <v>89511.245899820977</v>
      </c>
      <c r="Z111" s="297">
        <f t="shared" si="13"/>
        <v>74592.704916517483</v>
      </c>
      <c r="AA111" s="297">
        <f t="shared" si="13"/>
        <v>62160.587430431238</v>
      </c>
      <c r="AB111" s="297">
        <f t="shared" si="13"/>
        <v>51800.489525359364</v>
      </c>
      <c r="AC111" s="297">
        <f t="shared" si="13"/>
        <v>0</v>
      </c>
      <c r="AD111" s="297">
        <f t="shared" si="13"/>
        <v>0</v>
      </c>
      <c r="AE111" s="297">
        <f t="shared" si="13"/>
        <v>0</v>
      </c>
      <c r="AF111" s="297">
        <f t="shared" si="13"/>
        <v>0</v>
      </c>
      <c r="AG111" s="297">
        <f t="shared" si="13"/>
        <v>0</v>
      </c>
      <c r="AH111" s="297">
        <f t="shared" si="13"/>
        <v>0</v>
      </c>
      <c r="AI111" s="297">
        <f t="shared" si="13"/>
        <v>0</v>
      </c>
      <c r="AJ111" s="297">
        <f t="shared" si="13"/>
        <v>0</v>
      </c>
      <c r="AK111" s="297">
        <f t="shared" si="13"/>
        <v>0</v>
      </c>
      <c r="AL111" s="297">
        <f t="shared" si="13"/>
        <v>0</v>
      </c>
      <c r="AM111" s="298">
        <f t="shared" si="13"/>
        <v>0</v>
      </c>
    </row>
    <row r="112" spans="2:39" s="331" customFormat="1" ht="12.95">
      <c r="B112" s="294" t="s">
        <v>443</v>
      </c>
      <c r="C112" s="332" t="s">
        <v>439</v>
      </c>
      <c r="D112" s="296">
        <f t="shared" ref="D112:AM112" si="14">(D122)/(1+$D41)^D76</f>
        <v>-3390028.8696795148</v>
      </c>
      <c r="E112" s="297">
        <f t="shared" si="14"/>
        <v>-2825024.0580662624</v>
      </c>
      <c r="F112" s="297">
        <f t="shared" si="14"/>
        <v>-2354186.7150552189</v>
      </c>
      <c r="G112" s="297">
        <f t="shared" si="14"/>
        <v>-1961822.2625460154</v>
      </c>
      <c r="H112" s="297">
        <f t="shared" si="14"/>
        <v>-1634851.885455013</v>
      </c>
      <c r="I112" s="297">
        <f t="shared" si="14"/>
        <v>-1269286.186553932</v>
      </c>
      <c r="J112" s="297">
        <f t="shared" si="14"/>
        <v>-1057738.4887949433</v>
      </c>
      <c r="K112" s="297">
        <f t="shared" si="14"/>
        <v>-881448.74066245288</v>
      </c>
      <c r="L112" s="297">
        <f t="shared" si="14"/>
        <v>-734540.61721871071</v>
      </c>
      <c r="M112" s="297">
        <f t="shared" si="14"/>
        <v>-612117.1810155923</v>
      </c>
      <c r="N112" s="297">
        <f t="shared" si="14"/>
        <v>-510097.6508463269</v>
      </c>
      <c r="O112" s="297">
        <f t="shared" si="14"/>
        <v>-425081.37570527242</v>
      </c>
      <c r="P112" s="297">
        <f t="shared" si="14"/>
        <v>-354234.47975439375</v>
      </c>
      <c r="Q112" s="297">
        <f t="shared" si="14"/>
        <v>-295195.39979532809</v>
      </c>
      <c r="R112" s="297">
        <f t="shared" si="14"/>
        <v>-245996.16649610677</v>
      </c>
      <c r="S112" s="297">
        <f t="shared" si="14"/>
        <v>-204996.80541342229</v>
      </c>
      <c r="T112" s="297">
        <f t="shared" si="14"/>
        <v>-170830.67117785194</v>
      </c>
      <c r="U112" s="297">
        <f t="shared" si="14"/>
        <v>-142358.89264820993</v>
      </c>
      <c r="V112" s="297">
        <f t="shared" si="14"/>
        <v>-118632.41054017495</v>
      </c>
      <c r="W112" s="297">
        <f t="shared" si="14"/>
        <v>-98860.342116812462</v>
      </c>
      <c r="X112" s="297">
        <f t="shared" si="14"/>
        <v>-82383.618430677045</v>
      </c>
      <c r="Y112" s="297">
        <f t="shared" si="14"/>
        <v>-68653.015358897552</v>
      </c>
      <c r="Z112" s="297">
        <f t="shared" si="14"/>
        <v>-57210.846132414626</v>
      </c>
      <c r="AA112" s="297">
        <f t="shared" si="14"/>
        <v>-47675.705110345523</v>
      </c>
      <c r="AB112" s="297">
        <f t="shared" si="14"/>
        <v>-39729.754258621273</v>
      </c>
      <c r="AC112" s="297">
        <f t="shared" si="14"/>
        <v>0</v>
      </c>
      <c r="AD112" s="297">
        <f t="shared" si="14"/>
        <v>0</v>
      </c>
      <c r="AE112" s="297">
        <f t="shared" si="14"/>
        <v>0</v>
      </c>
      <c r="AF112" s="297">
        <f t="shared" si="14"/>
        <v>0</v>
      </c>
      <c r="AG112" s="297">
        <f t="shared" si="14"/>
        <v>0</v>
      </c>
      <c r="AH112" s="297">
        <f t="shared" si="14"/>
        <v>0</v>
      </c>
      <c r="AI112" s="297">
        <f t="shared" si="14"/>
        <v>0</v>
      </c>
      <c r="AJ112" s="297">
        <f t="shared" si="14"/>
        <v>0</v>
      </c>
      <c r="AK112" s="297">
        <f t="shared" si="14"/>
        <v>0</v>
      </c>
      <c r="AL112" s="297">
        <f t="shared" si="14"/>
        <v>0</v>
      </c>
      <c r="AM112" s="298">
        <f t="shared" si="14"/>
        <v>0</v>
      </c>
    </row>
    <row r="113" spans="1:39" s="331" customFormat="1" ht="12.95">
      <c r="B113" s="294" t="s">
        <v>444</v>
      </c>
      <c r="C113" s="332" t="s">
        <v>439</v>
      </c>
      <c r="D113" s="296">
        <f t="shared" ref="D113:AM113" si="15">(D128)/(1+$D41)^D76</f>
        <v>-456892.25629001088</v>
      </c>
      <c r="E113" s="297">
        <f t="shared" si="15"/>
        <v>-380743.5469083424</v>
      </c>
      <c r="F113" s="297">
        <f t="shared" si="15"/>
        <v>-317286.28909028537</v>
      </c>
      <c r="G113" s="297">
        <f t="shared" si="15"/>
        <v>-264405.24090857111</v>
      </c>
      <c r="H113" s="297">
        <f t="shared" si="15"/>
        <v>-220337.70075714259</v>
      </c>
      <c r="I113" s="297">
        <f t="shared" si="15"/>
        <v>-171068.46341022302</v>
      </c>
      <c r="J113" s="297">
        <f t="shared" si="15"/>
        <v>-142557.05284185254</v>
      </c>
      <c r="K113" s="297">
        <f t="shared" si="15"/>
        <v>-118797.54403487711</v>
      </c>
      <c r="L113" s="297">
        <f t="shared" si="15"/>
        <v>-98997.953362397588</v>
      </c>
      <c r="M113" s="297">
        <f t="shared" si="15"/>
        <v>-82498.294468664652</v>
      </c>
      <c r="N113" s="297">
        <f t="shared" si="15"/>
        <v>-68748.578723887214</v>
      </c>
      <c r="O113" s="297">
        <f t="shared" si="15"/>
        <v>-57290.482269906017</v>
      </c>
      <c r="P113" s="297">
        <f t="shared" si="15"/>
        <v>-47742.068558255014</v>
      </c>
      <c r="Q113" s="297">
        <f t="shared" si="15"/>
        <v>-39785.057131879177</v>
      </c>
      <c r="R113" s="297">
        <f t="shared" si="15"/>
        <v>-33154.214276565988</v>
      </c>
      <c r="S113" s="297">
        <f t="shared" si="15"/>
        <v>-27628.51189713832</v>
      </c>
      <c r="T113" s="297">
        <f t="shared" si="15"/>
        <v>-23023.759914281934</v>
      </c>
      <c r="U113" s="297">
        <f t="shared" si="15"/>
        <v>-19186.466595234946</v>
      </c>
      <c r="V113" s="297">
        <f t="shared" si="15"/>
        <v>-15988.722162695789</v>
      </c>
      <c r="W113" s="297">
        <f t="shared" si="15"/>
        <v>-13323.935135579824</v>
      </c>
      <c r="X113" s="297">
        <f t="shared" si="15"/>
        <v>-11103.279279649852</v>
      </c>
      <c r="Y113" s="297">
        <f t="shared" si="15"/>
        <v>-9252.7327330415446</v>
      </c>
      <c r="Z113" s="297">
        <f t="shared" si="15"/>
        <v>-7710.6106108679551</v>
      </c>
      <c r="AA113" s="297">
        <f t="shared" si="15"/>
        <v>-6425.5088423899624</v>
      </c>
      <c r="AB113" s="297">
        <f t="shared" si="15"/>
        <v>-5354.5907019916358</v>
      </c>
      <c r="AC113" s="297">
        <f t="shared" si="15"/>
        <v>0</v>
      </c>
      <c r="AD113" s="297">
        <f t="shared" si="15"/>
        <v>0</v>
      </c>
      <c r="AE113" s="297">
        <f t="shared" si="15"/>
        <v>0</v>
      </c>
      <c r="AF113" s="297">
        <f t="shared" si="15"/>
        <v>0</v>
      </c>
      <c r="AG113" s="297">
        <f t="shared" si="15"/>
        <v>0</v>
      </c>
      <c r="AH113" s="297">
        <f t="shared" si="15"/>
        <v>0</v>
      </c>
      <c r="AI113" s="297">
        <f t="shared" si="15"/>
        <v>0</v>
      </c>
      <c r="AJ113" s="297">
        <f t="shared" si="15"/>
        <v>0</v>
      </c>
      <c r="AK113" s="297">
        <f t="shared" si="15"/>
        <v>0</v>
      </c>
      <c r="AL113" s="297">
        <f t="shared" si="15"/>
        <v>0</v>
      </c>
      <c r="AM113" s="298">
        <f t="shared" si="15"/>
        <v>0</v>
      </c>
    </row>
    <row r="114" spans="1:39" s="331" customFormat="1" ht="12.95">
      <c r="B114" s="338"/>
      <c r="C114" s="339"/>
      <c r="D114" s="340"/>
      <c r="E114" s="340"/>
      <c r="F114" s="340"/>
      <c r="G114" s="340"/>
      <c r="H114" s="340"/>
      <c r="I114" s="340"/>
      <c r="J114" s="340"/>
      <c r="K114" s="340"/>
      <c r="L114" s="340"/>
      <c r="M114" s="340"/>
      <c r="N114" s="340"/>
      <c r="O114" s="340"/>
      <c r="P114" s="340"/>
      <c r="Q114" s="340"/>
      <c r="R114" s="340"/>
      <c r="S114" s="340"/>
      <c r="T114" s="340"/>
      <c r="U114" s="340"/>
      <c r="V114" s="340"/>
      <c r="W114" s="340"/>
      <c r="X114" s="340"/>
      <c r="Y114" s="340"/>
      <c r="Z114" s="340"/>
      <c r="AA114" s="340"/>
      <c r="AB114" s="340"/>
      <c r="AC114" s="340"/>
      <c r="AD114" s="340"/>
      <c r="AE114" s="340"/>
      <c r="AF114" s="340"/>
      <c r="AG114" s="340"/>
      <c r="AH114" s="340"/>
      <c r="AI114" s="340"/>
      <c r="AJ114" s="340"/>
      <c r="AK114" s="340"/>
      <c r="AL114" s="340"/>
      <c r="AM114" s="340"/>
    </row>
    <row r="116" spans="1:39" ht="12.95">
      <c r="B116" s="283" t="s">
        <v>445</v>
      </c>
      <c r="C116" s="312" t="s">
        <v>364</v>
      </c>
    </row>
    <row r="117" spans="1:39">
      <c r="B117" s="276" t="s">
        <v>496</v>
      </c>
      <c r="C117" s="315" t="s">
        <v>446</v>
      </c>
      <c r="D117" s="341">
        <f>D78*(0-$C$31)*$D$23</f>
        <v>-14738.459880322931</v>
      </c>
      <c r="E117" s="341">
        <f>E78*(0-$C$31)*$D$23</f>
        <v>-14738.459880322931</v>
      </c>
      <c r="F117" s="341">
        <f>F78*(0-$C$31)*$D$23</f>
        <v>-14738.459880322931</v>
      </c>
      <c r="G117" s="341">
        <f>G78*(0-$C$31)*$D$23</f>
        <v>-14738.459880322931</v>
      </c>
      <c r="H117" s="341">
        <f>H78*(0-$C$31)*$D$23</f>
        <v>-14738.459880322931</v>
      </c>
      <c r="I117" s="341">
        <f>I78*(0-$C$31)*$D$23</f>
        <v>-13731.389641062133</v>
      </c>
      <c r="J117" s="341">
        <f>J78*(0-$C$31)*$D$23</f>
        <v>-13731.389641062133</v>
      </c>
      <c r="K117" s="341">
        <f>K78*(0-$C$31)*$D$23</f>
        <v>-13731.389641062133</v>
      </c>
      <c r="L117" s="341">
        <f>L78*(0-$C$31)*$D$23</f>
        <v>-13731.389641062133</v>
      </c>
      <c r="M117" s="341">
        <f>M78*(0-$C$31)*$D$23</f>
        <v>-13731.389641062133</v>
      </c>
      <c r="N117" s="341">
        <f>N78*(0-$C$31)*$D$23</f>
        <v>-13731.389641062133</v>
      </c>
      <c r="O117" s="341">
        <f>O78*(0-$C$31)*$D$23</f>
        <v>-13731.389641062133</v>
      </c>
      <c r="P117" s="341">
        <f>P78*(0-$C$31)*$D$23</f>
        <v>-13731.389641062133</v>
      </c>
      <c r="Q117" s="341">
        <f>Q78*(0-$C$31)*$D$23</f>
        <v>-13731.389641062133</v>
      </c>
      <c r="R117" s="341">
        <f>R78*(0-$C$31)*$D$23</f>
        <v>-13731.389641062133</v>
      </c>
      <c r="S117" s="341">
        <f>S78*(0-$C$31)*$D$23</f>
        <v>-13731.389641062133</v>
      </c>
      <c r="T117" s="341">
        <f>T78*(0-$C$31)*$D$23</f>
        <v>-13731.389641062133</v>
      </c>
      <c r="U117" s="341">
        <f>U78*(0-$C$31)*$D$23</f>
        <v>-13731.389641062133</v>
      </c>
      <c r="V117" s="341">
        <f>V78*(0-$C$31)*$D$23</f>
        <v>-13731.389641062133</v>
      </c>
      <c r="W117" s="341">
        <f>W78*(0-$C$31)*$D$23</f>
        <v>-13731.389641062133</v>
      </c>
      <c r="X117" s="341">
        <f>X78*(0-$C$31)*$D$23</f>
        <v>-13731.389641062133</v>
      </c>
      <c r="Y117" s="341">
        <f>Y78*(0-$C$31)*$D$23</f>
        <v>-13731.389641062133</v>
      </c>
      <c r="Z117" s="341">
        <f>Z78*(0-$C$31)*$D$23</f>
        <v>-13731.389641062133</v>
      </c>
      <c r="AA117" s="341">
        <f>AA78*(0-$C$31)*$D$23</f>
        <v>-13731.389641062133</v>
      </c>
      <c r="AB117" s="341">
        <f>AB78*(0-$C$31)*$D$23</f>
        <v>-13731.389641062133</v>
      </c>
      <c r="AC117" s="341">
        <f>AC78*(0-$C$31)*$D$23</f>
        <v>0</v>
      </c>
      <c r="AD117" s="341">
        <f>AD78*(0-$C$31)*$D$23</f>
        <v>0</v>
      </c>
      <c r="AE117" s="342">
        <f>AE78*(0-$D$22)/$C$30</f>
        <v>0</v>
      </c>
      <c r="AF117" s="342">
        <f>AF78*(0-$D$22)/$C$30</f>
        <v>0</v>
      </c>
      <c r="AG117" s="342">
        <f>AG78*(0-$D$22)/$C$30</f>
        <v>0</v>
      </c>
      <c r="AH117" s="342">
        <f>AH78*(0-$D$22)/$C$30</f>
        <v>0</v>
      </c>
      <c r="AI117" s="342">
        <f>AI78*(0-$D$22)/$C$30</f>
        <v>0</v>
      </c>
      <c r="AJ117" s="342">
        <f>AJ78*(0-$D$22)/$C$30</f>
        <v>0</v>
      </c>
      <c r="AK117" s="342">
        <f>AK78*(0-$D$22)/$C$30</f>
        <v>0</v>
      </c>
      <c r="AL117" s="342">
        <f>AL78*(0-$D$22)/$C$30</f>
        <v>0</v>
      </c>
      <c r="AM117" s="343">
        <f>AM78*(0-$D$22)/$C$30</f>
        <v>0</v>
      </c>
    </row>
    <row r="118" spans="1:39">
      <c r="B118" s="276" t="s">
        <v>497</v>
      </c>
      <c r="C118" s="259" t="s">
        <v>373</v>
      </c>
      <c r="D118" s="344">
        <f>SUM(D117:AD117)</f>
        <v>-348320.09222285723</v>
      </c>
    </row>
    <row r="119" spans="1:39">
      <c r="D119" s="345"/>
    </row>
    <row r="120" spans="1:39">
      <c r="D120" s="345"/>
    </row>
    <row r="121" spans="1:39" ht="12.95">
      <c r="B121" s="346" t="s">
        <v>447</v>
      </c>
      <c r="C121" s="312" t="s">
        <v>364</v>
      </c>
      <c r="D121" s="345"/>
    </row>
    <row r="122" spans="1:39">
      <c r="B122" s="294" t="s">
        <v>448</v>
      </c>
      <c r="C122" s="295" t="s">
        <v>417</v>
      </c>
      <c r="D122" s="347">
        <f>D78*($D$17-$D$60)</f>
        <v>-3390028.8696795148</v>
      </c>
      <c r="E122" s="348">
        <f>E78*($D$17-$D$60)</f>
        <v>-3390028.8696795148</v>
      </c>
      <c r="F122" s="348">
        <f>F78*($D$17-$D$60)</f>
        <v>-3390028.8696795148</v>
      </c>
      <c r="G122" s="348">
        <f>G78*($D$17-$D$60)</f>
        <v>-3390028.8696795148</v>
      </c>
      <c r="H122" s="348">
        <f>H78*($D$17-$D$60)</f>
        <v>-3390028.8696795148</v>
      </c>
      <c r="I122" s="348">
        <f>I78*($D$17-$D$60)</f>
        <v>-3158390.20372588</v>
      </c>
      <c r="J122" s="348">
        <f>J78*($D$17-$D$60)</f>
        <v>-3158390.20372588</v>
      </c>
      <c r="K122" s="348">
        <f>K78*($D$17-$D$60)</f>
        <v>-3158390.20372588</v>
      </c>
      <c r="L122" s="348">
        <f>L78*($D$17-$D$60)</f>
        <v>-3158390.20372588</v>
      </c>
      <c r="M122" s="348">
        <f>M78*($D$17-$D$60)</f>
        <v>-3158390.20372588</v>
      </c>
      <c r="N122" s="348">
        <f>N78*($D$17-$D$60)</f>
        <v>-3158390.20372588</v>
      </c>
      <c r="O122" s="348">
        <f>O78*($D$17-$D$60)</f>
        <v>-3158390.20372588</v>
      </c>
      <c r="P122" s="348">
        <f>P78*($D$17-$D$60)</f>
        <v>-3158390.20372588</v>
      </c>
      <c r="Q122" s="348">
        <f>Q78*($D$17-$D$60)</f>
        <v>-3158390.20372588</v>
      </c>
      <c r="R122" s="348">
        <f>R78*($D$17-$D$60)</f>
        <v>-3158390.20372588</v>
      </c>
      <c r="S122" s="348">
        <f>S78*($D$17-$D$60)</f>
        <v>-3158390.20372588</v>
      </c>
      <c r="T122" s="348">
        <f>T78*($D$17-$D$60)</f>
        <v>-3158390.20372588</v>
      </c>
      <c r="U122" s="348">
        <f>U78*($D$17-$D$60)</f>
        <v>-3158390.20372588</v>
      </c>
      <c r="V122" s="348">
        <f>V78*($D$17-$D$60)</f>
        <v>-3158390.20372588</v>
      </c>
      <c r="W122" s="348">
        <f>W78*($D$17-$D$60)</f>
        <v>-3158390.20372588</v>
      </c>
      <c r="X122" s="348">
        <f>X78*($D$17-$D$60)</f>
        <v>-3158390.20372588</v>
      </c>
      <c r="Y122" s="348">
        <f>Y78*($D$17-$D$60)</f>
        <v>-3158390.20372588</v>
      </c>
      <c r="Z122" s="348">
        <f>Z78*($D$17-$D$60)</f>
        <v>-3158390.20372588</v>
      </c>
      <c r="AA122" s="348">
        <f>AA78*($D$17-$D$60)</f>
        <v>-3158390.20372588</v>
      </c>
      <c r="AB122" s="348">
        <f>AB78*($D$17-$D$60)</f>
        <v>-3158390.20372588</v>
      </c>
      <c r="AC122" s="348">
        <f>AC78*($D$17-$D$60)</f>
        <v>0</v>
      </c>
      <c r="AD122" s="348">
        <f>AD78*($D$17-$D$60)</f>
        <v>0</v>
      </c>
      <c r="AE122" s="348">
        <f>AE78*($D$17-$D$60)</f>
        <v>0</v>
      </c>
      <c r="AF122" s="348">
        <f>AF78*($D$17-$D$60)</f>
        <v>0</v>
      </c>
      <c r="AG122" s="348">
        <f>AG78*($D$17-$D$60)</f>
        <v>0</v>
      </c>
      <c r="AH122" s="348">
        <f>AH78*($D$17-$D$60)</f>
        <v>0</v>
      </c>
      <c r="AI122" s="348">
        <f>AI78*($D$17-$D$60)</f>
        <v>0</v>
      </c>
      <c r="AJ122" s="348">
        <f>AJ78*($D$17-$D$60)</f>
        <v>0</v>
      </c>
      <c r="AK122" s="348">
        <f>AK78*($D$17-$D$60)</f>
        <v>0</v>
      </c>
      <c r="AL122" s="348">
        <f>AL78*($D$17-$D$60)</f>
        <v>0</v>
      </c>
      <c r="AM122" s="349">
        <f>AM78*($D$17-$D$60)</f>
        <v>0</v>
      </c>
    </row>
    <row r="123" spans="1:39" s="281" customFormat="1" ht="12.95">
      <c r="A123" s="215"/>
      <c r="B123" s="350" t="s">
        <v>449</v>
      </c>
      <c r="C123" s="312" t="s">
        <v>331</v>
      </c>
      <c r="D123" s="351">
        <f>SUM(D122:AM122)</f>
        <v>-80117948.422915176</v>
      </c>
      <c r="E123" s="352"/>
      <c r="F123" s="352"/>
      <c r="G123" s="352"/>
      <c r="H123" s="352"/>
      <c r="I123" s="352"/>
      <c r="J123" s="352"/>
      <c r="K123" s="352"/>
      <c r="L123" s="352"/>
      <c r="M123" s="352"/>
      <c r="N123" s="352"/>
      <c r="O123" s="352"/>
      <c r="P123" s="352"/>
      <c r="Q123" s="352"/>
      <c r="R123" s="352"/>
      <c r="S123" s="352"/>
      <c r="T123" s="352"/>
      <c r="U123" s="352"/>
      <c r="V123" s="352"/>
      <c r="W123" s="352"/>
      <c r="X123" s="352"/>
      <c r="Y123" s="352"/>
      <c r="Z123" s="352"/>
      <c r="AA123" s="352"/>
      <c r="AB123" s="352"/>
      <c r="AC123" s="352"/>
      <c r="AD123" s="352"/>
      <c r="AE123" s="352"/>
      <c r="AF123" s="352"/>
      <c r="AG123" s="352"/>
      <c r="AH123" s="352"/>
      <c r="AI123" s="352"/>
      <c r="AJ123" s="352"/>
      <c r="AK123" s="352"/>
      <c r="AL123" s="352"/>
      <c r="AM123" s="352"/>
    </row>
    <row r="124" spans="1:39" s="281" customFormat="1">
      <c r="A124" s="215"/>
      <c r="B124" s="345"/>
      <c r="C124" s="345"/>
      <c r="D124" s="345"/>
      <c r="E124" s="352"/>
      <c r="F124" s="352"/>
      <c r="G124" s="352"/>
      <c r="H124" s="352"/>
      <c r="I124" s="352"/>
      <c r="J124" s="352"/>
      <c r="K124" s="352"/>
      <c r="L124" s="352"/>
      <c r="M124" s="352"/>
      <c r="N124" s="352"/>
      <c r="O124" s="352"/>
      <c r="P124" s="352"/>
      <c r="Q124" s="352"/>
      <c r="R124" s="352"/>
      <c r="S124" s="352"/>
      <c r="T124" s="352"/>
      <c r="U124" s="352"/>
      <c r="V124" s="352"/>
      <c r="W124" s="352"/>
      <c r="X124" s="352"/>
      <c r="Y124" s="352"/>
      <c r="Z124" s="352"/>
      <c r="AA124" s="352"/>
      <c r="AB124" s="352"/>
      <c r="AC124" s="352"/>
      <c r="AD124" s="352"/>
      <c r="AE124" s="352"/>
      <c r="AF124" s="352"/>
      <c r="AG124" s="352"/>
      <c r="AH124" s="352"/>
      <c r="AI124" s="352"/>
      <c r="AJ124" s="352"/>
      <c r="AK124" s="352"/>
      <c r="AL124" s="352"/>
      <c r="AM124" s="352"/>
    </row>
    <row r="125" spans="1:39" ht="12.95">
      <c r="B125" s="346" t="s">
        <v>450</v>
      </c>
      <c r="C125" s="345"/>
      <c r="D125" s="345"/>
    </row>
    <row r="126" spans="1:39" s="281" customFormat="1" ht="12.95">
      <c r="A126" s="215"/>
      <c r="B126" s="353" t="s">
        <v>451</v>
      </c>
      <c r="C126" s="312" t="s">
        <v>364</v>
      </c>
      <c r="D126" s="345"/>
      <c r="E126" s="352"/>
      <c r="F126" s="352"/>
      <c r="G126" s="352"/>
      <c r="H126" s="352"/>
      <c r="I126" s="352"/>
      <c r="J126" s="352"/>
      <c r="K126" s="352"/>
      <c r="L126" s="352"/>
      <c r="M126" s="352"/>
      <c r="N126" s="352"/>
      <c r="O126" s="352"/>
      <c r="P126" s="352"/>
      <c r="Q126" s="352"/>
      <c r="R126" s="352"/>
      <c r="S126" s="352"/>
      <c r="T126" s="352"/>
      <c r="U126" s="352"/>
      <c r="V126" s="352"/>
      <c r="W126" s="352"/>
      <c r="X126" s="352"/>
      <c r="Y126" s="352"/>
      <c r="Z126" s="352"/>
      <c r="AA126" s="352"/>
      <c r="AB126" s="352"/>
      <c r="AC126" s="352"/>
      <c r="AD126" s="352"/>
      <c r="AE126" s="352"/>
      <c r="AF126" s="352"/>
      <c r="AG126" s="352"/>
      <c r="AH126" s="352"/>
      <c r="AI126" s="352"/>
      <c r="AJ126" s="352"/>
      <c r="AK126" s="352"/>
      <c r="AL126" s="352"/>
      <c r="AM126" s="352"/>
    </row>
    <row r="127" spans="1:39">
      <c r="B127" s="354" t="s">
        <v>452</v>
      </c>
      <c r="C127" s="355" t="s">
        <v>453</v>
      </c>
      <c r="D127" s="356">
        <v>31</v>
      </c>
    </row>
    <row r="128" spans="1:39">
      <c r="B128" s="286" t="s">
        <v>79</v>
      </c>
      <c r="C128" s="292" t="s">
        <v>417</v>
      </c>
      <c r="D128" s="347">
        <f>$D$127*D117</f>
        <v>-456892.25629001088</v>
      </c>
      <c r="E128" s="348">
        <f t="shared" ref="E128:AM128" si="16">$D$127*E117</f>
        <v>-456892.25629001088</v>
      </c>
      <c r="F128" s="348">
        <f t="shared" si="16"/>
        <v>-456892.25629001088</v>
      </c>
      <c r="G128" s="348">
        <f t="shared" si="16"/>
        <v>-456892.25629001088</v>
      </c>
      <c r="H128" s="348">
        <f t="shared" si="16"/>
        <v>-456892.25629001088</v>
      </c>
      <c r="I128" s="348">
        <f t="shared" si="16"/>
        <v>-425673.07887292613</v>
      </c>
      <c r="J128" s="348">
        <f t="shared" si="16"/>
        <v>-425673.07887292613</v>
      </c>
      <c r="K128" s="348">
        <f t="shared" si="16"/>
        <v>-425673.07887292613</v>
      </c>
      <c r="L128" s="348">
        <f t="shared" si="16"/>
        <v>-425673.07887292613</v>
      </c>
      <c r="M128" s="348">
        <f t="shared" si="16"/>
        <v>-425673.07887292613</v>
      </c>
      <c r="N128" s="348">
        <f t="shared" si="16"/>
        <v>-425673.07887292613</v>
      </c>
      <c r="O128" s="348">
        <f t="shared" si="16"/>
        <v>-425673.07887292613</v>
      </c>
      <c r="P128" s="348">
        <f t="shared" si="16"/>
        <v>-425673.07887292613</v>
      </c>
      <c r="Q128" s="348">
        <f t="shared" si="16"/>
        <v>-425673.07887292613</v>
      </c>
      <c r="R128" s="348">
        <f t="shared" si="16"/>
        <v>-425673.07887292613</v>
      </c>
      <c r="S128" s="348">
        <f t="shared" si="16"/>
        <v>-425673.07887292613</v>
      </c>
      <c r="T128" s="348">
        <f t="shared" si="16"/>
        <v>-425673.07887292613</v>
      </c>
      <c r="U128" s="348">
        <f t="shared" si="16"/>
        <v>-425673.07887292613</v>
      </c>
      <c r="V128" s="348">
        <f t="shared" si="16"/>
        <v>-425673.07887292613</v>
      </c>
      <c r="W128" s="348">
        <f t="shared" si="16"/>
        <v>-425673.07887292613</v>
      </c>
      <c r="X128" s="348">
        <f t="shared" si="16"/>
        <v>-425673.07887292613</v>
      </c>
      <c r="Y128" s="348">
        <f t="shared" si="16"/>
        <v>-425673.07887292613</v>
      </c>
      <c r="Z128" s="348">
        <f t="shared" si="16"/>
        <v>-425673.07887292613</v>
      </c>
      <c r="AA128" s="348">
        <f t="shared" si="16"/>
        <v>-425673.07887292613</v>
      </c>
      <c r="AB128" s="348">
        <f t="shared" si="16"/>
        <v>-425673.07887292613</v>
      </c>
      <c r="AC128" s="348">
        <f t="shared" si="16"/>
        <v>0</v>
      </c>
      <c r="AD128" s="348">
        <f t="shared" si="16"/>
        <v>0</v>
      </c>
      <c r="AE128" s="348">
        <f t="shared" si="16"/>
        <v>0</v>
      </c>
      <c r="AF128" s="348">
        <f t="shared" si="16"/>
        <v>0</v>
      </c>
      <c r="AG128" s="348">
        <f t="shared" si="16"/>
        <v>0</v>
      </c>
      <c r="AH128" s="348">
        <f t="shared" si="16"/>
        <v>0</v>
      </c>
      <c r="AI128" s="348">
        <f t="shared" si="16"/>
        <v>0</v>
      </c>
      <c r="AJ128" s="348">
        <f t="shared" si="16"/>
        <v>0</v>
      </c>
      <c r="AK128" s="348">
        <f t="shared" si="16"/>
        <v>0</v>
      </c>
      <c r="AL128" s="348">
        <f t="shared" si="16"/>
        <v>0</v>
      </c>
      <c r="AM128" s="349">
        <f t="shared" si="16"/>
        <v>0</v>
      </c>
    </row>
    <row r="129" spans="2:39" ht="12.95">
      <c r="B129" s="350" t="s">
        <v>454</v>
      </c>
      <c r="C129" s="312" t="s">
        <v>331</v>
      </c>
      <c r="D129" s="309">
        <f>SUM(D128:AM128)</f>
        <v>-10797922.858908582</v>
      </c>
    </row>
    <row r="130" spans="2:39">
      <c r="B130" s="286" t="s">
        <v>455</v>
      </c>
      <c r="C130" s="292" t="s">
        <v>417</v>
      </c>
      <c r="D130" s="347">
        <f>(0-$D$22)*D78*$D$127/$C$30</f>
        <v>-804134.48166201869</v>
      </c>
      <c r="E130" s="348">
        <f>(0-$D$22)*E78*$D$127/$C$30</f>
        <v>-804134.48166201869</v>
      </c>
      <c r="F130" s="348">
        <f>(0-$D$22)*F78*$D$127/$C$30</f>
        <v>-804134.48166201869</v>
      </c>
      <c r="G130" s="348">
        <f>(0-$D$22)*G78*$D$127/$C$30</f>
        <v>-804134.48166201869</v>
      </c>
      <c r="H130" s="348">
        <f>(0-$D$22)*H78*$D$127/$C$30</f>
        <v>-804134.48166201869</v>
      </c>
      <c r="I130" s="348">
        <f>(0-$D$22)*I78*$D$127/$C$30</f>
        <v>-749188.44853365875</v>
      </c>
      <c r="J130" s="348">
        <f>(0-$D$22)*J78*$D$127/$C$30</f>
        <v>-749188.44853365875</v>
      </c>
      <c r="K130" s="348">
        <f>(0-$D$22)*K78*$D$127/$C$30</f>
        <v>-749188.44853365875</v>
      </c>
      <c r="L130" s="348">
        <f>(0-$D$22)*L78*$D$127/$C$30</f>
        <v>-749188.44853365875</v>
      </c>
      <c r="M130" s="348">
        <f>(0-$D$22)*M78*$D$127/$C$30</f>
        <v>-749188.44853365875</v>
      </c>
      <c r="N130" s="348">
        <f>(0-$D$22)*N78*$D$127/$C$30</f>
        <v>-749188.44853365875</v>
      </c>
      <c r="O130" s="348">
        <f>(0-$D$22)*O78*$D$127/$C$30</f>
        <v>-749188.44853365875</v>
      </c>
      <c r="P130" s="348">
        <f>(0-$D$22)*P78*$D$127/$C$30</f>
        <v>-749188.44853365875</v>
      </c>
      <c r="Q130" s="348">
        <f>(0-$D$22)*Q78*$D$127/$C$30</f>
        <v>-749188.44853365875</v>
      </c>
      <c r="R130" s="348">
        <f>(0-$D$22)*R78*$D$127/$C$30</f>
        <v>-749188.44853365875</v>
      </c>
      <c r="S130" s="348">
        <f>(0-$D$22)*S78*$D$127/$C$30</f>
        <v>-749188.44853365875</v>
      </c>
      <c r="T130" s="348">
        <f>(0-$D$22)*T78*$D$127/$C$30</f>
        <v>-749188.44853365875</v>
      </c>
      <c r="U130" s="348">
        <f>(0-$D$22)*U78*$D$127/$C$30</f>
        <v>-749188.44853365875</v>
      </c>
      <c r="V130" s="348">
        <f>(0-$D$22)*V78*$D$127/$C$30</f>
        <v>-749188.44853365875</v>
      </c>
      <c r="W130" s="348">
        <f>(0-$D$22)*W78*$D$127/$C$30</f>
        <v>-749188.44853365875</v>
      </c>
      <c r="X130" s="348">
        <f>(0-$D$22)*X78*$D$127/$C$30</f>
        <v>-749188.44853365875</v>
      </c>
      <c r="Y130" s="348">
        <f>(0-$D$22)*Y78*$D$127/$C$30</f>
        <v>-749188.44853365875</v>
      </c>
      <c r="Z130" s="348">
        <f>(0-$D$22)*Z78*$D$127/$C$30</f>
        <v>-749188.44853365875</v>
      </c>
      <c r="AA130" s="348">
        <f>(0-$D$22)*AA78*$D$127/$C$30</f>
        <v>-749188.44853365875</v>
      </c>
      <c r="AB130" s="348">
        <f>(0-$D$22)*AB78*$D$127/$C$30</f>
        <v>-749188.44853365875</v>
      </c>
      <c r="AC130" s="348">
        <f>(0-$D$22)*AC78*$D$127/$C$30</f>
        <v>0</v>
      </c>
      <c r="AD130" s="348">
        <f>(0-$D$22)*AD78*$D$127/$C$30</f>
        <v>0</v>
      </c>
      <c r="AE130" s="348">
        <f>(0-$D$22)*AE78*$D$127/$C$30</f>
        <v>0</v>
      </c>
      <c r="AF130" s="348">
        <f>(0-$D$22)*AF78*$D$127/$C$30</f>
        <v>0</v>
      </c>
      <c r="AG130" s="348">
        <f>(0-$D$22)*AG78*$D$127/$C$30</f>
        <v>0</v>
      </c>
      <c r="AH130" s="348">
        <f>(0-$D$22)*AH78*$D$127/$C$30</f>
        <v>0</v>
      </c>
      <c r="AI130" s="348">
        <f>(0-$D$22)*AI78*$D$127/$C$30</f>
        <v>0</v>
      </c>
      <c r="AJ130" s="348">
        <f>(0-$D$22)*AJ78*$D$127/$C$30</f>
        <v>0</v>
      </c>
      <c r="AK130" s="348">
        <f>(0-$D$22)*AK78*$D$127/$C$30</f>
        <v>0</v>
      </c>
      <c r="AL130" s="348">
        <f>(0-$D$22)*AL78*$D$127/$C$30</f>
        <v>0</v>
      </c>
      <c r="AM130" s="349">
        <f>(0-$D$22)*AM78*$D$127/$C$30</f>
        <v>0</v>
      </c>
    </row>
    <row r="131" spans="2:39" ht="12.95">
      <c r="B131" s="350" t="s">
        <v>456</v>
      </c>
      <c r="C131" s="312" t="s">
        <v>331</v>
      </c>
      <c r="D131" s="309">
        <f>SUM(D130:AM130)</f>
        <v>-19004441.378983259</v>
      </c>
    </row>
    <row r="133" spans="2:39" ht="12.95">
      <c r="B133" s="357" t="s">
        <v>457</v>
      </c>
      <c r="C133" s="284" t="s">
        <v>364</v>
      </c>
    </row>
    <row r="134" spans="2:39">
      <c r="B134" s="286" t="str">
        <f>B122</f>
        <v>Avoided electricity cost (grid)</v>
      </c>
      <c r="C134" s="358" t="s">
        <v>417</v>
      </c>
      <c r="D134" s="289">
        <f t="shared" ref="D134:AM134" si="17">D122</f>
        <v>-3390028.8696795148</v>
      </c>
      <c r="E134" s="289">
        <f t="shared" si="17"/>
        <v>-3390028.8696795148</v>
      </c>
      <c r="F134" s="289">
        <f t="shared" si="17"/>
        <v>-3390028.8696795148</v>
      </c>
      <c r="G134" s="289">
        <f t="shared" si="17"/>
        <v>-3390028.8696795148</v>
      </c>
      <c r="H134" s="289">
        <f t="shared" si="17"/>
        <v>-3390028.8696795148</v>
      </c>
      <c r="I134" s="289">
        <f t="shared" si="17"/>
        <v>-3158390.20372588</v>
      </c>
      <c r="J134" s="289">
        <f t="shared" si="17"/>
        <v>-3158390.20372588</v>
      </c>
      <c r="K134" s="289">
        <f t="shared" si="17"/>
        <v>-3158390.20372588</v>
      </c>
      <c r="L134" s="289">
        <f t="shared" si="17"/>
        <v>-3158390.20372588</v>
      </c>
      <c r="M134" s="289">
        <f t="shared" si="17"/>
        <v>-3158390.20372588</v>
      </c>
      <c r="N134" s="289">
        <f t="shared" si="17"/>
        <v>-3158390.20372588</v>
      </c>
      <c r="O134" s="289">
        <f t="shared" si="17"/>
        <v>-3158390.20372588</v>
      </c>
      <c r="P134" s="289">
        <f t="shared" si="17"/>
        <v>-3158390.20372588</v>
      </c>
      <c r="Q134" s="289">
        <f t="shared" si="17"/>
        <v>-3158390.20372588</v>
      </c>
      <c r="R134" s="289">
        <f t="shared" si="17"/>
        <v>-3158390.20372588</v>
      </c>
      <c r="S134" s="289">
        <f t="shared" si="17"/>
        <v>-3158390.20372588</v>
      </c>
      <c r="T134" s="289">
        <f t="shared" si="17"/>
        <v>-3158390.20372588</v>
      </c>
      <c r="U134" s="289">
        <f t="shared" si="17"/>
        <v>-3158390.20372588</v>
      </c>
      <c r="V134" s="289">
        <f t="shared" si="17"/>
        <v>-3158390.20372588</v>
      </c>
      <c r="W134" s="289">
        <f t="shared" si="17"/>
        <v>-3158390.20372588</v>
      </c>
      <c r="X134" s="289">
        <f t="shared" si="17"/>
        <v>-3158390.20372588</v>
      </c>
      <c r="Y134" s="289">
        <f t="shared" si="17"/>
        <v>-3158390.20372588</v>
      </c>
      <c r="Z134" s="289">
        <f t="shared" si="17"/>
        <v>-3158390.20372588</v>
      </c>
      <c r="AA134" s="289">
        <f t="shared" si="17"/>
        <v>-3158390.20372588</v>
      </c>
      <c r="AB134" s="289">
        <f t="shared" si="17"/>
        <v>-3158390.20372588</v>
      </c>
      <c r="AC134" s="289">
        <f t="shared" si="17"/>
        <v>0</v>
      </c>
      <c r="AD134" s="289">
        <f t="shared" si="17"/>
        <v>0</v>
      </c>
      <c r="AE134" s="289">
        <f t="shared" si="17"/>
        <v>0</v>
      </c>
      <c r="AF134" s="289">
        <f t="shared" si="17"/>
        <v>0</v>
      </c>
      <c r="AG134" s="289">
        <f t="shared" si="17"/>
        <v>0</v>
      </c>
      <c r="AH134" s="289">
        <f t="shared" si="17"/>
        <v>0</v>
      </c>
      <c r="AI134" s="289">
        <f t="shared" si="17"/>
        <v>0</v>
      </c>
      <c r="AJ134" s="289">
        <f t="shared" si="17"/>
        <v>0</v>
      </c>
      <c r="AK134" s="289">
        <f t="shared" si="17"/>
        <v>0</v>
      </c>
      <c r="AL134" s="289">
        <f t="shared" si="17"/>
        <v>0</v>
      </c>
      <c r="AM134" s="290">
        <f t="shared" si="17"/>
        <v>0</v>
      </c>
    </row>
    <row r="135" spans="2:39">
      <c r="B135" s="294" t="str">
        <f>B128</f>
        <v>Avoided annual social cost of carbon</v>
      </c>
      <c r="C135" s="332" t="s">
        <v>417</v>
      </c>
      <c r="D135" s="255">
        <f t="shared" ref="D135:AM135" si="18">D128</f>
        <v>-456892.25629001088</v>
      </c>
      <c r="E135" s="255">
        <f t="shared" si="18"/>
        <v>-456892.25629001088</v>
      </c>
      <c r="F135" s="255">
        <f t="shared" si="18"/>
        <v>-456892.25629001088</v>
      </c>
      <c r="G135" s="255">
        <f t="shared" si="18"/>
        <v>-456892.25629001088</v>
      </c>
      <c r="H135" s="255">
        <f t="shared" si="18"/>
        <v>-456892.25629001088</v>
      </c>
      <c r="I135" s="255">
        <f t="shared" si="18"/>
        <v>-425673.07887292613</v>
      </c>
      <c r="J135" s="255">
        <f t="shared" si="18"/>
        <v>-425673.07887292613</v>
      </c>
      <c r="K135" s="255">
        <f t="shared" si="18"/>
        <v>-425673.07887292613</v>
      </c>
      <c r="L135" s="255">
        <f t="shared" si="18"/>
        <v>-425673.07887292613</v>
      </c>
      <c r="M135" s="255">
        <f t="shared" si="18"/>
        <v>-425673.07887292613</v>
      </c>
      <c r="N135" s="255">
        <f t="shared" si="18"/>
        <v>-425673.07887292613</v>
      </c>
      <c r="O135" s="255">
        <f t="shared" si="18"/>
        <v>-425673.07887292613</v>
      </c>
      <c r="P135" s="255">
        <f t="shared" si="18"/>
        <v>-425673.07887292613</v>
      </c>
      <c r="Q135" s="255">
        <f t="shared" si="18"/>
        <v>-425673.07887292613</v>
      </c>
      <c r="R135" s="255">
        <f t="shared" si="18"/>
        <v>-425673.07887292613</v>
      </c>
      <c r="S135" s="255">
        <f t="shared" si="18"/>
        <v>-425673.07887292613</v>
      </c>
      <c r="T135" s="255">
        <f t="shared" si="18"/>
        <v>-425673.07887292613</v>
      </c>
      <c r="U135" s="255">
        <f t="shared" si="18"/>
        <v>-425673.07887292613</v>
      </c>
      <c r="V135" s="255">
        <f t="shared" si="18"/>
        <v>-425673.07887292613</v>
      </c>
      <c r="W135" s="255">
        <f t="shared" si="18"/>
        <v>-425673.07887292613</v>
      </c>
      <c r="X135" s="255">
        <f t="shared" si="18"/>
        <v>-425673.07887292613</v>
      </c>
      <c r="Y135" s="255">
        <f t="shared" si="18"/>
        <v>-425673.07887292613</v>
      </c>
      <c r="Z135" s="255">
        <f t="shared" si="18"/>
        <v>-425673.07887292613</v>
      </c>
      <c r="AA135" s="255">
        <f t="shared" si="18"/>
        <v>-425673.07887292613</v>
      </c>
      <c r="AB135" s="255">
        <f t="shared" si="18"/>
        <v>-425673.07887292613</v>
      </c>
      <c r="AC135" s="255">
        <f t="shared" si="18"/>
        <v>0</v>
      </c>
      <c r="AD135" s="255">
        <f t="shared" si="18"/>
        <v>0</v>
      </c>
      <c r="AE135" s="255">
        <f t="shared" si="18"/>
        <v>0</v>
      </c>
      <c r="AF135" s="255">
        <f t="shared" si="18"/>
        <v>0</v>
      </c>
      <c r="AG135" s="255">
        <f t="shared" si="18"/>
        <v>0</v>
      </c>
      <c r="AH135" s="255">
        <f t="shared" si="18"/>
        <v>0</v>
      </c>
      <c r="AI135" s="255">
        <f t="shared" si="18"/>
        <v>0</v>
      </c>
      <c r="AJ135" s="255">
        <f t="shared" si="18"/>
        <v>0</v>
      </c>
      <c r="AK135" s="255">
        <f t="shared" si="18"/>
        <v>0</v>
      </c>
      <c r="AL135" s="255">
        <f t="shared" si="18"/>
        <v>0</v>
      </c>
      <c r="AM135" s="293">
        <f t="shared" si="18"/>
        <v>0</v>
      </c>
    </row>
    <row r="136" spans="2:39" ht="12.95">
      <c r="B136" s="359" t="s">
        <v>458</v>
      </c>
      <c r="C136" s="324" t="s">
        <v>417</v>
      </c>
      <c r="D136" s="321">
        <f>D134+D135</f>
        <v>-3846921.1259695254</v>
      </c>
      <c r="E136" s="321">
        <f t="shared" ref="E136:AM136" si="19">E134+E135</f>
        <v>-3846921.1259695254</v>
      </c>
      <c r="F136" s="321">
        <f t="shared" si="19"/>
        <v>-3846921.1259695254</v>
      </c>
      <c r="G136" s="321">
        <f t="shared" si="19"/>
        <v>-3846921.1259695254</v>
      </c>
      <c r="H136" s="321">
        <f t="shared" si="19"/>
        <v>-3846921.1259695254</v>
      </c>
      <c r="I136" s="321">
        <f t="shared" si="19"/>
        <v>-3584063.2825988061</v>
      </c>
      <c r="J136" s="321">
        <f t="shared" si="19"/>
        <v>-3584063.2825988061</v>
      </c>
      <c r="K136" s="321">
        <f t="shared" si="19"/>
        <v>-3584063.2825988061</v>
      </c>
      <c r="L136" s="321">
        <f t="shared" si="19"/>
        <v>-3584063.2825988061</v>
      </c>
      <c r="M136" s="321">
        <f t="shared" si="19"/>
        <v>-3584063.2825988061</v>
      </c>
      <c r="N136" s="321">
        <f t="shared" si="19"/>
        <v>-3584063.2825988061</v>
      </c>
      <c r="O136" s="321">
        <f t="shared" si="19"/>
        <v>-3584063.2825988061</v>
      </c>
      <c r="P136" s="321">
        <f t="shared" si="19"/>
        <v>-3584063.2825988061</v>
      </c>
      <c r="Q136" s="321">
        <f t="shared" si="19"/>
        <v>-3584063.2825988061</v>
      </c>
      <c r="R136" s="321">
        <f t="shared" si="19"/>
        <v>-3584063.2825988061</v>
      </c>
      <c r="S136" s="321">
        <f t="shared" si="19"/>
        <v>-3584063.2825988061</v>
      </c>
      <c r="T136" s="321">
        <f t="shared" si="19"/>
        <v>-3584063.2825988061</v>
      </c>
      <c r="U136" s="321">
        <f t="shared" si="19"/>
        <v>-3584063.2825988061</v>
      </c>
      <c r="V136" s="321">
        <f t="shared" si="19"/>
        <v>-3584063.2825988061</v>
      </c>
      <c r="W136" s="321">
        <f t="shared" si="19"/>
        <v>-3584063.2825988061</v>
      </c>
      <c r="X136" s="321">
        <f t="shared" si="19"/>
        <v>-3584063.2825988061</v>
      </c>
      <c r="Y136" s="321">
        <f t="shared" si="19"/>
        <v>-3584063.2825988061</v>
      </c>
      <c r="Z136" s="321">
        <f t="shared" si="19"/>
        <v>-3584063.2825988061</v>
      </c>
      <c r="AA136" s="321">
        <f t="shared" si="19"/>
        <v>-3584063.2825988061</v>
      </c>
      <c r="AB136" s="321">
        <f t="shared" si="19"/>
        <v>-3584063.2825988061</v>
      </c>
      <c r="AC136" s="321">
        <f t="shared" si="19"/>
        <v>0</v>
      </c>
      <c r="AD136" s="321">
        <f t="shared" si="19"/>
        <v>0</v>
      </c>
      <c r="AE136" s="321">
        <f t="shared" si="19"/>
        <v>0</v>
      </c>
      <c r="AF136" s="321">
        <f t="shared" si="19"/>
        <v>0</v>
      </c>
      <c r="AG136" s="321">
        <f t="shared" si="19"/>
        <v>0</v>
      </c>
      <c r="AH136" s="321">
        <f t="shared" si="19"/>
        <v>0</v>
      </c>
      <c r="AI136" s="321">
        <f t="shared" si="19"/>
        <v>0</v>
      </c>
      <c r="AJ136" s="321">
        <f t="shared" si="19"/>
        <v>0</v>
      </c>
      <c r="AK136" s="321">
        <f t="shared" si="19"/>
        <v>0</v>
      </c>
      <c r="AL136" s="321">
        <f t="shared" si="19"/>
        <v>0</v>
      </c>
      <c r="AM136" s="322">
        <f t="shared" si="19"/>
        <v>0</v>
      </c>
    </row>
    <row r="137" spans="2:39">
      <c r="B137" s="360" t="s">
        <v>424</v>
      </c>
      <c r="C137" s="358" t="s">
        <v>417</v>
      </c>
      <c r="D137" s="289">
        <f t="shared" ref="D137:M137" si="20">D94</f>
        <v>18568888.840961538</v>
      </c>
      <c r="E137" s="289">
        <f t="shared" si="20"/>
        <v>0</v>
      </c>
      <c r="F137" s="289">
        <f t="shared" si="20"/>
        <v>0</v>
      </c>
      <c r="G137" s="289">
        <f t="shared" si="20"/>
        <v>0</v>
      </c>
      <c r="H137" s="289">
        <f t="shared" si="20"/>
        <v>0</v>
      </c>
      <c r="I137" s="289">
        <f t="shared" si="20"/>
        <v>0</v>
      </c>
      <c r="J137" s="289">
        <f t="shared" si="20"/>
        <v>0</v>
      </c>
      <c r="K137" s="289">
        <f t="shared" si="20"/>
        <v>0</v>
      </c>
      <c r="L137" s="289">
        <f t="shared" si="20"/>
        <v>0</v>
      </c>
      <c r="M137" s="290">
        <f t="shared" si="20"/>
        <v>0</v>
      </c>
      <c r="N137" s="352"/>
    </row>
    <row r="138" spans="2:39">
      <c r="B138" s="361" t="s">
        <v>459</v>
      </c>
      <c r="C138" s="358" t="s">
        <v>417</v>
      </c>
      <c r="D138" s="289">
        <f>D9</f>
        <v>1727601.4840961539</v>
      </c>
      <c r="E138" s="289">
        <f t="shared" ref="E138:AB138" si="21">$D$138</f>
        <v>1727601.4840961539</v>
      </c>
      <c r="F138" s="289">
        <f t="shared" si="21"/>
        <v>1727601.4840961539</v>
      </c>
      <c r="G138" s="289">
        <f t="shared" si="21"/>
        <v>1727601.4840961539</v>
      </c>
      <c r="H138" s="289">
        <f t="shared" si="21"/>
        <v>1727601.4840961539</v>
      </c>
      <c r="I138" s="289">
        <f t="shared" si="21"/>
        <v>1727601.4840961539</v>
      </c>
      <c r="J138" s="289">
        <f t="shared" si="21"/>
        <v>1727601.4840961539</v>
      </c>
      <c r="K138" s="289">
        <f t="shared" si="21"/>
        <v>1727601.4840961539</v>
      </c>
      <c r="L138" s="289">
        <f t="shared" si="21"/>
        <v>1727601.4840961539</v>
      </c>
      <c r="M138" s="289">
        <f t="shared" si="21"/>
        <v>1727601.4840961539</v>
      </c>
      <c r="N138" s="289">
        <f t="shared" si="21"/>
        <v>1727601.4840961539</v>
      </c>
      <c r="O138" s="289">
        <f t="shared" si="21"/>
        <v>1727601.4840961539</v>
      </c>
      <c r="P138" s="289">
        <f t="shared" si="21"/>
        <v>1727601.4840961539</v>
      </c>
      <c r="Q138" s="289">
        <f t="shared" si="21"/>
        <v>1727601.4840961539</v>
      </c>
      <c r="R138" s="289">
        <f t="shared" si="21"/>
        <v>1727601.4840961539</v>
      </c>
      <c r="S138" s="289">
        <f t="shared" si="21"/>
        <v>1727601.4840961539</v>
      </c>
      <c r="T138" s="289">
        <f t="shared" si="21"/>
        <v>1727601.4840961539</v>
      </c>
      <c r="U138" s="289">
        <f t="shared" si="21"/>
        <v>1727601.4840961539</v>
      </c>
      <c r="V138" s="289">
        <f t="shared" si="21"/>
        <v>1727601.4840961539</v>
      </c>
      <c r="W138" s="289">
        <f t="shared" si="21"/>
        <v>1727601.4840961539</v>
      </c>
      <c r="X138" s="289">
        <f t="shared" si="21"/>
        <v>1727601.4840961539</v>
      </c>
      <c r="Y138" s="289">
        <f t="shared" si="21"/>
        <v>1727601.4840961539</v>
      </c>
      <c r="Z138" s="289">
        <f t="shared" si="21"/>
        <v>1727601.4840961539</v>
      </c>
      <c r="AA138" s="289">
        <f t="shared" si="21"/>
        <v>1727601.4840961539</v>
      </c>
      <c r="AB138" s="289">
        <f t="shared" si="21"/>
        <v>1727601.4840961539</v>
      </c>
      <c r="AC138" s="289">
        <v>1990816.9347549786</v>
      </c>
      <c r="AD138" s="289">
        <v>1990816.9347549786</v>
      </c>
      <c r="AE138" s="289" t="e">
        <f>AE82+#REF!</f>
        <v>#REF!</v>
      </c>
      <c r="AF138" s="289" t="e">
        <f>AF82+#REF!</f>
        <v>#REF!</v>
      </c>
      <c r="AG138" s="289" t="e">
        <f>AG82+#REF!</f>
        <v>#REF!</v>
      </c>
      <c r="AH138" s="289" t="e">
        <f>AH82+#REF!</f>
        <v>#REF!</v>
      </c>
      <c r="AI138" s="289" t="e">
        <f>AI82+#REF!</f>
        <v>#REF!</v>
      </c>
      <c r="AJ138" s="289" t="e">
        <f>AJ82+#REF!</f>
        <v>#REF!</v>
      </c>
      <c r="AK138" s="289" t="e">
        <f>AK82+#REF!</f>
        <v>#REF!</v>
      </c>
      <c r="AL138" s="289" t="e">
        <f>AL82+#REF!</f>
        <v>#REF!</v>
      </c>
      <c r="AM138" s="290" t="e">
        <f>AM82+#REF!</f>
        <v>#REF!</v>
      </c>
    </row>
    <row r="139" spans="2:39">
      <c r="B139" s="362" t="s">
        <v>460</v>
      </c>
      <c r="C139" s="363" t="s">
        <v>417</v>
      </c>
      <c r="D139" s="255">
        <f t="shared" ref="D139:AM139" si="22">D83</f>
        <v>0</v>
      </c>
      <c r="E139" s="255">
        <f t="shared" si="22"/>
        <v>0</v>
      </c>
      <c r="F139" s="255">
        <f t="shared" si="22"/>
        <v>0</v>
      </c>
      <c r="G139" s="255">
        <f t="shared" si="22"/>
        <v>0</v>
      </c>
      <c r="H139" s="255">
        <f t="shared" si="22"/>
        <v>0</v>
      </c>
      <c r="I139" s="255">
        <f t="shared" si="22"/>
        <v>0</v>
      </c>
      <c r="J139" s="255">
        <f t="shared" si="22"/>
        <v>0</v>
      </c>
      <c r="K139" s="255">
        <f t="shared" si="22"/>
        <v>0</v>
      </c>
      <c r="L139" s="255">
        <f t="shared" si="22"/>
        <v>0</v>
      </c>
      <c r="M139" s="255">
        <f t="shared" si="22"/>
        <v>0</v>
      </c>
      <c r="N139" s="255">
        <f t="shared" si="22"/>
        <v>0</v>
      </c>
      <c r="O139" s="255">
        <f t="shared" si="22"/>
        <v>0</v>
      </c>
      <c r="P139" s="255">
        <f t="shared" si="22"/>
        <v>0</v>
      </c>
      <c r="Q139" s="255">
        <f t="shared" si="22"/>
        <v>0</v>
      </c>
      <c r="R139" s="255">
        <f t="shared" si="22"/>
        <v>0</v>
      </c>
      <c r="S139" s="255">
        <f t="shared" si="22"/>
        <v>0</v>
      </c>
      <c r="T139" s="255">
        <f t="shared" si="22"/>
        <v>0</v>
      </c>
      <c r="U139" s="255">
        <f t="shared" si="22"/>
        <v>0</v>
      </c>
      <c r="V139" s="255">
        <f t="shared" si="22"/>
        <v>0</v>
      </c>
      <c r="W139" s="255">
        <f t="shared" si="22"/>
        <v>0</v>
      </c>
      <c r="X139" s="255">
        <f t="shared" si="22"/>
        <v>0</v>
      </c>
      <c r="Y139" s="255">
        <f t="shared" si="22"/>
        <v>0</v>
      </c>
      <c r="Z139" s="255">
        <f t="shared" si="22"/>
        <v>0</v>
      </c>
      <c r="AA139" s="255">
        <f t="shared" si="22"/>
        <v>0</v>
      </c>
      <c r="AB139" s="255">
        <f t="shared" si="22"/>
        <v>0</v>
      </c>
      <c r="AC139" s="255">
        <f t="shared" si="22"/>
        <v>0</v>
      </c>
      <c r="AD139" s="255">
        <f t="shared" si="22"/>
        <v>0</v>
      </c>
      <c r="AE139" s="255">
        <f t="shared" si="22"/>
        <v>0</v>
      </c>
      <c r="AF139" s="255">
        <f t="shared" si="22"/>
        <v>0</v>
      </c>
      <c r="AG139" s="255">
        <f t="shared" si="22"/>
        <v>0</v>
      </c>
      <c r="AH139" s="255">
        <f t="shared" si="22"/>
        <v>0</v>
      </c>
      <c r="AI139" s="255">
        <f t="shared" si="22"/>
        <v>0</v>
      </c>
      <c r="AJ139" s="255">
        <f t="shared" si="22"/>
        <v>0</v>
      </c>
      <c r="AK139" s="255">
        <f t="shared" si="22"/>
        <v>0</v>
      </c>
      <c r="AL139" s="255">
        <f t="shared" si="22"/>
        <v>0</v>
      </c>
      <c r="AM139" s="293">
        <f t="shared" si="22"/>
        <v>0</v>
      </c>
    </row>
    <row r="140" spans="2:39">
      <c r="B140" s="362" t="s">
        <v>428</v>
      </c>
      <c r="C140" s="363" t="s">
        <v>417</v>
      </c>
      <c r="D140" s="255">
        <f>D97</f>
        <v>0</v>
      </c>
      <c r="E140" s="255">
        <f t="shared" ref="E140:AM141" si="23">E97</f>
        <v>0</v>
      </c>
      <c r="F140" s="255">
        <f t="shared" si="23"/>
        <v>0</v>
      </c>
      <c r="G140" s="255">
        <f t="shared" si="23"/>
        <v>0</v>
      </c>
      <c r="H140" s="255">
        <f t="shared" si="23"/>
        <v>0</v>
      </c>
      <c r="I140" s="255">
        <f t="shared" si="23"/>
        <v>0</v>
      </c>
      <c r="J140" s="255">
        <f t="shared" si="23"/>
        <v>0</v>
      </c>
      <c r="K140" s="255">
        <f t="shared" si="23"/>
        <v>0</v>
      </c>
      <c r="L140" s="255">
        <f t="shared" si="23"/>
        <v>0</v>
      </c>
      <c r="M140" s="255">
        <f t="shared" si="23"/>
        <v>0</v>
      </c>
      <c r="N140" s="255">
        <f t="shared" si="23"/>
        <v>0</v>
      </c>
      <c r="O140" s="255">
        <f t="shared" si="23"/>
        <v>0</v>
      </c>
      <c r="P140" s="255">
        <f t="shared" si="23"/>
        <v>0</v>
      </c>
      <c r="Q140" s="255">
        <f t="shared" si="23"/>
        <v>0</v>
      </c>
      <c r="R140" s="255">
        <f t="shared" si="23"/>
        <v>0</v>
      </c>
      <c r="S140" s="255">
        <f t="shared" si="23"/>
        <v>0</v>
      </c>
      <c r="T140" s="255">
        <f t="shared" si="23"/>
        <v>0</v>
      </c>
      <c r="U140" s="255">
        <f t="shared" si="23"/>
        <v>0</v>
      </c>
      <c r="V140" s="255">
        <f t="shared" si="23"/>
        <v>0</v>
      </c>
      <c r="W140" s="255">
        <f t="shared" si="23"/>
        <v>0</v>
      </c>
      <c r="X140" s="255">
        <f t="shared" si="23"/>
        <v>0</v>
      </c>
      <c r="Y140" s="255">
        <f t="shared" si="23"/>
        <v>0</v>
      </c>
      <c r="Z140" s="255">
        <f t="shared" si="23"/>
        <v>0</v>
      </c>
      <c r="AA140" s="255">
        <f t="shared" si="23"/>
        <v>0</v>
      </c>
      <c r="AB140" s="255">
        <f t="shared" si="23"/>
        <v>0</v>
      </c>
      <c r="AC140" s="255">
        <f t="shared" si="23"/>
        <v>0</v>
      </c>
      <c r="AD140" s="255">
        <f t="shared" si="23"/>
        <v>0</v>
      </c>
      <c r="AE140" s="255">
        <f t="shared" si="23"/>
        <v>0</v>
      </c>
      <c r="AF140" s="255">
        <f t="shared" si="23"/>
        <v>0</v>
      </c>
      <c r="AG140" s="255">
        <f t="shared" si="23"/>
        <v>0</v>
      </c>
      <c r="AH140" s="255">
        <f t="shared" si="23"/>
        <v>0</v>
      </c>
      <c r="AI140" s="255">
        <f t="shared" si="23"/>
        <v>0</v>
      </c>
      <c r="AJ140" s="255">
        <f t="shared" si="23"/>
        <v>0</v>
      </c>
      <c r="AK140" s="255">
        <f t="shared" si="23"/>
        <v>0</v>
      </c>
      <c r="AL140" s="255">
        <f t="shared" si="23"/>
        <v>0</v>
      </c>
      <c r="AM140" s="293">
        <f t="shared" si="23"/>
        <v>0</v>
      </c>
    </row>
    <row r="141" spans="2:39">
      <c r="B141" s="364" t="s">
        <v>429</v>
      </c>
      <c r="C141" s="332" t="s">
        <v>417</v>
      </c>
      <c r="D141" s="297">
        <f>D98</f>
        <v>0</v>
      </c>
      <c r="E141" s="297">
        <f t="shared" si="23"/>
        <v>742755.55363846151</v>
      </c>
      <c r="F141" s="297">
        <f t="shared" si="23"/>
        <v>742755.55363846151</v>
      </c>
      <c r="G141" s="297">
        <f t="shared" si="23"/>
        <v>742755.55363846151</v>
      </c>
      <c r="H141" s="297">
        <f t="shared" si="23"/>
        <v>742755.55363846151</v>
      </c>
      <c r="I141" s="297">
        <f t="shared" si="23"/>
        <v>742755.55363846151</v>
      </c>
      <c r="J141" s="297">
        <f t="shared" si="23"/>
        <v>742755.55363846151</v>
      </c>
      <c r="K141" s="297">
        <f t="shared" si="23"/>
        <v>742755.55363846151</v>
      </c>
      <c r="L141" s="297">
        <f t="shared" si="23"/>
        <v>742755.55363846151</v>
      </c>
      <c r="M141" s="297">
        <f t="shared" si="23"/>
        <v>742755.55363846151</v>
      </c>
      <c r="N141" s="297">
        <f t="shared" si="23"/>
        <v>742755.55363846151</v>
      </c>
      <c r="O141" s="297">
        <f t="shared" si="23"/>
        <v>742755.55363846151</v>
      </c>
      <c r="P141" s="297">
        <f t="shared" si="23"/>
        <v>742755.55363846151</v>
      </c>
      <c r="Q141" s="297">
        <f t="shared" si="23"/>
        <v>742755.55363846151</v>
      </c>
      <c r="R141" s="297">
        <f t="shared" si="23"/>
        <v>742755.55363846151</v>
      </c>
      <c r="S141" s="297">
        <f t="shared" si="23"/>
        <v>742755.55363846151</v>
      </c>
      <c r="T141" s="297">
        <f t="shared" si="23"/>
        <v>742755.55363846151</v>
      </c>
      <c r="U141" s="297">
        <f t="shared" si="23"/>
        <v>742755.55363846151</v>
      </c>
      <c r="V141" s="297">
        <f t="shared" si="23"/>
        <v>742755.55363846151</v>
      </c>
      <c r="W141" s="297">
        <f t="shared" si="23"/>
        <v>742755.55363846151</v>
      </c>
      <c r="X141" s="297">
        <f t="shared" si="23"/>
        <v>742755.55363846151</v>
      </c>
      <c r="Y141" s="297">
        <f t="shared" si="23"/>
        <v>742755.55363846151</v>
      </c>
      <c r="Z141" s="297">
        <f t="shared" si="23"/>
        <v>742755.55363846151</v>
      </c>
      <c r="AA141" s="297">
        <f t="shared" si="23"/>
        <v>742755.55363846151</v>
      </c>
      <c r="AB141" s="297">
        <f t="shared" si="23"/>
        <v>742755.55363846151</v>
      </c>
      <c r="AC141" s="297">
        <f t="shared" si="23"/>
        <v>742755.55363846151</v>
      </c>
      <c r="AD141" s="297">
        <f t="shared" si="23"/>
        <v>0</v>
      </c>
      <c r="AE141" s="297">
        <f t="shared" si="23"/>
        <v>0</v>
      </c>
      <c r="AF141" s="297">
        <f t="shared" si="23"/>
        <v>0</v>
      </c>
      <c r="AG141" s="297">
        <f t="shared" si="23"/>
        <v>0</v>
      </c>
      <c r="AH141" s="297">
        <f t="shared" si="23"/>
        <v>0</v>
      </c>
      <c r="AI141" s="297">
        <f t="shared" si="23"/>
        <v>0</v>
      </c>
      <c r="AJ141" s="297">
        <f t="shared" si="23"/>
        <v>0</v>
      </c>
      <c r="AK141" s="297">
        <f t="shared" si="23"/>
        <v>0</v>
      </c>
      <c r="AL141" s="297">
        <f t="shared" si="23"/>
        <v>0</v>
      </c>
      <c r="AM141" s="298">
        <f t="shared" si="23"/>
        <v>0</v>
      </c>
    </row>
    <row r="142" spans="2:39" ht="12.95">
      <c r="B142" s="365" t="s">
        <v>461</v>
      </c>
      <c r="C142" s="366" t="s">
        <v>417</v>
      </c>
      <c r="D142" s="302">
        <f>SUM(D137:D141)</f>
        <v>20296490.325057693</v>
      </c>
      <c r="E142" s="302">
        <f t="shared" ref="E142:AM142" si="24">SUM(E137:E141)</f>
        <v>2470357.0377346156</v>
      </c>
      <c r="F142" s="302">
        <f t="shared" si="24"/>
        <v>2470357.0377346156</v>
      </c>
      <c r="G142" s="302">
        <f t="shared" si="24"/>
        <v>2470357.0377346156</v>
      </c>
      <c r="H142" s="302">
        <f t="shared" si="24"/>
        <v>2470357.0377346156</v>
      </c>
      <c r="I142" s="302">
        <f t="shared" si="24"/>
        <v>2470357.0377346156</v>
      </c>
      <c r="J142" s="302">
        <f t="shared" si="24"/>
        <v>2470357.0377346156</v>
      </c>
      <c r="K142" s="302">
        <f t="shared" si="24"/>
        <v>2470357.0377346156</v>
      </c>
      <c r="L142" s="302">
        <f t="shared" si="24"/>
        <v>2470357.0377346156</v>
      </c>
      <c r="M142" s="302">
        <f t="shared" si="24"/>
        <v>2470357.0377346156</v>
      </c>
      <c r="N142" s="302">
        <f t="shared" si="24"/>
        <v>2470357.0377346156</v>
      </c>
      <c r="O142" s="302">
        <f t="shared" si="24"/>
        <v>2470357.0377346156</v>
      </c>
      <c r="P142" s="302">
        <f t="shared" si="24"/>
        <v>2470357.0377346156</v>
      </c>
      <c r="Q142" s="302">
        <f t="shared" si="24"/>
        <v>2470357.0377346156</v>
      </c>
      <c r="R142" s="302">
        <f t="shared" si="24"/>
        <v>2470357.0377346156</v>
      </c>
      <c r="S142" s="302">
        <f t="shared" si="24"/>
        <v>2470357.0377346156</v>
      </c>
      <c r="T142" s="302">
        <f t="shared" si="24"/>
        <v>2470357.0377346156</v>
      </c>
      <c r="U142" s="302">
        <f t="shared" si="24"/>
        <v>2470357.0377346156</v>
      </c>
      <c r="V142" s="302">
        <f t="shared" si="24"/>
        <v>2470357.0377346156</v>
      </c>
      <c r="W142" s="302">
        <f t="shared" si="24"/>
        <v>2470357.0377346156</v>
      </c>
      <c r="X142" s="302">
        <f t="shared" si="24"/>
        <v>2470357.0377346156</v>
      </c>
      <c r="Y142" s="302">
        <f t="shared" si="24"/>
        <v>2470357.0377346156</v>
      </c>
      <c r="Z142" s="302">
        <f t="shared" si="24"/>
        <v>2470357.0377346156</v>
      </c>
      <c r="AA142" s="302">
        <f t="shared" si="24"/>
        <v>2470357.0377346156</v>
      </c>
      <c r="AB142" s="302">
        <f t="shared" si="24"/>
        <v>2470357.0377346156</v>
      </c>
      <c r="AC142" s="302">
        <f t="shared" si="24"/>
        <v>2733572.4883934399</v>
      </c>
      <c r="AD142" s="302">
        <f t="shared" si="24"/>
        <v>1990816.9347549786</v>
      </c>
      <c r="AE142" s="302" t="e">
        <f t="shared" si="24"/>
        <v>#REF!</v>
      </c>
      <c r="AF142" s="302" t="e">
        <f t="shared" si="24"/>
        <v>#REF!</v>
      </c>
      <c r="AG142" s="302" t="e">
        <f t="shared" si="24"/>
        <v>#REF!</v>
      </c>
      <c r="AH142" s="302" t="e">
        <f t="shared" si="24"/>
        <v>#REF!</v>
      </c>
      <c r="AI142" s="302" t="e">
        <f t="shared" si="24"/>
        <v>#REF!</v>
      </c>
      <c r="AJ142" s="302" t="e">
        <f t="shared" si="24"/>
        <v>#REF!</v>
      </c>
      <c r="AK142" s="302" t="e">
        <f t="shared" si="24"/>
        <v>#REF!</v>
      </c>
      <c r="AL142" s="302" t="e">
        <f t="shared" si="24"/>
        <v>#REF!</v>
      </c>
      <c r="AM142" s="302" t="e">
        <f t="shared" si="24"/>
        <v>#REF!</v>
      </c>
    </row>
    <row r="143" spans="2:39" ht="12.95">
      <c r="B143" s="367" t="s">
        <v>462</v>
      </c>
      <c r="C143" s="366" t="s">
        <v>417</v>
      </c>
      <c r="D143" s="320">
        <f>D136-D142</f>
        <v>-24143411.451027218</v>
      </c>
      <c r="E143" s="321">
        <f t="shared" ref="E143:AM143" si="25">E136-E138-E139</f>
        <v>-5574522.6100656791</v>
      </c>
      <c r="F143" s="321">
        <f t="shared" si="25"/>
        <v>-5574522.6100656791</v>
      </c>
      <c r="G143" s="321">
        <f t="shared" si="25"/>
        <v>-5574522.6100656791</v>
      </c>
      <c r="H143" s="321">
        <f t="shared" si="25"/>
        <v>-5574522.6100656791</v>
      </c>
      <c r="I143" s="321">
        <f t="shared" si="25"/>
        <v>-5311664.7666949602</v>
      </c>
      <c r="J143" s="321">
        <f t="shared" si="25"/>
        <v>-5311664.7666949602</v>
      </c>
      <c r="K143" s="321">
        <f t="shared" si="25"/>
        <v>-5311664.7666949602</v>
      </c>
      <c r="L143" s="321">
        <f t="shared" si="25"/>
        <v>-5311664.7666949602</v>
      </c>
      <c r="M143" s="321">
        <f t="shared" si="25"/>
        <v>-5311664.7666949602</v>
      </c>
      <c r="N143" s="321">
        <f t="shared" si="25"/>
        <v>-5311664.7666949602</v>
      </c>
      <c r="O143" s="321">
        <f t="shared" si="25"/>
        <v>-5311664.7666949602</v>
      </c>
      <c r="P143" s="321">
        <f t="shared" si="25"/>
        <v>-5311664.7666949602</v>
      </c>
      <c r="Q143" s="321">
        <f t="shared" si="25"/>
        <v>-5311664.7666949602</v>
      </c>
      <c r="R143" s="321">
        <f t="shared" si="25"/>
        <v>-5311664.7666949602</v>
      </c>
      <c r="S143" s="321">
        <f t="shared" si="25"/>
        <v>-5311664.7666949602</v>
      </c>
      <c r="T143" s="321">
        <f t="shared" si="25"/>
        <v>-5311664.7666949602</v>
      </c>
      <c r="U143" s="321">
        <f t="shared" si="25"/>
        <v>-5311664.7666949602</v>
      </c>
      <c r="V143" s="321">
        <f t="shared" si="25"/>
        <v>-5311664.7666949602</v>
      </c>
      <c r="W143" s="321">
        <f t="shared" si="25"/>
        <v>-5311664.7666949602</v>
      </c>
      <c r="X143" s="321">
        <f t="shared" si="25"/>
        <v>-5311664.7666949602</v>
      </c>
      <c r="Y143" s="321">
        <f t="shared" si="25"/>
        <v>-5311664.7666949602</v>
      </c>
      <c r="Z143" s="321">
        <f t="shared" si="25"/>
        <v>-5311664.7666949602</v>
      </c>
      <c r="AA143" s="321">
        <f t="shared" si="25"/>
        <v>-5311664.7666949602</v>
      </c>
      <c r="AB143" s="321">
        <f t="shared" si="25"/>
        <v>-5311664.7666949602</v>
      </c>
      <c r="AC143" s="321">
        <f t="shared" si="25"/>
        <v>-1990816.9347549786</v>
      </c>
      <c r="AD143" s="321">
        <f t="shared" si="25"/>
        <v>-1990816.9347549786</v>
      </c>
      <c r="AE143" s="321" t="e">
        <f t="shared" si="25"/>
        <v>#REF!</v>
      </c>
      <c r="AF143" s="321" t="e">
        <f t="shared" si="25"/>
        <v>#REF!</v>
      </c>
      <c r="AG143" s="321" t="e">
        <f t="shared" si="25"/>
        <v>#REF!</v>
      </c>
      <c r="AH143" s="321" t="e">
        <f t="shared" si="25"/>
        <v>#REF!</v>
      </c>
      <c r="AI143" s="321" t="e">
        <f t="shared" si="25"/>
        <v>#REF!</v>
      </c>
      <c r="AJ143" s="321" t="e">
        <f t="shared" si="25"/>
        <v>#REF!</v>
      </c>
      <c r="AK143" s="321" t="e">
        <f t="shared" si="25"/>
        <v>#REF!</v>
      </c>
      <c r="AL143" s="321" t="e">
        <f t="shared" si="25"/>
        <v>#REF!</v>
      </c>
      <c r="AM143" s="322" t="e">
        <f t="shared" si="25"/>
        <v>#REF!</v>
      </c>
    </row>
    <row r="146" spans="1:39" ht="12.95">
      <c r="B146" s="357" t="s">
        <v>463</v>
      </c>
      <c r="C146" s="284" t="s">
        <v>364</v>
      </c>
    </row>
    <row r="147" spans="1:39">
      <c r="B147" s="276" t="s">
        <v>464</v>
      </c>
      <c r="C147" s="259" t="s">
        <v>417</v>
      </c>
      <c r="D147" s="347">
        <f>D78*$D$17</f>
        <v>4419990.9672583388</v>
      </c>
      <c r="E147" s="348">
        <f t="shared" ref="E147:AM147" si="26">E78*$D$17</f>
        <v>4419990.9672583388</v>
      </c>
      <c r="F147" s="348">
        <f t="shared" si="26"/>
        <v>4419990.9672583388</v>
      </c>
      <c r="G147" s="348">
        <f t="shared" si="26"/>
        <v>4419990.9672583388</v>
      </c>
      <c r="H147" s="348">
        <f t="shared" si="26"/>
        <v>4419990.9672583388</v>
      </c>
      <c r="I147" s="348">
        <f t="shared" si="26"/>
        <v>4117975.6008583391</v>
      </c>
      <c r="J147" s="348">
        <f t="shared" si="26"/>
        <v>4117975.6008583391</v>
      </c>
      <c r="K147" s="348">
        <f t="shared" si="26"/>
        <v>4117975.6008583391</v>
      </c>
      <c r="L147" s="348">
        <f t="shared" si="26"/>
        <v>4117975.6008583391</v>
      </c>
      <c r="M147" s="348">
        <f t="shared" si="26"/>
        <v>4117975.6008583391</v>
      </c>
      <c r="N147" s="348">
        <f t="shared" si="26"/>
        <v>4117975.6008583391</v>
      </c>
      <c r="O147" s="348">
        <f t="shared" si="26"/>
        <v>4117975.6008583391</v>
      </c>
      <c r="P147" s="348">
        <f t="shared" si="26"/>
        <v>4117975.6008583391</v>
      </c>
      <c r="Q147" s="348">
        <f t="shared" si="26"/>
        <v>4117975.6008583391</v>
      </c>
      <c r="R147" s="348">
        <f t="shared" si="26"/>
        <v>4117975.6008583391</v>
      </c>
      <c r="S147" s="348">
        <f t="shared" si="26"/>
        <v>4117975.6008583391</v>
      </c>
      <c r="T147" s="348">
        <f t="shared" si="26"/>
        <v>4117975.6008583391</v>
      </c>
      <c r="U147" s="348">
        <f t="shared" si="26"/>
        <v>4117975.6008583391</v>
      </c>
      <c r="V147" s="348">
        <f t="shared" si="26"/>
        <v>4117975.6008583391</v>
      </c>
      <c r="W147" s="348">
        <f t="shared" si="26"/>
        <v>4117975.6008583391</v>
      </c>
      <c r="X147" s="348">
        <f t="shared" si="26"/>
        <v>4117975.6008583391</v>
      </c>
      <c r="Y147" s="348">
        <f t="shared" si="26"/>
        <v>4117975.6008583391</v>
      </c>
      <c r="Z147" s="348">
        <f t="shared" si="26"/>
        <v>4117975.6008583391</v>
      </c>
      <c r="AA147" s="348">
        <f t="shared" si="26"/>
        <v>4117975.6008583391</v>
      </c>
      <c r="AB147" s="348">
        <f t="shared" si="26"/>
        <v>4117975.6008583391</v>
      </c>
      <c r="AC147" s="348">
        <f t="shared" si="26"/>
        <v>0</v>
      </c>
      <c r="AD147" s="348">
        <f t="shared" si="26"/>
        <v>0</v>
      </c>
      <c r="AE147" s="348">
        <f t="shared" si="26"/>
        <v>0</v>
      </c>
      <c r="AF147" s="348">
        <f t="shared" si="26"/>
        <v>0</v>
      </c>
      <c r="AG147" s="348">
        <f t="shared" si="26"/>
        <v>0</v>
      </c>
      <c r="AH147" s="348">
        <f t="shared" si="26"/>
        <v>0</v>
      </c>
      <c r="AI147" s="348">
        <f t="shared" si="26"/>
        <v>0</v>
      </c>
      <c r="AJ147" s="348">
        <f t="shared" si="26"/>
        <v>0</v>
      </c>
      <c r="AK147" s="348">
        <f t="shared" si="26"/>
        <v>0</v>
      </c>
      <c r="AL147" s="348">
        <f t="shared" si="26"/>
        <v>0</v>
      </c>
      <c r="AM147" s="349">
        <f t="shared" si="26"/>
        <v>0</v>
      </c>
    </row>
    <row r="148" spans="1:39">
      <c r="B148" s="276" t="s">
        <v>465</v>
      </c>
      <c r="C148" s="259" t="s">
        <v>417</v>
      </c>
      <c r="D148" s="347">
        <f>SUM(D137:D141)</f>
        <v>20296490.325057693</v>
      </c>
      <c r="E148" s="348">
        <f>SUM(E137:E141)</f>
        <v>2470357.0377346156</v>
      </c>
      <c r="F148" s="348">
        <f t="shared" ref="F148:AM148" si="27">SUM(F137:F141)</f>
        <v>2470357.0377346156</v>
      </c>
      <c r="G148" s="348">
        <f t="shared" si="27"/>
        <v>2470357.0377346156</v>
      </c>
      <c r="H148" s="348">
        <f t="shared" si="27"/>
        <v>2470357.0377346156</v>
      </c>
      <c r="I148" s="348">
        <f t="shared" si="27"/>
        <v>2470357.0377346156</v>
      </c>
      <c r="J148" s="348">
        <f t="shared" si="27"/>
        <v>2470357.0377346156</v>
      </c>
      <c r="K148" s="348">
        <f t="shared" si="27"/>
        <v>2470357.0377346156</v>
      </c>
      <c r="L148" s="348">
        <f t="shared" si="27"/>
        <v>2470357.0377346156</v>
      </c>
      <c r="M148" s="348">
        <f t="shared" si="27"/>
        <v>2470357.0377346156</v>
      </c>
      <c r="N148" s="348">
        <f t="shared" si="27"/>
        <v>2470357.0377346156</v>
      </c>
      <c r="O148" s="348">
        <f t="shared" si="27"/>
        <v>2470357.0377346156</v>
      </c>
      <c r="P148" s="348">
        <f t="shared" si="27"/>
        <v>2470357.0377346156</v>
      </c>
      <c r="Q148" s="348">
        <f t="shared" si="27"/>
        <v>2470357.0377346156</v>
      </c>
      <c r="R148" s="348">
        <f t="shared" si="27"/>
        <v>2470357.0377346156</v>
      </c>
      <c r="S148" s="348">
        <f t="shared" si="27"/>
        <v>2470357.0377346156</v>
      </c>
      <c r="T148" s="348">
        <f t="shared" si="27"/>
        <v>2470357.0377346156</v>
      </c>
      <c r="U148" s="348">
        <f t="shared" si="27"/>
        <v>2470357.0377346156</v>
      </c>
      <c r="V148" s="348">
        <f t="shared" si="27"/>
        <v>2470357.0377346156</v>
      </c>
      <c r="W148" s="348">
        <f t="shared" si="27"/>
        <v>2470357.0377346156</v>
      </c>
      <c r="X148" s="348">
        <f t="shared" si="27"/>
        <v>2470357.0377346156</v>
      </c>
      <c r="Y148" s="348">
        <f t="shared" si="27"/>
        <v>2470357.0377346156</v>
      </c>
      <c r="Z148" s="348">
        <f t="shared" si="27"/>
        <v>2470357.0377346156</v>
      </c>
      <c r="AA148" s="348">
        <f t="shared" si="27"/>
        <v>2470357.0377346156</v>
      </c>
      <c r="AB148" s="348">
        <f t="shared" si="27"/>
        <v>2470357.0377346156</v>
      </c>
      <c r="AC148" s="348">
        <f t="shared" si="27"/>
        <v>2733572.4883934399</v>
      </c>
      <c r="AD148" s="348">
        <f t="shared" si="27"/>
        <v>1990816.9347549786</v>
      </c>
      <c r="AE148" s="348" t="e">
        <f t="shared" si="27"/>
        <v>#REF!</v>
      </c>
      <c r="AF148" s="348" t="e">
        <f t="shared" si="27"/>
        <v>#REF!</v>
      </c>
      <c r="AG148" s="348" t="e">
        <f t="shared" si="27"/>
        <v>#REF!</v>
      </c>
      <c r="AH148" s="348" t="e">
        <f t="shared" si="27"/>
        <v>#REF!</v>
      </c>
      <c r="AI148" s="348" t="e">
        <f t="shared" si="27"/>
        <v>#REF!</v>
      </c>
      <c r="AJ148" s="348" t="e">
        <f t="shared" si="27"/>
        <v>#REF!</v>
      </c>
      <c r="AK148" s="348" t="e">
        <f t="shared" si="27"/>
        <v>#REF!</v>
      </c>
      <c r="AL148" s="348" t="e">
        <f t="shared" si="27"/>
        <v>#REF!</v>
      </c>
      <c r="AM148" s="349" t="e">
        <f t="shared" si="27"/>
        <v>#REF!</v>
      </c>
    </row>
    <row r="149" spans="1:39" ht="12.95">
      <c r="B149" s="367" t="s">
        <v>466</v>
      </c>
      <c r="C149" s="366" t="s">
        <v>417</v>
      </c>
      <c r="D149" s="301">
        <f>D147-D148</f>
        <v>-15876499.357799355</v>
      </c>
      <c r="E149" s="302">
        <f t="shared" ref="E149:AM149" si="28">E147-E148</f>
        <v>1949633.9295237232</v>
      </c>
      <c r="F149" s="302">
        <f t="shared" si="28"/>
        <v>1949633.9295237232</v>
      </c>
      <c r="G149" s="302">
        <f t="shared" si="28"/>
        <v>1949633.9295237232</v>
      </c>
      <c r="H149" s="302">
        <f t="shared" si="28"/>
        <v>1949633.9295237232</v>
      </c>
      <c r="I149" s="302">
        <f t="shared" si="28"/>
        <v>1647618.5631237235</v>
      </c>
      <c r="J149" s="302">
        <f t="shared" si="28"/>
        <v>1647618.5631237235</v>
      </c>
      <c r="K149" s="302">
        <f t="shared" si="28"/>
        <v>1647618.5631237235</v>
      </c>
      <c r="L149" s="302">
        <f t="shared" si="28"/>
        <v>1647618.5631237235</v>
      </c>
      <c r="M149" s="302">
        <f t="shared" si="28"/>
        <v>1647618.5631237235</v>
      </c>
      <c r="N149" s="302">
        <f t="shared" si="28"/>
        <v>1647618.5631237235</v>
      </c>
      <c r="O149" s="302">
        <f t="shared" si="28"/>
        <v>1647618.5631237235</v>
      </c>
      <c r="P149" s="302">
        <f t="shared" si="28"/>
        <v>1647618.5631237235</v>
      </c>
      <c r="Q149" s="302">
        <f t="shared" si="28"/>
        <v>1647618.5631237235</v>
      </c>
      <c r="R149" s="302">
        <f t="shared" si="28"/>
        <v>1647618.5631237235</v>
      </c>
      <c r="S149" s="302">
        <f t="shared" si="28"/>
        <v>1647618.5631237235</v>
      </c>
      <c r="T149" s="302">
        <f t="shared" si="28"/>
        <v>1647618.5631237235</v>
      </c>
      <c r="U149" s="302">
        <f t="shared" si="28"/>
        <v>1647618.5631237235</v>
      </c>
      <c r="V149" s="302">
        <f t="shared" si="28"/>
        <v>1647618.5631237235</v>
      </c>
      <c r="W149" s="302">
        <f t="shared" si="28"/>
        <v>1647618.5631237235</v>
      </c>
      <c r="X149" s="302">
        <f t="shared" si="28"/>
        <v>1647618.5631237235</v>
      </c>
      <c r="Y149" s="302">
        <f t="shared" si="28"/>
        <v>1647618.5631237235</v>
      </c>
      <c r="Z149" s="302">
        <f t="shared" si="28"/>
        <v>1647618.5631237235</v>
      </c>
      <c r="AA149" s="302">
        <f t="shared" si="28"/>
        <v>1647618.5631237235</v>
      </c>
      <c r="AB149" s="302">
        <f t="shared" si="28"/>
        <v>1647618.5631237235</v>
      </c>
      <c r="AC149" s="302">
        <f t="shared" si="28"/>
        <v>-2733572.4883934399</v>
      </c>
      <c r="AD149" s="302">
        <f t="shared" si="28"/>
        <v>-1990816.9347549786</v>
      </c>
      <c r="AE149" s="302" t="e">
        <f t="shared" si="28"/>
        <v>#REF!</v>
      </c>
      <c r="AF149" s="302" t="e">
        <f t="shared" si="28"/>
        <v>#REF!</v>
      </c>
      <c r="AG149" s="302" t="e">
        <f t="shared" si="28"/>
        <v>#REF!</v>
      </c>
      <c r="AH149" s="302" t="e">
        <f t="shared" si="28"/>
        <v>#REF!</v>
      </c>
      <c r="AI149" s="302" t="e">
        <f t="shared" si="28"/>
        <v>#REF!</v>
      </c>
      <c r="AJ149" s="302" t="e">
        <f t="shared" si="28"/>
        <v>#REF!</v>
      </c>
      <c r="AK149" s="302" t="e">
        <f t="shared" si="28"/>
        <v>#REF!</v>
      </c>
      <c r="AL149" s="302" t="e">
        <f t="shared" si="28"/>
        <v>#REF!</v>
      </c>
      <c r="AM149" s="303" t="e">
        <f t="shared" si="28"/>
        <v>#REF!</v>
      </c>
    </row>
    <row r="150" spans="1:39" s="331" customFormat="1" ht="12.95">
      <c r="B150" s="368" t="s">
        <v>467</v>
      </c>
      <c r="C150" s="334" t="s">
        <v>417</v>
      </c>
      <c r="D150" s="369">
        <f>D149+D128</f>
        <v>-16333391.614089366</v>
      </c>
      <c r="E150" s="370">
        <f t="shared" ref="E150:AM150" si="29">E149+E128</f>
        <v>1492741.6732337123</v>
      </c>
      <c r="F150" s="370">
        <f t="shared" si="29"/>
        <v>1492741.6732337123</v>
      </c>
      <c r="G150" s="370">
        <f t="shared" si="29"/>
        <v>1492741.6732337123</v>
      </c>
      <c r="H150" s="370">
        <f t="shared" si="29"/>
        <v>1492741.6732337123</v>
      </c>
      <c r="I150" s="370">
        <f t="shared" si="29"/>
        <v>1221945.4842507974</v>
      </c>
      <c r="J150" s="370">
        <f t="shared" si="29"/>
        <v>1221945.4842507974</v>
      </c>
      <c r="K150" s="370">
        <f t="shared" si="29"/>
        <v>1221945.4842507974</v>
      </c>
      <c r="L150" s="370">
        <f t="shared" si="29"/>
        <v>1221945.4842507974</v>
      </c>
      <c r="M150" s="370">
        <f t="shared" si="29"/>
        <v>1221945.4842507974</v>
      </c>
      <c r="N150" s="370">
        <f t="shared" si="29"/>
        <v>1221945.4842507974</v>
      </c>
      <c r="O150" s="370">
        <f t="shared" si="29"/>
        <v>1221945.4842507974</v>
      </c>
      <c r="P150" s="370">
        <f t="shared" si="29"/>
        <v>1221945.4842507974</v>
      </c>
      <c r="Q150" s="370">
        <f t="shared" si="29"/>
        <v>1221945.4842507974</v>
      </c>
      <c r="R150" s="370">
        <f t="shared" si="29"/>
        <v>1221945.4842507974</v>
      </c>
      <c r="S150" s="370">
        <f t="shared" si="29"/>
        <v>1221945.4842507974</v>
      </c>
      <c r="T150" s="370">
        <f t="shared" si="29"/>
        <v>1221945.4842507974</v>
      </c>
      <c r="U150" s="370">
        <f t="shared" si="29"/>
        <v>1221945.4842507974</v>
      </c>
      <c r="V150" s="370">
        <f t="shared" si="29"/>
        <v>1221945.4842507974</v>
      </c>
      <c r="W150" s="370">
        <f t="shared" si="29"/>
        <v>1221945.4842507974</v>
      </c>
      <c r="X150" s="370">
        <f t="shared" si="29"/>
        <v>1221945.4842507974</v>
      </c>
      <c r="Y150" s="370">
        <f t="shared" si="29"/>
        <v>1221945.4842507974</v>
      </c>
      <c r="Z150" s="370">
        <f t="shared" si="29"/>
        <v>1221945.4842507974</v>
      </c>
      <c r="AA150" s="370">
        <f t="shared" si="29"/>
        <v>1221945.4842507974</v>
      </c>
      <c r="AB150" s="370">
        <f t="shared" si="29"/>
        <v>1221945.4842507974</v>
      </c>
      <c r="AC150" s="370">
        <f t="shared" si="29"/>
        <v>-2733572.4883934399</v>
      </c>
      <c r="AD150" s="370">
        <f t="shared" si="29"/>
        <v>-1990816.9347549786</v>
      </c>
      <c r="AE150" s="370" t="e">
        <f t="shared" si="29"/>
        <v>#REF!</v>
      </c>
      <c r="AF150" s="370" t="e">
        <f t="shared" si="29"/>
        <v>#REF!</v>
      </c>
      <c r="AG150" s="370" t="e">
        <f t="shared" si="29"/>
        <v>#REF!</v>
      </c>
      <c r="AH150" s="370" t="e">
        <f t="shared" si="29"/>
        <v>#REF!</v>
      </c>
      <c r="AI150" s="370" t="e">
        <f t="shared" si="29"/>
        <v>#REF!</v>
      </c>
      <c r="AJ150" s="370" t="e">
        <f t="shared" si="29"/>
        <v>#REF!</v>
      </c>
      <c r="AK150" s="370" t="e">
        <f t="shared" si="29"/>
        <v>#REF!</v>
      </c>
      <c r="AL150" s="370" t="e">
        <f t="shared" si="29"/>
        <v>#REF!</v>
      </c>
      <c r="AM150" s="371" t="e">
        <f t="shared" si="29"/>
        <v>#REF!</v>
      </c>
    </row>
    <row r="151" spans="1:39" s="372" customFormat="1" ht="12.95">
      <c r="A151" s="331"/>
      <c r="B151" s="276" t="s">
        <v>468</v>
      </c>
      <c r="C151" s="259" t="s">
        <v>331</v>
      </c>
      <c r="D151" s="327">
        <f>SUM(D147:AB147)</f>
        <v>104459466.85345852</v>
      </c>
      <c r="F151" s="373"/>
      <c r="G151" s="373"/>
      <c r="H151" s="373"/>
      <c r="I151" s="373"/>
      <c r="J151" s="373"/>
      <c r="K151" s="373"/>
      <c r="L151" s="373"/>
      <c r="M151" s="373"/>
      <c r="N151" s="373"/>
      <c r="O151" s="373"/>
      <c r="P151" s="373"/>
      <c r="Q151" s="373"/>
      <c r="R151" s="373"/>
      <c r="S151" s="373"/>
      <c r="T151" s="373"/>
      <c r="U151" s="373"/>
      <c r="V151" s="373"/>
      <c r="W151" s="373"/>
      <c r="X151" s="373"/>
      <c r="Y151" s="373"/>
      <c r="Z151" s="373"/>
      <c r="AA151" s="373"/>
      <c r="AB151" s="373"/>
      <c r="AC151" s="373"/>
      <c r="AD151" s="373"/>
      <c r="AE151" s="373"/>
      <c r="AF151" s="373"/>
      <c r="AG151" s="373"/>
      <c r="AH151" s="373"/>
      <c r="AI151" s="373"/>
      <c r="AJ151" s="373"/>
      <c r="AK151" s="373"/>
      <c r="AL151" s="373"/>
      <c r="AM151" s="373"/>
    </row>
    <row r="152" spans="1:39" s="372" customFormat="1" ht="12.95">
      <c r="A152" s="331"/>
      <c r="B152" s="276" t="s">
        <v>469</v>
      </c>
      <c r="C152" s="259" t="s">
        <v>331</v>
      </c>
      <c r="D152" s="327">
        <f>SUM(D149:AB149)</f>
        <v>24874407.622770011</v>
      </c>
      <c r="E152" s="373"/>
      <c r="F152" s="373"/>
      <c r="G152" s="373"/>
      <c r="H152" s="373"/>
      <c r="I152" s="373"/>
      <c r="J152" s="373"/>
      <c r="K152" s="373"/>
      <c r="L152" s="373"/>
      <c r="M152" s="373"/>
      <c r="N152" s="373"/>
      <c r="O152" s="373"/>
      <c r="P152" s="373"/>
      <c r="Q152" s="373"/>
      <c r="R152" s="373"/>
      <c r="S152" s="373"/>
      <c r="T152" s="373"/>
      <c r="U152" s="373"/>
      <c r="V152" s="373"/>
      <c r="W152" s="373"/>
      <c r="X152" s="373"/>
      <c r="Y152" s="373"/>
      <c r="Z152" s="373"/>
      <c r="AA152" s="373"/>
      <c r="AB152" s="373"/>
      <c r="AC152" s="373"/>
      <c r="AD152" s="373"/>
      <c r="AE152" s="373"/>
      <c r="AF152" s="373"/>
      <c r="AG152" s="373"/>
      <c r="AH152" s="373"/>
      <c r="AI152" s="373"/>
      <c r="AJ152" s="373"/>
      <c r="AK152" s="373"/>
      <c r="AL152" s="373"/>
      <c r="AM152" s="373"/>
    </row>
    <row r="153" spans="1:39" s="372" customFormat="1" ht="12.95">
      <c r="A153" s="331"/>
      <c r="B153" s="276" t="s">
        <v>470</v>
      </c>
      <c r="C153" s="259" t="s">
        <v>331</v>
      </c>
      <c r="D153" s="327">
        <f>SUM(D150:AB150)</f>
        <v>14076484.763861425</v>
      </c>
      <c r="E153" s="373"/>
      <c r="F153" s="373"/>
      <c r="G153" s="373"/>
      <c r="H153" s="373"/>
      <c r="I153" s="373"/>
      <c r="J153" s="373"/>
      <c r="K153" s="373"/>
      <c r="L153" s="373"/>
      <c r="M153" s="373"/>
      <c r="N153" s="373"/>
      <c r="O153" s="373"/>
      <c r="P153" s="373"/>
      <c r="Q153" s="373"/>
      <c r="R153" s="373"/>
      <c r="S153" s="373"/>
      <c r="T153" s="373"/>
      <c r="U153" s="373"/>
      <c r="V153" s="373"/>
      <c r="W153" s="373"/>
      <c r="X153" s="373"/>
      <c r="Y153" s="373"/>
      <c r="Z153" s="373"/>
      <c r="AA153" s="373"/>
      <c r="AB153" s="373"/>
      <c r="AC153" s="373"/>
      <c r="AD153" s="373"/>
      <c r="AE153" s="373"/>
      <c r="AF153" s="373"/>
      <c r="AG153" s="373"/>
      <c r="AH153" s="373"/>
      <c r="AI153" s="373"/>
      <c r="AJ153" s="373"/>
      <c r="AK153" s="373"/>
      <c r="AL153" s="373"/>
      <c r="AM153" s="373"/>
    </row>
    <row r="155" spans="1:39">
      <c r="B155" s="279" t="s">
        <v>498</v>
      </c>
      <c r="C155" s="374">
        <f>IRR(D149:AB149)</f>
        <v>9.8987813236418809E-2</v>
      </c>
    </row>
    <row r="156" spans="1:39">
      <c r="B156" s="279" t="s">
        <v>499</v>
      </c>
      <c r="C156" s="374">
        <f>IRR(D150:AB150)</f>
        <v>5.9589682679715095E-2</v>
      </c>
    </row>
    <row r="157" spans="1:39">
      <c r="B157" s="885" t="s">
        <v>500</v>
      </c>
      <c r="C157" s="725" t="str">
        <f>CostofCap_DiscountRate</f>
        <v>Cost of Capital Imp Rate</v>
      </c>
      <c r="D157" s="356">
        <f>NPV(CstofCapImpDiscRate,$D$149:$AB$149)</f>
        <v>21215096.59856103</v>
      </c>
    </row>
    <row r="158" spans="1:39">
      <c r="B158" s="885"/>
      <c r="C158" s="726" t="str">
        <f>SocDiscountRateVal</f>
        <v xml:space="preserve">Social Discount </v>
      </c>
      <c r="D158" s="260">
        <f>NPV(SocDiscRate,$D$149:$AB$149)</f>
        <v>-1904991.0353693969</v>
      </c>
    </row>
    <row r="159" spans="1:39">
      <c r="B159" s="886"/>
      <c r="C159" s="727" t="str">
        <f>'ProgrBiogas Electricity Fin Anl'!C162</f>
        <v>ESCO Discount Rate</v>
      </c>
      <c r="D159" s="375">
        <f>NPV(PvESCODiscRate,$D$149:$AB$149)</f>
        <v>-5800164.0348353591</v>
      </c>
    </row>
    <row r="160" spans="1:39">
      <c r="B160" s="884" t="s">
        <v>501</v>
      </c>
      <c r="C160" s="725" t="str">
        <f>+C157</f>
        <v>Cost of Capital Imp Rate</v>
      </c>
      <c r="D160" s="356">
        <f>NPV(CstofCapImpDiscRate,$D$150:$AB$150)</f>
        <v>11391689.726155467</v>
      </c>
    </row>
    <row r="161" spans="2:4">
      <c r="B161" s="885"/>
      <c r="C161" s="726" t="str">
        <f>C158</f>
        <v xml:space="preserve">Social Discount </v>
      </c>
      <c r="D161" s="260">
        <f>NPV(SocDiscRate,$D$150:$AB$150)</f>
        <v>-5356142.3570404751</v>
      </c>
    </row>
    <row r="162" spans="2:4">
      <c r="B162" s="886"/>
      <c r="C162" s="727" t="str">
        <f>C159</f>
        <v>ESCO Discount Rate</v>
      </c>
      <c r="D162" s="375">
        <f>NPV(PvESCODiscRate,$D$150:$AB$150)</f>
        <v>-7999583.0855901372</v>
      </c>
    </row>
    <row r="168" spans="2:4">
      <c r="B168" s="215" t="s">
        <v>502</v>
      </c>
    </row>
    <row r="170" spans="2:4">
      <c r="B170" s="215" t="s">
        <v>503</v>
      </c>
    </row>
  </sheetData>
  <mergeCells count="6">
    <mergeCell ref="B160:B162"/>
    <mergeCell ref="B33:D33"/>
    <mergeCell ref="B43:D43"/>
    <mergeCell ref="B51:D51"/>
    <mergeCell ref="B59:D59"/>
    <mergeCell ref="B157:B159"/>
  </mergeCells>
  <phoneticPr fontId="62" type="noConversion"/>
  <hyperlinks>
    <hyperlink ref="E23" r:id="rId1" xr:uid="{04533137-7905-44E8-964E-A5C821420F83}"/>
  </hyperlinks>
  <pageMargins left="0.75" right="0.75" top="1" bottom="1" header="0.5" footer="0.5"/>
  <pageSetup orientation="portrait" horizontalDpi="1200" verticalDpi="1200" r:id="rId2"/>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987848-25F0-4616-9949-214D7CEEFF1F}">
  <sheetPr codeName="Sheet27">
    <tabColor theme="3" tint="0.39997558519241921"/>
  </sheetPr>
  <dimension ref="A1:F15"/>
  <sheetViews>
    <sheetView workbookViewId="0">
      <selection activeCell="A11" sqref="A11"/>
    </sheetView>
  </sheetViews>
  <sheetFormatPr defaultRowHeight="12.6"/>
  <cols>
    <col min="1" max="1" width="28.7109375" customWidth="1"/>
    <col min="2" max="2" width="30" customWidth="1"/>
    <col min="3" max="3" width="29" customWidth="1"/>
    <col min="4" max="4" width="21.42578125" customWidth="1"/>
  </cols>
  <sheetData>
    <row r="1" spans="1:6">
      <c r="B1" s="2" t="s">
        <v>504</v>
      </c>
    </row>
    <row r="2" spans="1:6">
      <c r="B2" s="2"/>
    </row>
    <row r="3" spans="1:6">
      <c r="A3" s="927" t="s">
        <v>505</v>
      </c>
      <c r="B3" s="928"/>
      <c r="C3" s="928"/>
      <c r="D3" s="459">
        <v>48.4</v>
      </c>
      <c r="F3" s="15" t="s">
        <v>506</v>
      </c>
    </row>
    <row r="4" spans="1:6">
      <c r="A4" s="927" t="s">
        <v>507</v>
      </c>
      <c r="B4" s="928"/>
      <c r="C4" s="928"/>
      <c r="D4" s="459">
        <v>109.6</v>
      </c>
      <c r="F4" s="15" t="s">
        <v>506</v>
      </c>
    </row>
    <row r="9" spans="1:6" ht="12.95" thickBot="1"/>
    <row r="10" spans="1:6" ht="26.45" thickBot="1">
      <c r="A10" s="448" t="s">
        <v>1</v>
      </c>
      <c r="B10" s="449" t="s">
        <v>508</v>
      </c>
      <c r="C10" s="450" t="s">
        <v>509</v>
      </c>
      <c r="D10" s="450" t="s">
        <v>510</v>
      </c>
    </row>
    <row r="11" spans="1:6" ht="12.95" hidden="1" thickBot="1">
      <c r="A11" s="451" t="s">
        <v>511</v>
      </c>
      <c r="B11" s="452">
        <v>0</v>
      </c>
      <c r="C11" s="453">
        <v>0</v>
      </c>
      <c r="D11" s="457">
        <f>+B11*$D$3+C11*$D$4</f>
        <v>0</v>
      </c>
    </row>
    <row r="12" spans="1:6" ht="12.95" thickBot="1">
      <c r="A12" s="445" t="s">
        <v>6</v>
      </c>
      <c r="B12" s="19">
        <v>100</v>
      </c>
      <c r="C12" s="454">
        <v>100</v>
      </c>
      <c r="D12" s="457">
        <f t="shared" ref="D12:D14" si="0">+B12*$D$3+C12*$D$4</f>
        <v>15800</v>
      </c>
    </row>
    <row r="13" spans="1:6" ht="12.95" thickBot="1">
      <c r="A13" s="445" t="s">
        <v>8</v>
      </c>
      <c r="B13" s="19">
        <v>0</v>
      </c>
      <c r="C13" s="454">
        <v>372</v>
      </c>
      <c r="D13" s="457">
        <f t="shared" si="0"/>
        <v>40771.199999999997</v>
      </c>
    </row>
    <row r="14" spans="1:6">
      <c r="A14" s="445" t="s">
        <v>10</v>
      </c>
      <c r="B14" s="19">
        <v>48</v>
      </c>
      <c r="C14" s="454">
        <v>0</v>
      </c>
      <c r="D14" s="457">
        <f t="shared" si="0"/>
        <v>2323.1999999999998</v>
      </c>
    </row>
    <row r="15" spans="1:6" ht="12.95" thickBot="1">
      <c r="A15" s="446" t="s">
        <v>12</v>
      </c>
      <c r="B15" s="447">
        <f>SUM(B11:B14)</f>
        <v>148</v>
      </c>
      <c r="C15" s="455">
        <f>SUM(C11:C14)</f>
        <v>472</v>
      </c>
      <c r="D15" s="458">
        <f>SUM(D12:D14)</f>
        <v>58894.399999999994</v>
      </c>
    </row>
  </sheetData>
  <mergeCells count="2">
    <mergeCell ref="A4:C4"/>
    <mergeCell ref="A3:C3"/>
  </mergeCells>
  <hyperlinks>
    <hyperlink ref="F4" r:id="rId1" xr:uid="{3EA80540-BEF6-46E5-B7D1-09042994A0B7}"/>
    <hyperlink ref="F3" r:id="rId2" xr:uid="{8B770761-15DA-4D08-BC70-EAFD456A7979}"/>
  </hyperlinks>
  <pageMargins left="0.7" right="0.7" top="0.75" bottom="0.75" header="0.3" footer="0.3"/>
  <pageSetup paperSize="9" orientation="portrait"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remarks xmlns="366ae72f-6d51-4737-8f6b-a9169c366b64" xsi:nil="true"/>
    <TaxCatchAll xmlns="50c9b839-8b53-4ddb-9b24-b96221f2bda6" xsi:nil="true"/>
    <file_x0020_ xmlns="366ae72f-6d51-4737-8f6b-a9169c366b64" xsi:nil="true"/>
    <lcf76f155ced4ddcb4097134ff3c332f xmlns="366ae72f-6d51-4737-8f6b-a9169c366b64">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20" ma:contentTypeDescription="Create a new document." ma:contentTypeScope="" ma:versionID="ea4e5d10fa89c9815ebf3d9d51abb56c">
  <xsd:schema xmlns:xsd="http://www.w3.org/2001/XMLSchema" xmlns:xs="http://www.w3.org/2001/XMLSchema" xmlns:p="http://schemas.microsoft.com/office/2006/metadata/properties" xmlns:ns2="366ae72f-6d51-4737-8f6b-a9169c366b64" xmlns:ns3="a3cd7b71-671d-4139-9a97-5d1a7380fae4" xmlns:ns4="50c9b839-8b53-4ddb-9b24-b96221f2bda6" targetNamespace="http://schemas.microsoft.com/office/2006/metadata/properties" ma:root="true" ma:fieldsID="bb0d8430c0dc2f6bfac168702e804803" ns2:_="" ns3:_="" ns4:_="">
    <xsd:import namespace="366ae72f-6d51-4737-8f6b-a9169c366b64"/>
    <xsd:import namespace="a3cd7b71-671d-4139-9a97-5d1a7380fae4"/>
    <xsd:import namespace="50c9b839-8b53-4ddb-9b24-b96221f2bda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4: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description=""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3a5397d5-9543-4dbc-8fcb-23c3638b1d4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0c9b839-8b53-4ddb-9b24-b96221f2bda6" elementFormDefault="qualified">
    <xsd:import namespace="http://schemas.microsoft.com/office/2006/documentManagement/types"/>
    <xsd:import namespace="http://schemas.microsoft.com/office/infopath/2007/PartnerControls"/>
    <xsd:element name="TaxCatchAll" ma:index="25" nillable="true" ma:displayName="Taxonomy Catch All Column" ma:hidden="true" ma:list="{5fd50e79-fa69-4ed5-b0f8-bdacc103d93a}" ma:internalName="TaxCatchAll" ma:showField="CatchAllData" ma:web="a3cd7b71-671d-4139-9a97-5d1a7380f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E9EBC45-81D8-4BF9-A0FF-81E6544E13EA}"/>
</file>

<file path=customXml/itemProps2.xml><?xml version="1.0" encoding="utf-8"?>
<ds:datastoreItem xmlns:ds="http://schemas.openxmlformats.org/officeDocument/2006/customXml" ds:itemID="{443BE15E-36CF-46D3-B836-91C845D6A152}"/>
</file>

<file path=customXml/itemProps3.xml><?xml version="1.0" encoding="utf-8"?>
<ds:datastoreItem xmlns:ds="http://schemas.openxmlformats.org/officeDocument/2006/customXml" ds:itemID="{408D24A9-B08F-45AA-8F20-CEF761758BA4}"/>
</file>

<file path=docProps/app.xml><?xml version="1.0" encoding="utf-8"?>
<Properties xmlns="http://schemas.openxmlformats.org/officeDocument/2006/extended-properties" xmlns:vt="http://schemas.openxmlformats.org/officeDocument/2006/docPropsVTypes">
  <Application>Microsoft Excel Online</Application>
  <Manager/>
  <Company>Biogas</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John Afari Idan</dc:creator>
  <cp:keywords/>
  <dc:description/>
  <cp:lastModifiedBy>GBODE, IMOLEAYO EZEKIEL</cp:lastModifiedBy>
  <cp:revision/>
  <dcterms:created xsi:type="dcterms:W3CDTF">2006-02-01T19:28:37Z</dcterms:created>
  <dcterms:modified xsi:type="dcterms:W3CDTF">2023-08-11T04:06:45Z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0x01010000979F12F22C9E4F9273E32F354CEDB7</vt:lpwstr>
  </property>
</Properties>
</file>