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gasys1-my.sharepoint.com/personal/derek_pegasys_co_za/Documents/Derek Pegasys/DBSA Water Reuse/GCF Board Preparations June 2023/Clean submissions/"/>
    </mc:Choice>
  </mc:AlternateContent>
  <xr:revisionPtr revIDLastSave="0" documentId="8_{580D5B2C-19AF-4AE6-9923-78C7850A6D21}" xr6:coauthVersionLast="47" xr6:coauthVersionMax="47" xr10:uidLastSave="{00000000-0000-0000-0000-000000000000}"/>
  <bookViews>
    <workbookView xWindow="29970" yWindow="615" windowWidth="27060" windowHeight="14685" xr2:uid="{00000000-000D-0000-FFFF-FFFF00000000}"/>
  </bookViews>
  <sheets>
    <sheet name="Assumptions" sheetId="1" r:id="rId1"/>
    <sheet name="Co-Benefit Calculations" sheetId="2" r:id="rId2"/>
    <sheet name="Household values" sheetId="7" r:id="rId3"/>
    <sheet name="Business values" sheetId="8" r:id="rId4"/>
    <sheet name="Drought type and outputs" sheetId="9" r:id="rId5"/>
    <sheet name="EIRR" sheetId="10" r:id="rId6"/>
    <sheet name="Financial Cashflows" sheetId="4" r:id="rId7"/>
    <sheet name="GVA by Municipality" sheetId="5" r:id="rId8"/>
    <sheet name="Municipal GVA by Sector" sheetId="6" r:id="rId9"/>
    <sheet name="Water Security Calculations" sheetId="3" r:id="rId10"/>
  </sheets>
  <externalReferences>
    <externalReference r:id="rId11"/>
  </externalReferences>
  <definedNames>
    <definedName name="_ftnref1" localSheetId="1">'Co-Benefit Calculations'!$D$7</definedName>
    <definedName name="_ftnref2" localSheetId="1">'Co-Benefit Calculations'!#REF!</definedName>
    <definedName name="_ftnref3" localSheetId="1">'Co-Benefit Calculations'!$D$9</definedName>
    <definedName name="_ftnref4" localSheetId="1">'Co-Benefit Calculations'!$D$11</definedName>
    <definedName name="_ftnref5" localSheetId="1">'Co-Benefit Calculations'!$D$18</definedName>
    <definedName name="_ftnref6" localSheetId="1">'Co-Benefit Calculations'!$D$20</definedName>
    <definedName name="_ftnref7" localSheetId="1">'Co-Benefit Calculations'!#REF!</definedName>
    <definedName name="_ftnref8" localSheetId="1">'Co-Benefit Calculations'!$D$21</definedName>
    <definedName name="Kilolitres_per_Mega_Litre">'[1]Input_&amp;_Assumptions'!$D$11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0" i="3" l="1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22" i="2"/>
  <c r="C22" i="1"/>
  <c r="C21" i="1"/>
  <c r="C20" i="1"/>
  <c r="C49" i="1"/>
  <c r="C48" i="1"/>
  <c r="C47" i="1"/>
  <c r="C46" i="1"/>
  <c r="C45" i="1"/>
  <c r="C44" i="1"/>
  <c r="C43" i="1"/>
  <c r="C42" i="1"/>
  <c r="C41" i="1"/>
  <c r="C40" i="1"/>
  <c r="C39" i="1"/>
  <c r="C65" i="1"/>
  <c r="C64" i="1"/>
  <c r="C63" i="1"/>
  <c r="C62" i="1"/>
  <c r="C61" i="1"/>
  <c r="C60" i="1"/>
  <c r="C59" i="1"/>
  <c r="C58" i="1"/>
  <c r="C57" i="1"/>
  <c r="C56" i="1"/>
  <c r="C83" i="1"/>
  <c r="C82" i="1"/>
  <c r="C81" i="1"/>
  <c r="C80" i="1"/>
  <c r="C79" i="1"/>
  <c r="C78" i="1"/>
  <c r="C77" i="1"/>
  <c r="C76" i="1"/>
  <c r="C75" i="1"/>
  <c r="C74" i="1"/>
  <c r="C73" i="1"/>
  <c r="G18" i="2"/>
  <c r="G16" i="2"/>
  <c r="F21" i="2"/>
  <c r="E21" i="2"/>
  <c r="G21" i="2" s="1"/>
  <c r="F20" i="2"/>
  <c r="E20" i="2"/>
  <c r="G20" i="2" s="1"/>
  <c r="F18" i="2"/>
  <c r="E18" i="2"/>
  <c r="F16" i="2"/>
  <c r="E16" i="2"/>
  <c r="F15" i="2"/>
  <c r="E15" i="2"/>
  <c r="G15" i="2" s="1"/>
  <c r="F13" i="2"/>
  <c r="E13" i="2"/>
  <c r="G13" i="2" s="1"/>
  <c r="F12" i="2"/>
  <c r="E12" i="2"/>
  <c r="G12" i="2" s="1"/>
  <c r="F11" i="2"/>
  <c r="E11" i="2"/>
  <c r="G11" i="2" s="1"/>
  <c r="F9" i="2"/>
  <c r="E9" i="2"/>
  <c r="G9" i="2" s="1"/>
  <c r="C66" i="1" l="1"/>
  <c r="J7" i="2" l="1"/>
  <c r="J9" i="2"/>
  <c r="J11" i="2"/>
  <c r="J12" i="2"/>
  <c r="J13" i="2"/>
  <c r="J15" i="2"/>
  <c r="J16" i="2"/>
  <c r="J18" i="2"/>
  <c r="J20" i="2"/>
  <c r="J21" i="2"/>
  <c r="J22" i="2" l="1"/>
  <c r="E74" i="1" l="1"/>
  <c r="E75" i="1"/>
  <c r="E76" i="1"/>
  <c r="E77" i="1"/>
  <c r="E78" i="1"/>
  <c r="E79" i="1"/>
  <c r="E80" i="1"/>
  <c r="E81" i="1"/>
  <c r="E82" i="1"/>
  <c r="E73" i="1"/>
  <c r="E57" i="1"/>
  <c r="E58" i="1"/>
  <c r="E59" i="1"/>
  <c r="E60" i="1"/>
  <c r="E61" i="1"/>
  <c r="E62" i="1"/>
  <c r="E63" i="1"/>
  <c r="E64" i="1"/>
  <c r="E65" i="1"/>
  <c r="E56" i="1"/>
  <c r="K20" i="8" l="1"/>
  <c r="K21" i="8"/>
  <c r="E69" i="7"/>
  <c r="F15" i="5"/>
  <c r="G15" i="5"/>
  <c r="E15" i="5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B19" i="10"/>
  <c r="C110" i="9" l="1"/>
  <c r="C109" i="9"/>
  <c r="C108" i="9"/>
  <c r="C107" i="9"/>
  <c r="C106" i="9"/>
  <c r="C89" i="9"/>
  <c r="C88" i="9"/>
  <c r="C87" i="9"/>
  <c r="C86" i="9"/>
  <c r="C85" i="9"/>
  <c r="C66" i="9"/>
  <c r="C65" i="9"/>
  <c r="C64" i="9"/>
  <c r="C63" i="9"/>
  <c r="C62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E24" i="9"/>
  <c r="D24" i="9"/>
  <c r="C24" i="9"/>
  <c r="F24" i="9" s="1"/>
  <c r="F23" i="9"/>
  <c r="D23" i="9"/>
  <c r="C23" i="9"/>
  <c r="E23" i="9" s="1"/>
  <c r="F22" i="9"/>
  <c r="E22" i="9"/>
  <c r="D22" i="9"/>
  <c r="C22" i="9"/>
  <c r="F21" i="9"/>
  <c r="E21" i="9"/>
  <c r="D21" i="9"/>
  <c r="C21" i="9"/>
  <c r="F20" i="9"/>
  <c r="E20" i="9"/>
  <c r="D20" i="9"/>
  <c r="C20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D18" i="9"/>
  <c r="D19" i="9"/>
  <c r="C18" i="9"/>
  <c r="F18" i="9" s="1"/>
  <c r="C19" i="9"/>
  <c r="C10" i="9"/>
  <c r="C11" i="9"/>
  <c r="C12" i="9"/>
  <c r="C13" i="9"/>
  <c r="C14" i="9"/>
  <c r="C15" i="9"/>
  <c r="C16" i="9"/>
  <c r="C17" i="9"/>
  <c r="C53" i="9"/>
  <c r="C54" i="9"/>
  <c r="C55" i="9"/>
  <c r="C56" i="9"/>
  <c r="C57" i="9"/>
  <c r="C58" i="9"/>
  <c r="C59" i="9"/>
  <c r="C60" i="9"/>
  <c r="C61" i="9"/>
  <c r="C52" i="9"/>
  <c r="C97" i="9"/>
  <c r="C98" i="9"/>
  <c r="C99" i="9"/>
  <c r="C100" i="9"/>
  <c r="C101" i="9"/>
  <c r="C102" i="9"/>
  <c r="C103" i="9"/>
  <c r="C104" i="9"/>
  <c r="C105" i="9"/>
  <c r="C96" i="9"/>
  <c r="C75" i="9"/>
  <c r="C76" i="9"/>
  <c r="C77" i="9"/>
  <c r="C78" i="9"/>
  <c r="C79" i="9"/>
  <c r="C80" i="9"/>
  <c r="C81" i="9"/>
  <c r="C84" i="9"/>
  <c r="C83" i="9"/>
  <c r="C82" i="9"/>
  <c r="M10" i="6"/>
  <c r="M9" i="6"/>
  <c r="M8" i="6"/>
  <c r="M7" i="6"/>
  <c r="M6" i="6"/>
  <c r="M5" i="6"/>
  <c r="M4" i="6"/>
  <c r="M3" i="6"/>
  <c r="S14" i="8"/>
  <c r="T14" i="8"/>
  <c r="T13" i="8"/>
  <c r="S13" i="8"/>
  <c r="S12" i="8"/>
  <c r="G14" i="5"/>
  <c r="G13" i="5"/>
  <c r="E18" i="9" l="1"/>
  <c r="D11" i="9"/>
  <c r="D12" i="9"/>
  <c r="D13" i="9"/>
  <c r="D14" i="9"/>
  <c r="D15" i="9"/>
  <c r="D16" i="9"/>
  <c r="D17" i="9"/>
  <c r="D10" i="9"/>
  <c r="B26" i="10"/>
  <c r="C5" i="10"/>
  <c r="D5" i="10" s="1"/>
  <c r="E5" i="10" s="1"/>
  <c r="F5" i="10" s="1"/>
  <c r="G5" i="10" s="1"/>
  <c r="H5" i="10" s="1"/>
  <c r="I5" i="10" s="1"/>
  <c r="J5" i="10" s="1"/>
  <c r="K5" i="10" s="1"/>
  <c r="L5" i="10" s="1"/>
  <c r="M5" i="10" s="1"/>
  <c r="N5" i="10" s="1"/>
  <c r="O5" i="10" s="1"/>
  <c r="P5" i="10" s="1"/>
  <c r="Q5" i="10" s="1"/>
  <c r="R5" i="10" s="1"/>
  <c r="S5" i="10" s="1"/>
  <c r="T5" i="10" s="1"/>
  <c r="U5" i="10" s="1"/>
  <c r="V5" i="10" s="1"/>
  <c r="W5" i="10" s="1"/>
  <c r="X5" i="10" s="1"/>
  <c r="Y5" i="10" s="1"/>
  <c r="Z5" i="10" s="1"/>
  <c r="AA5" i="10" s="1"/>
  <c r="AB5" i="10" s="1"/>
  <c r="AC5" i="10" s="1"/>
  <c r="AD5" i="10" s="1"/>
  <c r="AE5" i="10" s="1"/>
  <c r="C4" i="10"/>
  <c r="D4" i="10" s="1"/>
  <c r="E4" i="10" s="1"/>
  <c r="F4" i="10" s="1"/>
  <c r="G4" i="10" s="1"/>
  <c r="AI95" i="9"/>
  <c r="AJ95" i="9" s="1"/>
  <c r="AK95" i="9" s="1"/>
  <c r="AL95" i="9" s="1"/>
  <c r="AM95" i="9" s="1"/>
  <c r="AN95" i="9" s="1"/>
  <c r="AO95" i="9" s="1"/>
  <c r="AP95" i="9" s="1"/>
  <c r="AQ95" i="9" s="1"/>
  <c r="AH95" i="9"/>
  <c r="E74" i="9"/>
  <c r="F74" i="9" s="1"/>
  <c r="G74" i="9" s="1"/>
  <c r="H74" i="9" s="1"/>
  <c r="I74" i="9" s="1"/>
  <c r="J74" i="9" s="1"/>
  <c r="K74" i="9" s="1"/>
  <c r="L74" i="9" s="1"/>
  <c r="M74" i="9" s="1"/>
  <c r="N74" i="9" s="1"/>
  <c r="O74" i="9" s="1"/>
  <c r="P74" i="9" s="1"/>
  <c r="Q74" i="9" s="1"/>
  <c r="R74" i="9" s="1"/>
  <c r="S74" i="9" s="1"/>
  <c r="T74" i="9" s="1"/>
  <c r="U74" i="9" s="1"/>
  <c r="V74" i="9" s="1"/>
  <c r="W74" i="9" s="1"/>
  <c r="X74" i="9" s="1"/>
  <c r="Y74" i="9" s="1"/>
  <c r="Z74" i="9" s="1"/>
  <c r="AA74" i="9" s="1"/>
  <c r="AB74" i="9" s="1"/>
  <c r="AC74" i="9" s="1"/>
  <c r="AD74" i="9" s="1"/>
  <c r="AE74" i="9" s="1"/>
  <c r="AF74" i="9" s="1"/>
  <c r="AG74" i="9" s="1"/>
  <c r="AH74" i="9" s="1"/>
  <c r="AI74" i="9" s="1"/>
  <c r="AJ74" i="9" s="1"/>
  <c r="AK74" i="9" s="1"/>
  <c r="AL74" i="9" s="1"/>
  <c r="AM74" i="9" s="1"/>
  <c r="AN74" i="9" s="1"/>
  <c r="AO74" i="9" s="1"/>
  <c r="AP74" i="9" s="1"/>
  <c r="AQ74" i="9" s="1"/>
  <c r="E51" i="9"/>
  <c r="F51" i="9" s="1"/>
  <c r="G51" i="9" s="1"/>
  <c r="H51" i="9" s="1"/>
  <c r="I51" i="9" s="1"/>
  <c r="J51" i="9" s="1"/>
  <c r="K51" i="9" s="1"/>
  <c r="L51" i="9" s="1"/>
  <c r="M51" i="9" s="1"/>
  <c r="N51" i="9" s="1"/>
  <c r="O51" i="9" s="1"/>
  <c r="P51" i="9" s="1"/>
  <c r="Q51" i="9" s="1"/>
  <c r="R51" i="9" s="1"/>
  <c r="S51" i="9" s="1"/>
  <c r="T51" i="9" s="1"/>
  <c r="U51" i="9" s="1"/>
  <c r="V51" i="9" s="1"/>
  <c r="W51" i="9" s="1"/>
  <c r="X51" i="9" s="1"/>
  <c r="Y51" i="9" s="1"/>
  <c r="Z51" i="9" s="1"/>
  <c r="AA51" i="9" s="1"/>
  <c r="AB51" i="9" s="1"/>
  <c r="AC51" i="9" s="1"/>
  <c r="AD51" i="9" s="1"/>
  <c r="AE51" i="9" s="1"/>
  <c r="AF51" i="9" s="1"/>
  <c r="AG51" i="9" s="1"/>
  <c r="AH51" i="9" s="1"/>
  <c r="AI51" i="9" s="1"/>
  <c r="AJ51" i="9" s="1"/>
  <c r="AK51" i="9" s="1"/>
  <c r="AL51" i="9" s="1"/>
  <c r="AM51" i="9" s="1"/>
  <c r="AN51" i="9" s="1"/>
  <c r="AO51" i="9" s="1"/>
  <c r="AP51" i="9" s="1"/>
  <c r="AQ51" i="9" s="1"/>
  <c r="F30" i="9"/>
  <c r="G30" i="9" s="1"/>
  <c r="H30" i="9" s="1"/>
  <c r="I30" i="9" s="1"/>
  <c r="J30" i="9" s="1"/>
  <c r="K30" i="9" s="1"/>
  <c r="L30" i="9" s="1"/>
  <c r="M30" i="9" s="1"/>
  <c r="N30" i="9" s="1"/>
  <c r="O30" i="9" s="1"/>
  <c r="P30" i="9" s="1"/>
  <c r="Q30" i="9" s="1"/>
  <c r="R30" i="9" s="1"/>
  <c r="S30" i="9" s="1"/>
  <c r="T30" i="9" s="1"/>
  <c r="U30" i="9" s="1"/>
  <c r="V30" i="9" s="1"/>
  <c r="W30" i="9" s="1"/>
  <c r="X30" i="9" s="1"/>
  <c r="Y30" i="9" s="1"/>
  <c r="Z30" i="9" s="1"/>
  <c r="AA30" i="9" s="1"/>
  <c r="AB30" i="9" s="1"/>
  <c r="AC30" i="9" s="1"/>
  <c r="AD30" i="9" s="1"/>
  <c r="AE30" i="9" s="1"/>
  <c r="AF30" i="9" s="1"/>
  <c r="AG30" i="9" s="1"/>
  <c r="AH30" i="9" s="1"/>
  <c r="AI30" i="9" s="1"/>
  <c r="AJ30" i="9" s="1"/>
  <c r="AK30" i="9" s="1"/>
  <c r="AL30" i="9" s="1"/>
  <c r="AM30" i="9" s="1"/>
  <c r="AN30" i="9" s="1"/>
  <c r="AO30" i="9" s="1"/>
  <c r="AP30" i="9" s="1"/>
  <c r="AQ30" i="9" s="1"/>
  <c r="E30" i="9"/>
  <c r="Y14" i="8"/>
  <c r="Y19" i="8" s="1"/>
  <c r="X14" i="8"/>
  <c r="X19" i="8" s="1"/>
  <c r="W14" i="8"/>
  <c r="W19" i="8" s="1"/>
  <c r="V14" i="8"/>
  <c r="V19" i="8" s="1"/>
  <c r="U14" i="8"/>
  <c r="U19" i="8" s="1"/>
  <c r="T19" i="8"/>
  <c r="S19" i="8"/>
  <c r="R14" i="8"/>
  <c r="R19" i="8" s="1"/>
  <c r="Q14" i="8"/>
  <c r="Q19" i="8" s="1"/>
  <c r="P14" i="8"/>
  <c r="P19" i="8" s="1"/>
  <c r="O14" i="8"/>
  <c r="O19" i="8" s="1"/>
  <c r="N14" i="8"/>
  <c r="N19" i="8" s="1"/>
  <c r="M14" i="8"/>
  <c r="M19" i="8" s="1"/>
  <c r="L14" i="8"/>
  <c r="L19" i="8" s="1"/>
  <c r="K14" i="8"/>
  <c r="K19" i="8" s="1"/>
  <c r="Y13" i="8"/>
  <c r="Y18" i="8" s="1"/>
  <c r="X13" i="8"/>
  <c r="X18" i="8" s="1"/>
  <c r="W13" i="8"/>
  <c r="W18" i="8" s="1"/>
  <c r="V13" i="8"/>
  <c r="V18" i="8" s="1"/>
  <c r="U13" i="8"/>
  <c r="U18" i="8" s="1"/>
  <c r="T18" i="8"/>
  <c r="S18" i="8"/>
  <c r="R13" i="8"/>
  <c r="R18" i="8" s="1"/>
  <c r="Q13" i="8"/>
  <c r="Q18" i="8" s="1"/>
  <c r="P13" i="8"/>
  <c r="P18" i="8" s="1"/>
  <c r="O13" i="8"/>
  <c r="O18" i="8" s="1"/>
  <c r="N13" i="8"/>
  <c r="N18" i="8" s="1"/>
  <c r="M13" i="8"/>
  <c r="M18" i="8" s="1"/>
  <c r="L13" i="8"/>
  <c r="L18" i="8" s="1"/>
  <c r="K13" i="8"/>
  <c r="K18" i="8" s="1"/>
  <c r="Y12" i="8"/>
  <c r="Y17" i="8" s="1"/>
  <c r="X12" i="8"/>
  <c r="X17" i="8" s="1"/>
  <c r="W12" i="8"/>
  <c r="W17" i="8" s="1"/>
  <c r="V12" i="8"/>
  <c r="V17" i="8" s="1"/>
  <c r="U12" i="8"/>
  <c r="U17" i="8" s="1"/>
  <c r="T12" i="8"/>
  <c r="S17" i="8"/>
  <c r="R12" i="8"/>
  <c r="R17" i="8" s="1"/>
  <c r="Q12" i="8"/>
  <c r="Q17" i="8" s="1"/>
  <c r="P12" i="8"/>
  <c r="P17" i="8" s="1"/>
  <c r="O12" i="8"/>
  <c r="O17" i="8" s="1"/>
  <c r="N12" i="8"/>
  <c r="N17" i="8" s="1"/>
  <c r="M12" i="8"/>
  <c r="M17" i="8" s="1"/>
  <c r="L12" i="8"/>
  <c r="L17" i="8" s="1"/>
  <c r="K12" i="8"/>
  <c r="K17" i="8" s="1"/>
  <c r="E40" i="7"/>
  <c r="E34" i="7"/>
  <c r="E21" i="7"/>
  <c r="F21" i="7" s="1"/>
  <c r="G21" i="7" s="1"/>
  <c r="H21" i="7" s="1"/>
  <c r="I21" i="7" s="1"/>
  <c r="F18" i="7"/>
  <c r="G18" i="7" s="1"/>
  <c r="H18" i="7" s="1"/>
  <c r="I18" i="7" s="1"/>
  <c r="T17" i="8" l="1"/>
  <c r="E19" i="9" s="1"/>
  <c r="F19" i="9"/>
  <c r="H4" i="10"/>
  <c r="I4" i="10" s="1"/>
  <c r="J4" i="10" s="1"/>
  <c r="K4" i="10" s="1"/>
  <c r="L4" i="10" s="1"/>
  <c r="M4" i="10" s="1"/>
  <c r="N4" i="10" s="1"/>
  <c r="O4" i="10" s="1"/>
  <c r="E26" i="7"/>
  <c r="E46" i="7" s="1"/>
  <c r="F25" i="7"/>
  <c r="F45" i="7" s="1"/>
  <c r="E25" i="7"/>
  <c r="E45" i="7" s="1"/>
  <c r="F24" i="7"/>
  <c r="F44" i="7" s="1"/>
  <c r="F26" i="7"/>
  <c r="F46" i="7" s="1"/>
  <c r="E24" i="7"/>
  <c r="E44" i="7" s="1"/>
  <c r="P4" i="10" l="1"/>
  <c r="F65" i="7"/>
  <c r="F61" i="7"/>
  <c r="F57" i="7"/>
  <c r="F64" i="7"/>
  <c r="F60" i="7"/>
  <c r="F56" i="7"/>
  <c r="F66" i="7"/>
  <c r="F62" i="7"/>
  <c r="F54" i="7"/>
  <c r="F68" i="7"/>
  <c r="F58" i="7"/>
  <c r="F67" i="7"/>
  <c r="F63" i="7"/>
  <c r="F59" i="7"/>
  <c r="F55" i="7"/>
  <c r="G64" i="7"/>
  <c r="G60" i="7"/>
  <c r="G56" i="7"/>
  <c r="G63" i="7"/>
  <c r="G59" i="7"/>
  <c r="G55" i="7"/>
  <c r="G62" i="7"/>
  <c r="G54" i="7"/>
  <c r="G61" i="7"/>
  <c r="G68" i="7"/>
  <c r="G66" i="7"/>
  <c r="G65" i="7"/>
  <c r="G57" i="7"/>
  <c r="G67" i="7"/>
  <c r="G58" i="7"/>
  <c r="Q4" i="10" l="1"/>
  <c r="G69" i="7"/>
  <c r="F69" i="7"/>
  <c r="R4" i="10" l="1"/>
  <c r="S4" i="10" l="1"/>
  <c r="T4" i="10" l="1"/>
  <c r="U4" i="10" l="1"/>
  <c r="V4" i="10" l="1"/>
  <c r="AL6" i="3"/>
  <c r="G6" i="5"/>
  <c r="G7" i="5"/>
  <c r="G8" i="5"/>
  <c r="G9" i="5"/>
  <c r="G10" i="5"/>
  <c r="G11" i="5"/>
  <c r="G12" i="5"/>
  <c r="G5" i="5"/>
  <c r="K30" i="5"/>
  <c r="L30" i="5"/>
  <c r="M30" i="5" s="1"/>
  <c r="N30" i="5" s="1"/>
  <c r="O30" i="5" s="1"/>
  <c r="P30" i="5" s="1"/>
  <c r="Q30" i="5" s="1"/>
  <c r="R30" i="5" s="1"/>
  <c r="S30" i="5" s="1"/>
  <c r="J30" i="5"/>
  <c r="I30" i="5"/>
  <c r="W4" i="10" l="1"/>
  <c r="F9" i="3"/>
  <c r="C7" i="3"/>
  <c r="D7" i="3" s="1"/>
  <c r="E7" i="3" s="1"/>
  <c r="G7" i="3" s="1"/>
  <c r="H7" i="3" s="1"/>
  <c r="C12" i="1"/>
  <c r="I7" i="3" l="1"/>
  <c r="I9" i="3" s="1"/>
  <c r="H10" i="3"/>
  <c r="H13" i="3"/>
  <c r="H9" i="3"/>
  <c r="X4" i="10"/>
  <c r="G9" i="3"/>
  <c r="D40" i="9" l="1"/>
  <c r="D39" i="9"/>
  <c r="D38" i="9"/>
  <c r="D31" i="9"/>
  <c r="D32" i="9"/>
  <c r="D33" i="9"/>
  <c r="D34" i="9"/>
  <c r="D35" i="9"/>
  <c r="D79" i="9" s="1"/>
  <c r="D100" i="9" s="1"/>
  <c r="D36" i="9"/>
  <c r="D37" i="9"/>
  <c r="D61" i="9"/>
  <c r="D60" i="9"/>
  <c r="D56" i="9"/>
  <c r="D57" i="9"/>
  <c r="D58" i="9"/>
  <c r="D59" i="9"/>
  <c r="D52" i="9"/>
  <c r="D53" i="9"/>
  <c r="D54" i="9"/>
  <c r="D55" i="9"/>
  <c r="H11" i="3"/>
  <c r="H12" i="3"/>
  <c r="E38" i="9"/>
  <c r="E40" i="9"/>
  <c r="E39" i="9"/>
  <c r="E32" i="9"/>
  <c r="E33" i="9"/>
  <c r="E36" i="9"/>
  <c r="E37" i="9"/>
  <c r="E31" i="9"/>
  <c r="E34" i="9"/>
  <c r="E35" i="9"/>
  <c r="J7" i="3"/>
  <c r="I13" i="3"/>
  <c r="Y4" i="10"/>
  <c r="I12" i="3"/>
  <c r="J12" i="3" l="1"/>
  <c r="D78" i="9"/>
  <c r="D99" i="9" s="1"/>
  <c r="D77" i="9"/>
  <c r="D98" i="9" s="1"/>
  <c r="D76" i="9"/>
  <c r="D97" i="9" s="1"/>
  <c r="I11" i="3"/>
  <c r="D75" i="9"/>
  <c r="D96" i="9" s="1"/>
  <c r="D82" i="9"/>
  <c r="D103" i="9" s="1"/>
  <c r="E59" i="9"/>
  <c r="E82" i="9" s="1"/>
  <c r="E103" i="9" s="1"/>
  <c r="E61" i="9"/>
  <c r="E84" i="9" s="1"/>
  <c r="E105" i="9" s="1"/>
  <c r="E60" i="9"/>
  <c r="E83" i="9" s="1"/>
  <c r="E104" i="9" s="1"/>
  <c r="E53" i="9"/>
  <c r="E76" i="9" s="1"/>
  <c r="E97" i="9" s="1"/>
  <c r="E57" i="9"/>
  <c r="E80" i="9" s="1"/>
  <c r="E101" i="9" s="1"/>
  <c r="E54" i="9"/>
  <c r="E77" i="9" s="1"/>
  <c r="E98" i="9" s="1"/>
  <c r="E58" i="9"/>
  <c r="E81" i="9" s="1"/>
  <c r="E102" i="9" s="1"/>
  <c r="E55" i="9"/>
  <c r="E78" i="9" s="1"/>
  <c r="E99" i="9" s="1"/>
  <c r="E52" i="9"/>
  <c r="E75" i="9" s="1"/>
  <c r="E96" i="9" s="1"/>
  <c r="E56" i="9"/>
  <c r="E79" i="9" s="1"/>
  <c r="E100" i="9" s="1"/>
  <c r="D81" i="9"/>
  <c r="D102" i="9" s="1"/>
  <c r="D83" i="9"/>
  <c r="D104" i="9" s="1"/>
  <c r="K7" i="3"/>
  <c r="J13" i="3"/>
  <c r="J9" i="3"/>
  <c r="D80" i="9"/>
  <c r="D101" i="9" s="1"/>
  <c r="D84" i="9"/>
  <c r="D105" i="9" s="1"/>
  <c r="Z4" i="10"/>
  <c r="K12" i="3" l="1"/>
  <c r="J11" i="3"/>
  <c r="D111" i="9"/>
  <c r="B20" i="10" s="1"/>
  <c r="B21" i="10" s="1"/>
  <c r="E111" i="9"/>
  <c r="C20" i="10" s="1"/>
  <c r="F38" i="9"/>
  <c r="F40" i="9"/>
  <c r="F39" i="9"/>
  <c r="F32" i="9"/>
  <c r="F34" i="9"/>
  <c r="F36" i="9"/>
  <c r="F31" i="9"/>
  <c r="F33" i="9"/>
  <c r="F35" i="9"/>
  <c r="F37" i="9"/>
  <c r="F59" i="9"/>
  <c r="F61" i="9"/>
  <c r="F60" i="9"/>
  <c r="F52" i="9"/>
  <c r="F56" i="9"/>
  <c r="F53" i="9"/>
  <c r="F57" i="9"/>
  <c r="F54" i="9"/>
  <c r="F58" i="9"/>
  <c r="F55" i="9"/>
  <c r="L7" i="3"/>
  <c r="K13" i="3"/>
  <c r="K9" i="3"/>
  <c r="AA4" i="10"/>
  <c r="L12" i="3"/>
  <c r="K11" i="3"/>
  <c r="F76" i="9" l="1"/>
  <c r="F97" i="9" s="1"/>
  <c r="H8" i="4"/>
  <c r="F82" i="9"/>
  <c r="F103" i="9" s="1"/>
  <c r="F79" i="9"/>
  <c r="F100" i="9" s="1"/>
  <c r="F78" i="9"/>
  <c r="F99" i="9" s="1"/>
  <c r="F83" i="9"/>
  <c r="F104" i="9" s="1"/>
  <c r="M7" i="3"/>
  <c r="L13" i="3"/>
  <c r="L9" i="3"/>
  <c r="F81" i="9"/>
  <c r="F102" i="9" s="1"/>
  <c r="F84" i="9"/>
  <c r="F105" i="9" s="1"/>
  <c r="B24" i="10"/>
  <c r="B23" i="10"/>
  <c r="G38" i="9"/>
  <c r="G40" i="9"/>
  <c r="G39" i="9"/>
  <c r="G32" i="9"/>
  <c r="G34" i="9"/>
  <c r="G36" i="9"/>
  <c r="G31" i="9"/>
  <c r="G33" i="9"/>
  <c r="G35" i="9"/>
  <c r="G37" i="9"/>
  <c r="G81" i="9" s="1"/>
  <c r="G102" i="9" s="1"/>
  <c r="F75" i="9"/>
  <c r="F96" i="9" s="1"/>
  <c r="F77" i="9"/>
  <c r="F98" i="9" s="1"/>
  <c r="G59" i="9"/>
  <c r="G61" i="9"/>
  <c r="G60" i="9"/>
  <c r="G58" i="9"/>
  <c r="G57" i="9"/>
  <c r="G56" i="9"/>
  <c r="G55" i="9"/>
  <c r="G54" i="9"/>
  <c r="G53" i="9"/>
  <c r="G52" i="9"/>
  <c r="F80" i="9"/>
  <c r="F101" i="9" s="1"/>
  <c r="I8" i="4"/>
  <c r="C21" i="10"/>
  <c r="AB4" i="10"/>
  <c r="L11" i="3"/>
  <c r="G78" i="9" l="1"/>
  <c r="G99" i="9" s="1"/>
  <c r="G80" i="9"/>
  <c r="G101" i="9" s="1"/>
  <c r="G75" i="9"/>
  <c r="G96" i="9" s="1"/>
  <c r="G76" i="9"/>
  <c r="G97" i="9" s="1"/>
  <c r="G83" i="9"/>
  <c r="G104" i="9" s="1"/>
  <c r="H39" i="9"/>
  <c r="H38" i="9"/>
  <c r="H40" i="9"/>
  <c r="H32" i="9"/>
  <c r="H34" i="9"/>
  <c r="H36" i="9"/>
  <c r="H31" i="9"/>
  <c r="H33" i="9"/>
  <c r="H35" i="9"/>
  <c r="H37" i="9"/>
  <c r="G84" i="9"/>
  <c r="G105" i="9" s="1"/>
  <c r="H60" i="9"/>
  <c r="H59" i="9"/>
  <c r="H61" i="9"/>
  <c r="H58" i="9"/>
  <c r="H57" i="9"/>
  <c r="H56" i="9"/>
  <c r="H55" i="9"/>
  <c r="H54" i="9"/>
  <c r="H53" i="9"/>
  <c r="H52" i="9"/>
  <c r="F111" i="9"/>
  <c r="D20" i="10" s="1"/>
  <c r="C24" i="10"/>
  <c r="C23" i="10"/>
  <c r="G79" i="9"/>
  <c r="G100" i="9" s="1"/>
  <c r="G82" i="9"/>
  <c r="G103" i="9" s="1"/>
  <c r="N7" i="3"/>
  <c r="M13" i="3"/>
  <c r="M9" i="3"/>
  <c r="M12" i="3"/>
  <c r="M11" i="3"/>
  <c r="G77" i="9"/>
  <c r="G98" i="9" s="1"/>
  <c r="AC4" i="10"/>
  <c r="N12" i="3"/>
  <c r="H78" i="9" l="1"/>
  <c r="H99" i="9" s="1"/>
  <c r="H81" i="9"/>
  <c r="H102" i="9" s="1"/>
  <c r="G111" i="9"/>
  <c r="E20" i="10" s="1"/>
  <c r="E21" i="10" s="1"/>
  <c r="H76" i="9"/>
  <c r="H97" i="9" s="1"/>
  <c r="H80" i="9"/>
  <c r="H101" i="9" s="1"/>
  <c r="D21" i="10"/>
  <c r="J8" i="4"/>
  <c r="I39" i="9"/>
  <c r="I38" i="9"/>
  <c r="I40" i="9"/>
  <c r="I31" i="9"/>
  <c r="I33" i="9"/>
  <c r="I35" i="9"/>
  <c r="I37" i="9"/>
  <c r="I32" i="9"/>
  <c r="I34" i="9"/>
  <c r="I36" i="9"/>
  <c r="H84" i="9"/>
  <c r="H105" i="9" s="1"/>
  <c r="I60" i="9"/>
  <c r="I59" i="9"/>
  <c r="I61" i="9"/>
  <c r="I52" i="9"/>
  <c r="I58" i="9"/>
  <c r="I57" i="9"/>
  <c r="I56" i="9"/>
  <c r="I55" i="9"/>
  <c r="I54" i="9"/>
  <c r="I53" i="9"/>
  <c r="H82" i="9"/>
  <c r="H103" i="9" s="1"/>
  <c r="O7" i="3"/>
  <c r="N13" i="3"/>
  <c r="N9" i="3"/>
  <c r="H79" i="9"/>
  <c r="H100" i="9" s="1"/>
  <c r="H83" i="9"/>
  <c r="H104" i="9" s="1"/>
  <c r="H77" i="9"/>
  <c r="H98" i="9" s="1"/>
  <c r="H75" i="9"/>
  <c r="H96" i="9" s="1"/>
  <c r="AD4" i="10"/>
  <c r="O12" i="3"/>
  <c r="N11" i="3"/>
  <c r="I80" i="9" l="1"/>
  <c r="I101" i="9" s="1"/>
  <c r="K8" i="4"/>
  <c r="I83" i="9"/>
  <c r="I104" i="9" s="1"/>
  <c r="I75" i="9"/>
  <c r="I96" i="9" s="1"/>
  <c r="I79" i="9"/>
  <c r="I100" i="9" s="1"/>
  <c r="I77" i="9"/>
  <c r="I98" i="9" s="1"/>
  <c r="E24" i="10"/>
  <c r="E23" i="10"/>
  <c r="I84" i="9"/>
  <c r="I105" i="9" s="1"/>
  <c r="I82" i="9"/>
  <c r="I103" i="9" s="1"/>
  <c r="J39" i="9"/>
  <c r="J38" i="9"/>
  <c r="J40" i="9"/>
  <c r="J31" i="9"/>
  <c r="J33" i="9"/>
  <c r="J35" i="9"/>
  <c r="J37" i="9"/>
  <c r="J32" i="9"/>
  <c r="J34" i="9"/>
  <c r="J36" i="9"/>
  <c r="I78" i="9"/>
  <c r="I99" i="9" s="1"/>
  <c r="J60" i="9"/>
  <c r="J59" i="9"/>
  <c r="J61" i="9"/>
  <c r="J53" i="9"/>
  <c r="J52" i="9"/>
  <c r="J58" i="9"/>
  <c r="J57" i="9"/>
  <c r="J56" i="9"/>
  <c r="J55" i="9"/>
  <c r="J54" i="9"/>
  <c r="I76" i="9"/>
  <c r="I97" i="9" s="1"/>
  <c r="H111" i="9"/>
  <c r="F20" i="10" s="1"/>
  <c r="P7" i="3"/>
  <c r="O13" i="3"/>
  <c r="O9" i="3"/>
  <c r="I81" i="9"/>
  <c r="I102" i="9" s="1"/>
  <c r="D24" i="10"/>
  <c r="D23" i="10"/>
  <c r="AE4" i="10"/>
  <c r="P12" i="3"/>
  <c r="O11" i="3"/>
  <c r="J82" i="9" l="1"/>
  <c r="J103" i="9" s="1"/>
  <c r="J78" i="9"/>
  <c r="J99" i="9" s="1"/>
  <c r="J83" i="9"/>
  <c r="J104" i="9" s="1"/>
  <c r="J76" i="9"/>
  <c r="J97" i="9" s="1"/>
  <c r="I111" i="9"/>
  <c r="G20" i="10" s="1"/>
  <c r="G21" i="10" s="1"/>
  <c r="J84" i="9"/>
  <c r="J105" i="9" s="1"/>
  <c r="J80" i="9"/>
  <c r="J101" i="9" s="1"/>
  <c r="K61" i="9"/>
  <c r="K60" i="9"/>
  <c r="K59" i="9"/>
  <c r="K54" i="9"/>
  <c r="K53" i="9"/>
  <c r="K52" i="9"/>
  <c r="K58" i="9"/>
  <c r="K57" i="9"/>
  <c r="K56" i="9"/>
  <c r="K55" i="9"/>
  <c r="J81" i="9"/>
  <c r="J102" i="9" s="1"/>
  <c r="K40" i="9"/>
  <c r="K39" i="9"/>
  <c r="K38" i="9"/>
  <c r="K31" i="9"/>
  <c r="K33" i="9"/>
  <c r="K35" i="9"/>
  <c r="K79" i="9" s="1"/>
  <c r="K100" i="9" s="1"/>
  <c r="K37" i="9"/>
  <c r="K32" i="9"/>
  <c r="K34" i="9"/>
  <c r="K36" i="9"/>
  <c r="Q7" i="3"/>
  <c r="P13" i="3"/>
  <c r="P9" i="3"/>
  <c r="F21" i="10"/>
  <c r="L8" i="4"/>
  <c r="J79" i="9"/>
  <c r="J100" i="9" s="1"/>
  <c r="J77" i="9"/>
  <c r="J98" i="9" s="1"/>
  <c r="J75" i="9"/>
  <c r="J96" i="9" s="1"/>
  <c r="Q12" i="3"/>
  <c r="P11" i="3"/>
  <c r="K75" i="9" l="1"/>
  <c r="K96" i="9" s="1"/>
  <c r="M8" i="4"/>
  <c r="K81" i="9"/>
  <c r="K102" i="9" s="1"/>
  <c r="K78" i="9"/>
  <c r="K99" i="9" s="1"/>
  <c r="K84" i="9"/>
  <c r="K105" i="9" s="1"/>
  <c r="K76" i="9"/>
  <c r="K97" i="9" s="1"/>
  <c r="F23" i="10"/>
  <c r="F24" i="10"/>
  <c r="L40" i="9"/>
  <c r="L39" i="9"/>
  <c r="L38" i="9"/>
  <c r="L31" i="9"/>
  <c r="L33" i="9"/>
  <c r="L35" i="9"/>
  <c r="L37" i="9"/>
  <c r="L32" i="9"/>
  <c r="L34" i="9"/>
  <c r="L36" i="9"/>
  <c r="K77" i="9"/>
  <c r="K98" i="9" s="1"/>
  <c r="L61" i="9"/>
  <c r="L60" i="9"/>
  <c r="L59" i="9"/>
  <c r="L55" i="9"/>
  <c r="L54" i="9"/>
  <c r="L53" i="9"/>
  <c r="L52" i="9"/>
  <c r="L58" i="9"/>
  <c r="L57" i="9"/>
  <c r="L56" i="9"/>
  <c r="R7" i="3"/>
  <c r="Q13" i="3"/>
  <c r="Q9" i="3"/>
  <c r="K82" i="9"/>
  <c r="K103" i="9" s="1"/>
  <c r="J111" i="9"/>
  <c r="H20" i="10" s="1"/>
  <c r="K80" i="9"/>
  <c r="K101" i="9" s="1"/>
  <c r="K83" i="9"/>
  <c r="K104" i="9" s="1"/>
  <c r="G23" i="10"/>
  <c r="G24" i="10"/>
  <c r="R12" i="3"/>
  <c r="Q11" i="3"/>
  <c r="L83" i="9" l="1"/>
  <c r="L104" i="9" s="1"/>
  <c r="L82" i="9"/>
  <c r="L103" i="9" s="1"/>
  <c r="L78" i="9"/>
  <c r="L99" i="9" s="1"/>
  <c r="L79" i="9"/>
  <c r="L100" i="9" s="1"/>
  <c r="L84" i="9"/>
  <c r="L105" i="9" s="1"/>
  <c r="L75" i="9"/>
  <c r="L96" i="9" s="1"/>
  <c r="N8" i="4"/>
  <c r="H21" i="10"/>
  <c r="L80" i="9"/>
  <c r="L101" i="9" s="1"/>
  <c r="M38" i="9"/>
  <c r="M40" i="9"/>
  <c r="M39" i="9"/>
  <c r="M32" i="9"/>
  <c r="M34" i="9"/>
  <c r="M36" i="9"/>
  <c r="M31" i="9"/>
  <c r="M33" i="9"/>
  <c r="M35" i="9"/>
  <c r="M37" i="9"/>
  <c r="L76" i="9"/>
  <c r="L97" i="9" s="1"/>
  <c r="M59" i="9"/>
  <c r="M61" i="9"/>
  <c r="M60" i="9"/>
  <c r="M56" i="9"/>
  <c r="M55" i="9"/>
  <c r="M54" i="9"/>
  <c r="M53" i="9"/>
  <c r="M52" i="9"/>
  <c r="M58" i="9"/>
  <c r="M57" i="9"/>
  <c r="L81" i="9"/>
  <c r="L102" i="9" s="1"/>
  <c r="S7" i="3"/>
  <c r="R13" i="3"/>
  <c r="R9" i="3"/>
  <c r="L77" i="9"/>
  <c r="L98" i="9" s="1"/>
  <c r="K111" i="9"/>
  <c r="I20" i="10" s="1"/>
  <c r="S12" i="3"/>
  <c r="R11" i="3"/>
  <c r="M84" i="9" l="1"/>
  <c r="M105" i="9" s="1"/>
  <c r="M76" i="9"/>
  <c r="M97" i="9" s="1"/>
  <c r="L111" i="9"/>
  <c r="J20" i="10" s="1"/>
  <c r="J21" i="10" s="1"/>
  <c r="M83" i="9"/>
  <c r="M104" i="9" s="1"/>
  <c r="N38" i="9"/>
  <c r="N40" i="9"/>
  <c r="N39" i="9"/>
  <c r="N32" i="9"/>
  <c r="N34" i="9"/>
  <c r="N36" i="9"/>
  <c r="N31" i="9"/>
  <c r="N33" i="9"/>
  <c r="N35" i="9"/>
  <c r="N37" i="9"/>
  <c r="M81" i="9"/>
  <c r="M102" i="9" s="1"/>
  <c r="I21" i="10"/>
  <c r="O8" i="4"/>
  <c r="N59" i="9"/>
  <c r="N61" i="9"/>
  <c r="N60" i="9"/>
  <c r="N52" i="9"/>
  <c r="N54" i="9"/>
  <c r="N56" i="9"/>
  <c r="N58" i="9"/>
  <c r="N53" i="9"/>
  <c r="N55" i="9"/>
  <c r="N57" i="9"/>
  <c r="M79" i="9"/>
  <c r="M100" i="9" s="1"/>
  <c r="M82" i="9"/>
  <c r="M103" i="9" s="1"/>
  <c r="T7" i="3"/>
  <c r="S13" i="3"/>
  <c r="S9" i="3"/>
  <c r="M77" i="9"/>
  <c r="M98" i="9" s="1"/>
  <c r="M75" i="9"/>
  <c r="M96" i="9" s="1"/>
  <c r="M80" i="9"/>
  <c r="M101" i="9" s="1"/>
  <c r="H24" i="10"/>
  <c r="H23" i="10"/>
  <c r="M78" i="9"/>
  <c r="M99" i="9" s="1"/>
  <c r="T12" i="3"/>
  <c r="S11" i="3"/>
  <c r="P8" i="4" l="1"/>
  <c r="N83" i="9"/>
  <c r="N104" i="9" s="1"/>
  <c r="N84" i="9"/>
  <c r="N105" i="9" s="1"/>
  <c r="N78" i="9"/>
  <c r="N99" i="9" s="1"/>
  <c r="M111" i="9"/>
  <c r="K20" i="10" s="1"/>
  <c r="Q8" i="4" s="1"/>
  <c r="I24" i="10"/>
  <c r="I23" i="10"/>
  <c r="N76" i="9"/>
  <c r="N97" i="9" s="1"/>
  <c r="O59" i="9"/>
  <c r="O61" i="9"/>
  <c r="O60" i="9"/>
  <c r="O52" i="9"/>
  <c r="O54" i="9"/>
  <c r="O56" i="9"/>
  <c r="O58" i="9"/>
  <c r="O53" i="9"/>
  <c r="O55" i="9"/>
  <c r="O57" i="9"/>
  <c r="O38" i="9"/>
  <c r="O40" i="9"/>
  <c r="O39" i="9"/>
  <c r="O32" i="9"/>
  <c r="O34" i="9"/>
  <c r="O36" i="9"/>
  <c r="O31" i="9"/>
  <c r="O33" i="9"/>
  <c r="O35" i="9"/>
  <c r="O37" i="9"/>
  <c r="N81" i="9"/>
  <c r="N102" i="9" s="1"/>
  <c r="U7" i="3"/>
  <c r="T13" i="3"/>
  <c r="T9" i="3"/>
  <c r="N79" i="9"/>
  <c r="N100" i="9" s="1"/>
  <c r="N77" i="9"/>
  <c r="N98" i="9" s="1"/>
  <c r="N75" i="9"/>
  <c r="N96" i="9" s="1"/>
  <c r="N82" i="9"/>
  <c r="N103" i="9" s="1"/>
  <c r="N80" i="9"/>
  <c r="N101" i="9" s="1"/>
  <c r="J23" i="10"/>
  <c r="J24" i="10"/>
  <c r="U12" i="3"/>
  <c r="T11" i="3"/>
  <c r="K21" i="10" l="1"/>
  <c r="K24" i="10" s="1"/>
  <c r="O75" i="9"/>
  <c r="O96" i="9" s="1"/>
  <c r="O77" i="9"/>
  <c r="O98" i="9" s="1"/>
  <c r="O81" i="9"/>
  <c r="O102" i="9" s="1"/>
  <c r="N111" i="9"/>
  <c r="L20" i="10" s="1"/>
  <c r="L21" i="10" s="1"/>
  <c r="O79" i="9"/>
  <c r="O100" i="9" s="1"/>
  <c r="O82" i="9"/>
  <c r="O103" i="9" s="1"/>
  <c r="P39" i="9"/>
  <c r="P38" i="9"/>
  <c r="P40" i="9"/>
  <c r="P32" i="9"/>
  <c r="P34" i="9"/>
  <c r="P36" i="9"/>
  <c r="P31" i="9"/>
  <c r="P33" i="9"/>
  <c r="P35" i="9"/>
  <c r="P37" i="9"/>
  <c r="O80" i="9"/>
  <c r="O101" i="9" s="1"/>
  <c r="P60" i="9"/>
  <c r="P59" i="9"/>
  <c r="P61" i="9"/>
  <c r="P53" i="9"/>
  <c r="P55" i="9"/>
  <c r="P57" i="9"/>
  <c r="P52" i="9"/>
  <c r="P54" i="9"/>
  <c r="P56" i="9"/>
  <c r="P58" i="9"/>
  <c r="O78" i="9"/>
  <c r="O99" i="9" s="1"/>
  <c r="V7" i="3"/>
  <c r="U13" i="3"/>
  <c r="U9" i="3"/>
  <c r="O76" i="9"/>
  <c r="O97" i="9" s="1"/>
  <c r="O83" i="9"/>
  <c r="O104" i="9" s="1"/>
  <c r="O84" i="9"/>
  <c r="O105" i="9" s="1"/>
  <c r="V12" i="3"/>
  <c r="U11" i="3"/>
  <c r="K23" i="10" l="1"/>
  <c r="R8" i="4"/>
  <c r="O111" i="9"/>
  <c r="M20" i="10" s="1"/>
  <c r="S8" i="4" s="1"/>
  <c r="P80" i="9"/>
  <c r="P101" i="9" s="1"/>
  <c r="P78" i="9"/>
  <c r="P99" i="9" s="1"/>
  <c r="P76" i="9"/>
  <c r="P97" i="9" s="1"/>
  <c r="P84" i="9"/>
  <c r="P105" i="9" s="1"/>
  <c r="Q39" i="9"/>
  <c r="Q38" i="9"/>
  <c r="Q40" i="9"/>
  <c r="Q31" i="9"/>
  <c r="Q33" i="9"/>
  <c r="Q35" i="9"/>
  <c r="Q37" i="9"/>
  <c r="Q32" i="9"/>
  <c r="Q34" i="9"/>
  <c r="Q36" i="9"/>
  <c r="P81" i="9"/>
  <c r="P102" i="9" s="1"/>
  <c r="P82" i="9"/>
  <c r="P103" i="9" s="1"/>
  <c r="Q60" i="9"/>
  <c r="Q59" i="9"/>
  <c r="Q61" i="9"/>
  <c r="Q53" i="9"/>
  <c r="Q55" i="9"/>
  <c r="Q57" i="9"/>
  <c r="Q52" i="9"/>
  <c r="Q54" i="9"/>
  <c r="Q56" i="9"/>
  <c r="Q58" i="9"/>
  <c r="P79" i="9"/>
  <c r="P100" i="9" s="1"/>
  <c r="P83" i="9"/>
  <c r="P104" i="9" s="1"/>
  <c r="P77" i="9"/>
  <c r="P98" i="9" s="1"/>
  <c r="W7" i="3"/>
  <c r="V13" i="3"/>
  <c r="V9" i="3"/>
  <c r="P75" i="9"/>
  <c r="P96" i="9" s="1"/>
  <c r="L24" i="10"/>
  <c r="L23" i="10"/>
  <c r="W12" i="3"/>
  <c r="V11" i="3"/>
  <c r="M21" i="10" l="1"/>
  <c r="M23" i="10" s="1"/>
  <c r="Q81" i="9"/>
  <c r="Q102" i="9" s="1"/>
  <c r="Q82" i="9"/>
  <c r="Q103" i="9" s="1"/>
  <c r="Q83" i="9"/>
  <c r="Q104" i="9" s="1"/>
  <c r="Q77" i="9"/>
  <c r="Q98" i="9" s="1"/>
  <c r="Q75" i="9"/>
  <c r="Q96" i="9" s="1"/>
  <c r="Q84" i="9"/>
  <c r="Q105" i="9" s="1"/>
  <c r="X7" i="3"/>
  <c r="W13" i="3"/>
  <c r="W9" i="3"/>
  <c r="Q80" i="9"/>
  <c r="Q101" i="9" s="1"/>
  <c r="Q76" i="9"/>
  <c r="Q97" i="9" s="1"/>
  <c r="R60" i="9"/>
  <c r="R59" i="9"/>
  <c r="R61" i="9"/>
  <c r="R53" i="9"/>
  <c r="R55" i="9"/>
  <c r="R57" i="9"/>
  <c r="R52" i="9"/>
  <c r="R54" i="9"/>
  <c r="R56" i="9"/>
  <c r="R58" i="9"/>
  <c r="R39" i="9"/>
  <c r="R38" i="9"/>
  <c r="R40" i="9"/>
  <c r="R31" i="9"/>
  <c r="R33" i="9"/>
  <c r="R35" i="9"/>
  <c r="R37" i="9"/>
  <c r="R32" i="9"/>
  <c r="R34" i="9"/>
  <c r="R36" i="9"/>
  <c r="R80" i="9" s="1"/>
  <c r="R101" i="9" s="1"/>
  <c r="Q78" i="9"/>
  <c r="Q99" i="9" s="1"/>
  <c r="P111" i="9"/>
  <c r="N20" i="10" s="1"/>
  <c r="Q79" i="9"/>
  <c r="Q100" i="9" s="1"/>
  <c r="X12" i="3"/>
  <c r="W11" i="3"/>
  <c r="R78" i="9" l="1"/>
  <c r="R99" i="9" s="1"/>
  <c r="R79" i="9"/>
  <c r="R100" i="9" s="1"/>
  <c r="R76" i="9"/>
  <c r="R97" i="9" s="1"/>
  <c r="M24" i="10"/>
  <c r="R84" i="9"/>
  <c r="R105" i="9" s="1"/>
  <c r="R77" i="9"/>
  <c r="R98" i="9" s="1"/>
  <c r="R75" i="9"/>
  <c r="R96" i="9" s="1"/>
  <c r="Q111" i="9"/>
  <c r="O20" i="10" s="1"/>
  <c r="S40" i="9"/>
  <c r="S39" i="9"/>
  <c r="S38" i="9"/>
  <c r="S31" i="9"/>
  <c r="S33" i="9"/>
  <c r="S35" i="9"/>
  <c r="S37" i="9"/>
  <c r="S32" i="9"/>
  <c r="S34" i="9"/>
  <c r="S36" i="9"/>
  <c r="R83" i="9"/>
  <c r="R104" i="9" s="1"/>
  <c r="S61" i="9"/>
  <c r="S60" i="9"/>
  <c r="S59" i="9"/>
  <c r="S53" i="9"/>
  <c r="S55" i="9"/>
  <c r="S57" i="9"/>
  <c r="S52" i="9"/>
  <c r="S54" i="9"/>
  <c r="S56" i="9"/>
  <c r="S58" i="9"/>
  <c r="N21" i="10"/>
  <c r="T8" i="4"/>
  <c r="Y7" i="3"/>
  <c r="X13" i="3"/>
  <c r="X9" i="3"/>
  <c r="R82" i="9"/>
  <c r="R103" i="9" s="1"/>
  <c r="R81" i="9"/>
  <c r="R102" i="9" s="1"/>
  <c r="Y12" i="3"/>
  <c r="X11" i="3"/>
  <c r="R111" i="9" l="1"/>
  <c r="P20" i="10" s="1"/>
  <c r="V8" i="4" s="1"/>
  <c r="S77" i="9"/>
  <c r="S98" i="9" s="1"/>
  <c r="S75" i="9"/>
  <c r="S96" i="9" s="1"/>
  <c r="S79" i="9"/>
  <c r="S100" i="9" s="1"/>
  <c r="S81" i="9"/>
  <c r="S102" i="9" s="1"/>
  <c r="S82" i="9"/>
  <c r="S103" i="9" s="1"/>
  <c r="T61" i="9"/>
  <c r="T60" i="9"/>
  <c r="T59" i="9"/>
  <c r="T52" i="9"/>
  <c r="T54" i="9"/>
  <c r="T56" i="9"/>
  <c r="T58" i="9"/>
  <c r="T53" i="9"/>
  <c r="T55" i="9"/>
  <c r="T57" i="9"/>
  <c r="S80" i="9"/>
  <c r="S101" i="9" s="1"/>
  <c r="S83" i="9"/>
  <c r="S104" i="9" s="1"/>
  <c r="Z7" i="3"/>
  <c r="Y13" i="3"/>
  <c r="Y9" i="3"/>
  <c r="S78" i="9"/>
  <c r="S99" i="9" s="1"/>
  <c r="S84" i="9"/>
  <c r="S105" i="9" s="1"/>
  <c r="N23" i="10"/>
  <c r="N24" i="10"/>
  <c r="T40" i="9"/>
  <c r="T39" i="9"/>
  <c r="T38" i="9"/>
  <c r="T31" i="9"/>
  <c r="T33" i="9"/>
  <c r="T35" i="9"/>
  <c r="T37" i="9"/>
  <c r="T32" i="9"/>
  <c r="T34" i="9"/>
  <c r="T36" i="9"/>
  <c r="S76" i="9"/>
  <c r="S97" i="9" s="1"/>
  <c r="O21" i="10"/>
  <c r="U8" i="4"/>
  <c r="Z12" i="3"/>
  <c r="Y11" i="3"/>
  <c r="P21" i="10" l="1"/>
  <c r="P24" i="10" s="1"/>
  <c r="T79" i="9"/>
  <c r="T100" i="9" s="1"/>
  <c r="T76" i="9"/>
  <c r="T97" i="9" s="1"/>
  <c r="T81" i="9"/>
  <c r="T102" i="9" s="1"/>
  <c r="T78" i="9"/>
  <c r="T99" i="9" s="1"/>
  <c r="T80" i="9"/>
  <c r="T101" i="9" s="1"/>
  <c r="T83" i="9"/>
  <c r="T104" i="9" s="1"/>
  <c r="AA7" i="3"/>
  <c r="Z13" i="3"/>
  <c r="Z9" i="3"/>
  <c r="T84" i="9"/>
  <c r="T105" i="9" s="1"/>
  <c r="T77" i="9"/>
  <c r="T98" i="9" s="1"/>
  <c r="O24" i="10"/>
  <c r="O23" i="10"/>
  <c r="T75" i="9"/>
  <c r="T96" i="9" s="1"/>
  <c r="U38" i="9"/>
  <c r="U40" i="9"/>
  <c r="U39" i="9"/>
  <c r="U32" i="9"/>
  <c r="U34" i="9"/>
  <c r="U36" i="9"/>
  <c r="U31" i="9"/>
  <c r="U33" i="9"/>
  <c r="U35" i="9"/>
  <c r="U37" i="9"/>
  <c r="S111" i="9"/>
  <c r="Q20" i="10" s="1"/>
  <c r="T82" i="9"/>
  <c r="T103" i="9" s="1"/>
  <c r="U59" i="9"/>
  <c r="U61" i="9"/>
  <c r="U60" i="9"/>
  <c r="U52" i="9"/>
  <c r="U54" i="9"/>
  <c r="U56" i="9"/>
  <c r="U58" i="9"/>
  <c r="U53" i="9"/>
  <c r="U55" i="9"/>
  <c r="U57" i="9"/>
  <c r="AA12" i="3"/>
  <c r="Z11" i="3"/>
  <c r="P23" i="10" l="1"/>
  <c r="U84" i="9"/>
  <c r="U105" i="9" s="1"/>
  <c r="U83" i="9"/>
  <c r="U104" i="9" s="1"/>
  <c r="T111" i="9"/>
  <c r="R20" i="10" s="1"/>
  <c r="R21" i="10" s="1"/>
  <c r="U80" i="9"/>
  <c r="U101" i="9" s="1"/>
  <c r="U75" i="9"/>
  <c r="U96" i="9" s="1"/>
  <c r="Q21" i="10"/>
  <c r="W8" i="4"/>
  <c r="U81" i="9"/>
  <c r="U102" i="9" s="1"/>
  <c r="V38" i="9"/>
  <c r="V40" i="9"/>
  <c r="V39" i="9"/>
  <c r="V32" i="9"/>
  <c r="V34" i="9"/>
  <c r="V36" i="9"/>
  <c r="V31" i="9"/>
  <c r="V33" i="9"/>
  <c r="V35" i="9"/>
  <c r="V37" i="9"/>
  <c r="U79" i="9"/>
  <c r="U100" i="9" s="1"/>
  <c r="U82" i="9"/>
  <c r="U103" i="9" s="1"/>
  <c r="V59" i="9"/>
  <c r="V61" i="9"/>
  <c r="V60" i="9"/>
  <c r="V52" i="9"/>
  <c r="V54" i="9"/>
  <c r="V56" i="9"/>
  <c r="V58" i="9"/>
  <c r="V53" i="9"/>
  <c r="V55" i="9"/>
  <c r="V57" i="9"/>
  <c r="U78" i="9"/>
  <c r="U99" i="9" s="1"/>
  <c r="U76" i="9"/>
  <c r="U97" i="9" s="1"/>
  <c r="U77" i="9"/>
  <c r="U98" i="9" s="1"/>
  <c r="AB7" i="3"/>
  <c r="AA13" i="3"/>
  <c r="AA9" i="3"/>
  <c r="AB12" i="3"/>
  <c r="AA11" i="3"/>
  <c r="X8" i="4" l="1"/>
  <c r="V84" i="9"/>
  <c r="V105" i="9" s="1"/>
  <c r="V81" i="9"/>
  <c r="V102" i="9" s="1"/>
  <c r="U111" i="9"/>
  <c r="S20" i="10" s="1"/>
  <c r="S21" i="10" s="1"/>
  <c r="AC7" i="3"/>
  <c r="AB13" i="3"/>
  <c r="AB9" i="3"/>
  <c r="V75" i="9"/>
  <c r="V96" i="9" s="1"/>
  <c r="V80" i="9"/>
  <c r="V101" i="9" s="1"/>
  <c r="Q24" i="10"/>
  <c r="Q23" i="10"/>
  <c r="V77" i="9"/>
  <c r="V98" i="9" s="1"/>
  <c r="V82" i="9"/>
  <c r="V103" i="9" s="1"/>
  <c r="V78" i="9"/>
  <c r="V99" i="9" s="1"/>
  <c r="V79" i="9"/>
  <c r="V100" i="9" s="1"/>
  <c r="V76" i="9"/>
  <c r="V97" i="9" s="1"/>
  <c r="W38" i="9"/>
  <c r="W40" i="9"/>
  <c r="W39" i="9"/>
  <c r="W32" i="9"/>
  <c r="W34" i="9"/>
  <c r="W36" i="9"/>
  <c r="W31" i="9"/>
  <c r="W33" i="9"/>
  <c r="W77" i="9" s="1"/>
  <c r="W98" i="9" s="1"/>
  <c r="W35" i="9"/>
  <c r="W37" i="9"/>
  <c r="W59" i="9"/>
  <c r="W61" i="9"/>
  <c r="W60" i="9"/>
  <c r="W52" i="9"/>
  <c r="W54" i="9"/>
  <c r="W56" i="9"/>
  <c r="W58" i="9"/>
  <c r="W53" i="9"/>
  <c r="W55" i="9"/>
  <c r="W57" i="9"/>
  <c r="V83" i="9"/>
  <c r="V104" i="9" s="1"/>
  <c r="R24" i="10"/>
  <c r="R23" i="10"/>
  <c r="AC12" i="3"/>
  <c r="AB11" i="3"/>
  <c r="W82" i="9" l="1"/>
  <c r="W103" i="9" s="1"/>
  <c r="W80" i="9"/>
  <c r="W101" i="9" s="1"/>
  <c r="W78" i="9"/>
  <c r="W99" i="9" s="1"/>
  <c r="Y8" i="4"/>
  <c r="W79" i="9"/>
  <c r="W100" i="9" s="1"/>
  <c r="W81" i="9"/>
  <c r="W102" i="9" s="1"/>
  <c r="W84" i="9"/>
  <c r="W105" i="9" s="1"/>
  <c r="W75" i="9"/>
  <c r="W96" i="9" s="1"/>
  <c r="X39" i="9"/>
  <c r="X38" i="9"/>
  <c r="X40" i="9"/>
  <c r="X32" i="9"/>
  <c r="X34" i="9"/>
  <c r="X36" i="9"/>
  <c r="X31" i="9"/>
  <c r="X33" i="9"/>
  <c r="X35" i="9"/>
  <c r="X37" i="9"/>
  <c r="X60" i="9"/>
  <c r="X59" i="9"/>
  <c r="X61" i="9"/>
  <c r="X53" i="9"/>
  <c r="X55" i="9"/>
  <c r="X57" i="9"/>
  <c r="X52" i="9"/>
  <c r="X54" i="9"/>
  <c r="X56" i="9"/>
  <c r="X58" i="9"/>
  <c r="V111" i="9"/>
  <c r="T20" i="10" s="1"/>
  <c r="AD7" i="3"/>
  <c r="AC13" i="3"/>
  <c r="AC9" i="3"/>
  <c r="W76" i="9"/>
  <c r="W97" i="9" s="1"/>
  <c r="W83" i="9"/>
  <c r="W104" i="9" s="1"/>
  <c r="S24" i="10"/>
  <c r="S23" i="10"/>
  <c r="AD12" i="3"/>
  <c r="AC11" i="3"/>
  <c r="X75" i="9" l="1"/>
  <c r="X96" i="9" s="1"/>
  <c r="W111" i="9"/>
  <c r="U20" i="10" s="1"/>
  <c r="U21" i="10" s="1"/>
  <c r="X80" i="9"/>
  <c r="X101" i="9" s="1"/>
  <c r="X76" i="9"/>
  <c r="X97" i="9" s="1"/>
  <c r="X84" i="9"/>
  <c r="X105" i="9" s="1"/>
  <c r="X78" i="9"/>
  <c r="X99" i="9" s="1"/>
  <c r="X81" i="9"/>
  <c r="X102" i="9" s="1"/>
  <c r="X82" i="9"/>
  <c r="X103" i="9" s="1"/>
  <c r="Y60" i="9"/>
  <c r="Y59" i="9"/>
  <c r="Y61" i="9"/>
  <c r="Y53" i="9"/>
  <c r="Y55" i="9"/>
  <c r="Y57" i="9"/>
  <c r="Y52" i="9"/>
  <c r="Y54" i="9"/>
  <c r="Y56" i="9"/>
  <c r="Y58" i="9"/>
  <c r="AE7" i="3"/>
  <c r="AD13" i="3"/>
  <c r="AD9" i="3"/>
  <c r="X79" i="9"/>
  <c r="X100" i="9" s="1"/>
  <c r="X83" i="9"/>
  <c r="X104" i="9" s="1"/>
  <c r="T21" i="10"/>
  <c r="Z8" i="4"/>
  <c r="Y39" i="9"/>
  <c r="Y38" i="9"/>
  <c r="Y40" i="9"/>
  <c r="Y31" i="9"/>
  <c r="Y33" i="9"/>
  <c r="Y35" i="9"/>
  <c r="Y37" i="9"/>
  <c r="Y32" i="9"/>
  <c r="Y34" i="9"/>
  <c r="Y36" i="9"/>
  <c r="X77" i="9"/>
  <c r="X98" i="9" s="1"/>
  <c r="AE12" i="3"/>
  <c r="AD11" i="3"/>
  <c r="Y81" i="9" l="1"/>
  <c r="Y102" i="9" s="1"/>
  <c r="Y77" i="9"/>
  <c r="Y98" i="9" s="1"/>
  <c r="Y75" i="9"/>
  <c r="Y96" i="9" s="1"/>
  <c r="Y79" i="9"/>
  <c r="Y100" i="9" s="1"/>
  <c r="Y84" i="9"/>
  <c r="Y105" i="9" s="1"/>
  <c r="AA8" i="4"/>
  <c r="Y76" i="9"/>
  <c r="Y97" i="9" s="1"/>
  <c r="Y83" i="9"/>
  <c r="Y104" i="9" s="1"/>
  <c r="Y80" i="9"/>
  <c r="Y101" i="9" s="1"/>
  <c r="Y78" i="9"/>
  <c r="Y99" i="9" s="1"/>
  <c r="X111" i="9"/>
  <c r="V20" i="10" s="1"/>
  <c r="V21" i="10" s="1"/>
  <c r="T24" i="10"/>
  <c r="T23" i="10"/>
  <c r="U24" i="10"/>
  <c r="U23" i="10"/>
  <c r="Y82" i="9"/>
  <c r="Y103" i="9" s="1"/>
  <c r="Z39" i="9"/>
  <c r="Z38" i="9"/>
  <c r="Z40" i="9"/>
  <c r="Z31" i="9"/>
  <c r="Z33" i="9"/>
  <c r="Z35" i="9"/>
  <c r="Z32" i="9"/>
  <c r="Z34" i="9"/>
  <c r="Z36" i="9"/>
  <c r="Z37" i="9"/>
  <c r="Z60" i="9"/>
  <c r="Z59" i="9"/>
  <c r="Z61" i="9"/>
  <c r="Z53" i="9"/>
  <c r="Z55" i="9"/>
  <c r="Z57" i="9"/>
  <c r="Z52" i="9"/>
  <c r="Z54" i="9"/>
  <c r="Z56" i="9"/>
  <c r="Z58" i="9"/>
  <c r="AF7" i="3"/>
  <c r="AE13" i="3"/>
  <c r="AE9" i="3"/>
  <c r="AF12" i="3"/>
  <c r="AE11" i="3"/>
  <c r="Z75" i="9" l="1"/>
  <c r="Z96" i="9" s="1"/>
  <c r="AB8" i="4"/>
  <c r="Z77" i="9"/>
  <c r="Z98" i="9" s="1"/>
  <c r="Z79" i="9"/>
  <c r="Z100" i="9" s="1"/>
  <c r="Y111" i="9"/>
  <c r="W20" i="10" s="1"/>
  <c r="AC8" i="4" s="1"/>
  <c r="Z78" i="9"/>
  <c r="Z99" i="9" s="1"/>
  <c r="Z76" i="9"/>
  <c r="Z97" i="9" s="1"/>
  <c r="AA40" i="9"/>
  <c r="AA39" i="9"/>
  <c r="AA38" i="9"/>
  <c r="AA31" i="9"/>
  <c r="AA33" i="9"/>
  <c r="AA35" i="9"/>
  <c r="AA37" i="9"/>
  <c r="AA32" i="9"/>
  <c r="AA34" i="9"/>
  <c r="AA36" i="9"/>
  <c r="AA61" i="9"/>
  <c r="AA60" i="9"/>
  <c r="AA59" i="9"/>
  <c r="AA53" i="9"/>
  <c r="AA55" i="9"/>
  <c r="AA57" i="9"/>
  <c r="AA52" i="9"/>
  <c r="AA54" i="9"/>
  <c r="AA56" i="9"/>
  <c r="AA58" i="9"/>
  <c r="AG7" i="3"/>
  <c r="AF13" i="3"/>
  <c r="AF9" i="3"/>
  <c r="Z84" i="9"/>
  <c r="Z105" i="9" s="1"/>
  <c r="Z81" i="9"/>
  <c r="Z102" i="9" s="1"/>
  <c r="Z82" i="9"/>
  <c r="Z103" i="9" s="1"/>
  <c r="Z80" i="9"/>
  <c r="Z101" i="9" s="1"/>
  <c r="Z83" i="9"/>
  <c r="Z104" i="9" s="1"/>
  <c r="V24" i="10"/>
  <c r="V23" i="10"/>
  <c r="AG12" i="3"/>
  <c r="AF11" i="3"/>
  <c r="AA76" i="9" l="1"/>
  <c r="AA97" i="9" s="1"/>
  <c r="W21" i="10"/>
  <c r="W24" i="10" s="1"/>
  <c r="AA78" i="9"/>
  <c r="AA99" i="9" s="1"/>
  <c r="AA80" i="9"/>
  <c r="AA101" i="9" s="1"/>
  <c r="AA84" i="9"/>
  <c r="AA105" i="9" s="1"/>
  <c r="AA75" i="9"/>
  <c r="AA96" i="9" s="1"/>
  <c r="Z111" i="9"/>
  <c r="X20" i="10" s="1"/>
  <c r="X21" i="10" s="1"/>
  <c r="AA77" i="9"/>
  <c r="AA98" i="9" s="1"/>
  <c r="AA82" i="9"/>
  <c r="AA103" i="9" s="1"/>
  <c r="AH7" i="3"/>
  <c r="AG13" i="3"/>
  <c r="AG9" i="3"/>
  <c r="AA83" i="9"/>
  <c r="AA104" i="9" s="1"/>
  <c r="AB40" i="9"/>
  <c r="AB39" i="9"/>
  <c r="AB38" i="9"/>
  <c r="AB31" i="9"/>
  <c r="AB33" i="9"/>
  <c r="AB35" i="9"/>
  <c r="AB37" i="9"/>
  <c r="AB32" i="9"/>
  <c r="AB34" i="9"/>
  <c r="AB36" i="9"/>
  <c r="AA81" i="9"/>
  <c r="AA102" i="9" s="1"/>
  <c r="AB61" i="9"/>
  <c r="AB60" i="9"/>
  <c r="AB59" i="9"/>
  <c r="AB52" i="9"/>
  <c r="AB54" i="9"/>
  <c r="AB56" i="9"/>
  <c r="AB58" i="9"/>
  <c r="AB53" i="9"/>
  <c r="AB55" i="9"/>
  <c r="AB57" i="9"/>
  <c r="AA79" i="9"/>
  <c r="AA100" i="9" s="1"/>
  <c r="AH12" i="3"/>
  <c r="AG11" i="3"/>
  <c r="AD8" i="4" l="1"/>
  <c r="W23" i="10"/>
  <c r="AB84" i="9"/>
  <c r="AB105" i="9" s="1"/>
  <c r="AA111" i="9"/>
  <c r="Y20" i="10" s="1"/>
  <c r="Y21" i="10" s="1"/>
  <c r="AB79" i="9"/>
  <c r="AB100" i="9" s="1"/>
  <c r="AB76" i="9"/>
  <c r="AB97" i="9" s="1"/>
  <c r="AB81" i="9"/>
  <c r="AB102" i="9" s="1"/>
  <c r="AC38" i="9"/>
  <c r="AC40" i="9"/>
  <c r="AC39" i="9"/>
  <c r="AC32" i="9"/>
  <c r="AC34" i="9"/>
  <c r="AC36" i="9"/>
  <c r="AC31" i="9"/>
  <c r="AC33" i="9"/>
  <c r="AC35" i="9"/>
  <c r="AC37" i="9"/>
  <c r="AB77" i="9"/>
  <c r="AB98" i="9" s="1"/>
  <c r="AC59" i="9"/>
  <c r="AC61" i="9"/>
  <c r="AC60" i="9"/>
  <c r="AC52" i="9"/>
  <c r="AC54" i="9"/>
  <c r="AC56" i="9"/>
  <c r="AC58" i="9"/>
  <c r="AC53" i="9"/>
  <c r="AC55" i="9"/>
  <c r="AC57" i="9"/>
  <c r="AB82" i="9"/>
  <c r="AB103" i="9" s="1"/>
  <c r="AB75" i="9"/>
  <c r="AB96" i="9" s="1"/>
  <c r="AB80" i="9"/>
  <c r="AB101" i="9" s="1"/>
  <c r="AB83" i="9"/>
  <c r="AB104" i="9" s="1"/>
  <c r="X24" i="10"/>
  <c r="X23" i="10"/>
  <c r="AI7" i="3"/>
  <c r="AH13" i="3"/>
  <c r="AH9" i="3"/>
  <c r="AB78" i="9"/>
  <c r="AB99" i="9" s="1"/>
  <c r="AI12" i="3"/>
  <c r="AH11" i="3"/>
  <c r="AE8" i="4" l="1"/>
  <c r="AC80" i="9"/>
  <c r="AC101" i="9" s="1"/>
  <c r="AC78" i="9"/>
  <c r="AC99" i="9" s="1"/>
  <c r="AC77" i="9"/>
  <c r="AC98" i="9" s="1"/>
  <c r="AC75" i="9"/>
  <c r="AC96" i="9" s="1"/>
  <c r="AB111" i="9"/>
  <c r="Z20" i="10" s="1"/>
  <c r="Y24" i="10"/>
  <c r="Y23" i="10"/>
  <c r="AC76" i="9"/>
  <c r="AC97" i="9" s="1"/>
  <c r="AD38" i="9"/>
  <c r="AD40" i="9"/>
  <c r="AD39" i="9"/>
  <c r="AD32" i="9"/>
  <c r="AD34" i="9"/>
  <c r="AD36" i="9"/>
  <c r="AD31" i="9"/>
  <c r="AD33" i="9"/>
  <c r="AD35" i="9"/>
  <c r="AD37" i="9"/>
  <c r="AC83" i="9"/>
  <c r="AC104" i="9" s="1"/>
  <c r="AC81" i="9"/>
  <c r="AC102" i="9" s="1"/>
  <c r="AC84" i="9"/>
  <c r="AC105" i="9" s="1"/>
  <c r="AD59" i="9"/>
  <c r="AD61" i="9"/>
  <c r="AD60" i="9"/>
  <c r="AD52" i="9"/>
  <c r="AD54" i="9"/>
  <c r="AD56" i="9"/>
  <c r="AD58" i="9"/>
  <c r="AD53" i="9"/>
  <c r="AD55" i="9"/>
  <c r="AD57" i="9"/>
  <c r="AJ7" i="3"/>
  <c r="AI13" i="3"/>
  <c r="AI9" i="3"/>
  <c r="AC79" i="9"/>
  <c r="AC100" i="9" s="1"/>
  <c r="AC82" i="9"/>
  <c r="AC103" i="9" s="1"/>
  <c r="AJ12" i="3"/>
  <c r="AI11" i="3"/>
  <c r="AD81" i="9" l="1"/>
  <c r="AD102" i="9" s="1"/>
  <c r="AD84" i="9"/>
  <c r="AD105" i="9" s="1"/>
  <c r="AD82" i="9"/>
  <c r="AD103" i="9" s="1"/>
  <c r="AD76" i="9"/>
  <c r="AD97" i="9" s="1"/>
  <c r="AC111" i="9"/>
  <c r="AA20" i="10" s="1"/>
  <c r="AA21" i="10" s="1"/>
  <c r="AD83" i="9"/>
  <c r="AD104" i="9" s="1"/>
  <c r="AE59" i="9"/>
  <c r="AE61" i="9"/>
  <c r="AE60" i="9"/>
  <c r="AE52" i="9"/>
  <c r="AE54" i="9"/>
  <c r="AE56" i="9"/>
  <c r="AE58" i="9"/>
  <c r="AE53" i="9"/>
  <c r="AE55" i="9"/>
  <c r="AE57" i="9"/>
  <c r="AK7" i="3"/>
  <c r="AJ13" i="3"/>
  <c r="AJ9" i="3"/>
  <c r="AD79" i="9"/>
  <c r="AD100" i="9" s="1"/>
  <c r="AD77" i="9"/>
  <c r="AD98" i="9" s="1"/>
  <c r="AD75" i="9"/>
  <c r="AD96" i="9" s="1"/>
  <c r="AD80" i="9"/>
  <c r="AD101" i="9" s="1"/>
  <c r="AE38" i="9"/>
  <c r="AE40" i="9"/>
  <c r="AE39" i="9"/>
  <c r="AE32" i="9"/>
  <c r="AE34" i="9"/>
  <c r="AE36" i="9"/>
  <c r="AE31" i="9"/>
  <c r="AE33" i="9"/>
  <c r="AE35" i="9"/>
  <c r="AE37" i="9"/>
  <c r="AD78" i="9"/>
  <c r="AD99" i="9" s="1"/>
  <c r="Z21" i="10"/>
  <c r="AF8" i="4"/>
  <c r="AJ11" i="3"/>
  <c r="AG8" i="4" l="1"/>
  <c r="AE82" i="9"/>
  <c r="AE103" i="9" s="1"/>
  <c r="AE83" i="9"/>
  <c r="AE104" i="9" s="1"/>
  <c r="AE76" i="9"/>
  <c r="AE97" i="9" s="1"/>
  <c r="AE78" i="9"/>
  <c r="AE99" i="9" s="1"/>
  <c r="AE81" i="9"/>
  <c r="AE102" i="9" s="1"/>
  <c r="AE84" i="9"/>
  <c r="AE105" i="9" s="1"/>
  <c r="AF39" i="9"/>
  <c r="AF38" i="9"/>
  <c r="AF40" i="9"/>
  <c r="AF32" i="9"/>
  <c r="AF34" i="9"/>
  <c r="AF36" i="9"/>
  <c r="AF31" i="9"/>
  <c r="AF33" i="9"/>
  <c r="AF35" i="9"/>
  <c r="AF37" i="9"/>
  <c r="AF60" i="9"/>
  <c r="AF59" i="9"/>
  <c r="AF61" i="9"/>
  <c r="AF53" i="9"/>
  <c r="AF55" i="9"/>
  <c r="AF57" i="9"/>
  <c r="AF52" i="9"/>
  <c r="AF54" i="9"/>
  <c r="AF56" i="9"/>
  <c r="AF58" i="9"/>
  <c r="AK9" i="3"/>
  <c r="AK13" i="3"/>
  <c r="Z24" i="10"/>
  <c r="Z23" i="10"/>
  <c r="AE79" i="9"/>
  <c r="AE100" i="9" s="1"/>
  <c r="AE77" i="9"/>
  <c r="AE98" i="9" s="1"/>
  <c r="AD111" i="9"/>
  <c r="AB20" i="10" s="1"/>
  <c r="AE75" i="9"/>
  <c r="AE96" i="9" s="1"/>
  <c r="AE80" i="9"/>
  <c r="AE101" i="9" s="1"/>
  <c r="AA24" i="10"/>
  <c r="AA23" i="10"/>
  <c r="AK11" i="3"/>
  <c r="AK12" i="3"/>
  <c r="AL10" i="3"/>
  <c r="AL11" i="3" s="1"/>
  <c r="C13" i="1"/>
  <c r="AF77" i="9" l="1"/>
  <c r="AF98" i="9" s="1"/>
  <c r="AF75" i="9"/>
  <c r="AF96" i="9" s="1"/>
  <c r="AF80" i="9"/>
  <c r="AF101" i="9" s="1"/>
  <c r="AG39" i="9"/>
  <c r="AG38" i="9"/>
  <c r="AG40" i="9"/>
  <c r="AG31" i="9"/>
  <c r="AG33" i="9"/>
  <c r="AG35" i="9"/>
  <c r="AG37" i="9"/>
  <c r="AG32" i="9"/>
  <c r="AG34" i="9"/>
  <c r="AG36" i="9"/>
  <c r="AF78" i="9"/>
  <c r="AF99" i="9" s="1"/>
  <c r="AE111" i="9"/>
  <c r="AC20" i="10" s="1"/>
  <c r="AF76" i="9"/>
  <c r="AF97" i="9" s="1"/>
  <c r="AG60" i="9"/>
  <c r="AG59" i="9"/>
  <c r="AG61" i="9"/>
  <c r="AG53" i="9"/>
  <c r="AG55" i="9"/>
  <c r="AG57" i="9"/>
  <c r="AG52" i="9"/>
  <c r="AG54" i="9"/>
  <c r="AG56" i="9"/>
  <c r="AG58" i="9"/>
  <c r="AB21" i="10"/>
  <c r="AH8" i="4"/>
  <c r="AF84" i="9"/>
  <c r="AF105" i="9" s="1"/>
  <c r="AF81" i="9"/>
  <c r="AF102" i="9" s="1"/>
  <c r="AF82" i="9"/>
  <c r="AF103" i="9" s="1"/>
  <c r="AF79" i="9"/>
  <c r="AF100" i="9" s="1"/>
  <c r="AF83" i="9"/>
  <c r="AF104" i="9" s="1"/>
  <c r="D7" i="2"/>
  <c r="F59" i="1"/>
  <c r="F7" i="2" l="1"/>
  <c r="F22" i="2" s="1"/>
  <c r="E7" i="2"/>
  <c r="F80" i="1"/>
  <c r="F81" i="1"/>
  <c r="F82" i="1"/>
  <c r="F79" i="1"/>
  <c r="F78" i="1"/>
  <c r="F74" i="1"/>
  <c r="F75" i="1"/>
  <c r="F76" i="1"/>
  <c r="C11" i="1"/>
  <c r="F77" i="1"/>
  <c r="C86" i="1"/>
  <c r="C34" i="1" s="1"/>
  <c r="AG84" i="9"/>
  <c r="AG105" i="9" s="1"/>
  <c r="AF111" i="9"/>
  <c r="AD20" i="10" s="1"/>
  <c r="AD21" i="10" s="1"/>
  <c r="AG75" i="9"/>
  <c r="AG96" i="9" s="1"/>
  <c r="AG76" i="9"/>
  <c r="AG97" i="9" s="1"/>
  <c r="AG83" i="9"/>
  <c r="AG104" i="9" s="1"/>
  <c r="AG81" i="9"/>
  <c r="AG102" i="9" s="1"/>
  <c r="AG79" i="9"/>
  <c r="AG100" i="9" s="1"/>
  <c r="AI8" i="4"/>
  <c r="AC21" i="10"/>
  <c r="AG77" i="9"/>
  <c r="AG98" i="9" s="1"/>
  <c r="AG80" i="9"/>
  <c r="AG101" i="9" s="1"/>
  <c r="AG82" i="9"/>
  <c r="AG103" i="9" s="1"/>
  <c r="AB24" i="10"/>
  <c r="AB23" i="10"/>
  <c r="AG78" i="9"/>
  <c r="AG99" i="9" s="1"/>
  <c r="C14" i="1"/>
  <c r="E22" i="2" l="1"/>
  <c r="G22" i="2" s="1"/>
  <c r="G7" i="2"/>
  <c r="F42" i="1"/>
  <c r="H42" i="1"/>
  <c r="C85" i="1"/>
  <c r="C30" i="1" s="1"/>
  <c r="AJ8" i="4"/>
  <c r="F57" i="1"/>
  <c r="F64" i="1"/>
  <c r="F61" i="1"/>
  <c r="F63" i="1"/>
  <c r="F65" i="1"/>
  <c r="H41" i="1"/>
  <c r="F58" i="1"/>
  <c r="F62" i="1"/>
  <c r="AG111" i="9"/>
  <c r="AE20" i="10" s="1"/>
  <c r="AK8" i="4" s="1"/>
  <c r="AC24" i="10"/>
  <c r="AC23" i="10"/>
  <c r="AD24" i="10"/>
  <c r="AD23" i="10"/>
  <c r="F73" i="1" l="1"/>
  <c r="H43" i="1"/>
  <c r="C52" i="1"/>
  <c r="C35" i="1" s="1"/>
  <c r="F45" i="1"/>
  <c r="H45" i="1"/>
  <c r="F44" i="1"/>
  <c r="H44" i="1"/>
  <c r="F48" i="1"/>
  <c r="H48" i="1"/>
  <c r="F60" i="1"/>
  <c r="C69" i="1"/>
  <c r="C33" i="1" s="1"/>
  <c r="F47" i="1"/>
  <c r="H47" i="1"/>
  <c r="F46" i="1"/>
  <c r="H46" i="1"/>
  <c r="H39" i="1"/>
  <c r="C51" i="1"/>
  <c r="F40" i="1"/>
  <c r="H40" i="1"/>
  <c r="C68" i="1"/>
  <c r="AE21" i="10"/>
  <c r="AE24" i="10" s="1"/>
  <c r="B30" i="10" s="1"/>
  <c r="F39" i="1"/>
  <c r="F56" i="1"/>
  <c r="B27" i="10"/>
  <c r="C29" i="1" l="1"/>
  <c r="C31" i="1"/>
  <c r="AE23" i="10"/>
  <c r="B2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tc={704A8023-18C2-4304-A5CB-DF9CC96EC3F8}</author>
    <author>tc={77143C0E-4A5C-452B-8F8F-42C3C79B463E}</author>
  </authors>
  <commentList>
    <comment ref="C2" authorId="0" shapeId="0" xr:uid="{704A8023-18C2-4304-A5CB-DF9CC96EC3F8}">
      <text>
        <t>[Threaded comment]
Your version of Excel allows you to read this threaded comment; however, any edits to it will get removed if the file is opened in a newer version of Excel. Learn more: https://go.microsoft.com/fwlink/?linkid=870924
Comment:
    Even the Representative Agent Must Die: Using demographics to inform long-term social discount rates, Fenichel et al., 2017, Appendix Table 1</t>
      </text>
    </comment>
    <comment ref="D2" authorId="1" shapeId="0" xr:uid="{77143C0E-4A5C-452B-8F8F-42C3C79B463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http://www.wrc.org.za/wp-content/uploads/mdocs/TT%20598-14.pdf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tc={8463F4B4-D084-4C64-B356-3F097AD9C323}</author>
    <author>tc={1910B037-CBE0-4027-AB2E-26416A2B7699}</author>
  </authors>
  <commentList>
    <comment ref="C2" authorId="0" shapeId="0" xr:uid="{8463F4B4-D084-4C64-B356-3F097AD9C323}">
      <text>
        <t>[Threaded comment]
Your version of Excel allows you to read this threaded comment; however, any edits to it will get removed if the file is opened in a newer version of Excel. Learn more: https://go.microsoft.com/fwlink/?linkid=870924
Comment:
    Ngepah, N., Djemo, C.R., Le Roux, A. &amp; Ludick, C. 2019. Green Book. The impact of climate change on economic production and growth. Pretoria: CSIR. Available at: https://pta-gis-2-web1.csir.co.za/portal/apps/GBCascade/index.html?appid=d566b75b27f544839a100edb1526ce31.</t>
      </text>
    </comment>
    <comment ref="E2" authorId="1" shapeId="0" xr:uid="{1910B037-CBE0-4027-AB2E-26416A2B7699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http://sacitiesnetwork.co.za/wp-content/uploads/2014/07/secondary_cities_in_south_africa_with_more_detail.pdf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tc={B2A13D97-1182-4923-BD06-986D37CAB6EB}</author>
  </authors>
  <commentList>
    <comment ref="B1" authorId="0" shapeId="0" xr:uid="{B2A13D97-1182-4923-BD06-986D37CAB6EB}">
      <text>
        <t>[Threaded comment]
Your version of Excel allows you to read this threaded comment; however, any edits to it will get removed if the file is opened in a newer version of Excel. Learn more: https://go.microsoft.com/fwlink/?linkid=870924
Comment:
    Ngepah, N., Djemo, C.R., Le Roux, A. &amp; Ludick, C. 2019. Green Book. The impact of climate change on economic production and growth. Pretoria: CSIR. Available at: https://pta-gis-2-web1.csir.co.za/portal/apps/GBCascade/index.html?appid=d566b75b27f544839a100edb1526ce31.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tc={F3D2E30B-85D3-4E80-8EFC-4F3F38D3DA6F}</author>
    <author>tc={B825221B-2A63-49B3-9AD8-1B3A3C00AF4B}</author>
  </authors>
  <commentList>
    <comment ref="B8" authorId="0" shapeId="0" xr:uid="{F3D2E30B-85D3-4E80-8EFC-4F3F38D3DA6F}">
      <text>
        <t>[Threaded comment]
Your version of Excel allows you to read this threaded comment; however, any edits to it will get removed if the file is opened in a newer version of Excel. Learn more: https://go.microsoft.com/fwlink/?linkid=870924
Comment:
    2019 acceptable assurance supply assumed constant. Not accounting for water resources decline with climate change</t>
      </text>
    </comment>
    <comment ref="B11" authorId="1" shapeId="0" xr:uid="{B825221B-2A63-49B3-9AD8-1B3A3C00AF4B}">
      <text>
        <t>[Threaded comment]
Your version of Excel allows you to read this threaded comment; however, any edits to it will get removed if the file is opened in a newer version of Excel. Learn more: https://go.microsoft.com/fwlink/?linkid=870924
Comment:
    To be confirmed with Chris Wise</t>
      </text>
    </comment>
  </commentList>
</comments>
</file>

<file path=xl/sharedStrings.xml><?xml version="1.0" encoding="utf-8"?>
<sst xmlns="http://schemas.openxmlformats.org/spreadsheetml/2006/main" count="501" uniqueCount="240">
  <si>
    <t>Assumption</t>
  </si>
  <si>
    <t>Value</t>
  </si>
  <si>
    <t>Unit</t>
  </si>
  <si>
    <t>Year</t>
  </si>
  <si>
    <t>Source</t>
  </si>
  <si>
    <t>Proportion of women in South Africa</t>
  </si>
  <si>
    <t>%</t>
  </si>
  <si>
    <t>2011 Census</t>
  </si>
  <si>
    <t xml:space="preserve">Employment gender split </t>
  </si>
  <si>
    <t>https://www.veolia.com/sites/g/files/dvc4206/files/document/2021/04/integrated-report-2020-2021-veolia-en.pdf</t>
  </si>
  <si>
    <t>Jobs per ML treated</t>
  </si>
  <si>
    <t>jobs/ML/day</t>
  </si>
  <si>
    <t>?</t>
  </si>
  <si>
    <t>CFF Full Funding Proposal (DBSA, 2018)</t>
  </si>
  <si>
    <t>Jobs at risk from water supply deficit</t>
  </si>
  <si>
    <t>GreenCape Market Intelligence Report: Water</t>
  </si>
  <si>
    <t>Combined Treated Water volume from WRP pilot</t>
  </si>
  <si>
    <t>ML/day</t>
  </si>
  <si>
    <t>Pilot conceptual deisgn</t>
  </si>
  <si>
    <t>Combined treated output at full WRP scale</t>
  </si>
  <si>
    <t>WRP design</t>
  </si>
  <si>
    <t>Average per capita water consumption in SA</t>
  </si>
  <si>
    <t>L/day</t>
  </si>
  <si>
    <t>Authors calculation</t>
  </si>
  <si>
    <t>Jobs created at full WRP scale</t>
  </si>
  <si>
    <t>Jobs</t>
  </si>
  <si>
    <t>Jobs saved at full WRP scale</t>
  </si>
  <si>
    <t>Current national water deficit in SA</t>
  </si>
  <si>
    <t>Department of Water and Sanitation 2020/21 Annual Performance Plan</t>
  </si>
  <si>
    <t>South African Population Growth Rate</t>
  </si>
  <si>
    <t>World Bank Development Indicators</t>
  </si>
  <si>
    <t>GCF Funding Requirement Option 1</t>
  </si>
  <si>
    <t>USD</t>
  </si>
  <si>
    <t>Programme Financial Model</t>
  </si>
  <si>
    <t>GCF Funding Requirement Option 2</t>
  </si>
  <si>
    <t>GCF Cost per Beneficiary (Option 1)</t>
  </si>
  <si>
    <t>USD/beneficiary (direct)</t>
  </si>
  <si>
    <t>Total cost per beneficiary</t>
  </si>
  <si>
    <t>Beneficiaries/GCF Dollar CALCS</t>
  </si>
  <si>
    <t>Beneficiary Impact Summary</t>
  </si>
  <si>
    <t>Beneficiaries/GCF Dollar</t>
  </si>
  <si>
    <t>Public Projects</t>
  </si>
  <si>
    <t>Sub-total Female beneficiaries per GCF Dollar (PUBLIC)</t>
  </si>
  <si>
    <t>Sub-total Male beneficiaries per GCF Dollar (PUBLIC)</t>
  </si>
  <si>
    <t>Total Beneficiaries per GCF Dollar (PUBLIC)</t>
  </si>
  <si>
    <t>Private Projects</t>
  </si>
  <si>
    <t>Sub-total Female beneficiaries per GCF Dollar (PRIVATE)</t>
  </si>
  <si>
    <t>Sub-total Male beneficiaries per GCF Dollar (PRIVATE)</t>
  </si>
  <si>
    <t>Total beneficiaries per GCF Dollar (PRIVATE)</t>
  </si>
  <si>
    <t>Projects</t>
  </si>
  <si>
    <t>Total Beneficiaries</t>
  </si>
  <si>
    <t>Private/Public</t>
  </si>
  <si>
    <t>GCF Cost per project</t>
  </si>
  <si>
    <t>USD/beneficiary</t>
  </si>
  <si>
    <t xml:space="preserve">Nelson Mandela Metropolitan Municipality </t>
  </si>
  <si>
    <t>Public</t>
  </si>
  <si>
    <t>City of Ekurhuleni</t>
  </si>
  <si>
    <t>City of Johannesburg Metropolitan Municipality</t>
  </si>
  <si>
    <t>City of Tshwane Metropolitan Municipality</t>
  </si>
  <si>
    <t>eThekwini Metropolitan Municipality</t>
  </si>
  <si>
    <t>Private</t>
  </si>
  <si>
    <t>uMhlatuze Municipality</t>
  </si>
  <si>
    <t>City of Cape Town Metropolitan Municipality</t>
  </si>
  <si>
    <t>Drakenstein Local Municipality</t>
  </si>
  <si>
    <t>Mangaung Metropolitan Municipality</t>
  </si>
  <si>
    <t xml:space="preserve">Total </t>
  </si>
  <si>
    <t>Total USD/beneficiary (PUBLIC)</t>
  </si>
  <si>
    <t>Total USD/beneficiary (PRIVATE)</t>
  </si>
  <si>
    <t>Female Beneficiaries</t>
  </si>
  <si>
    <t>Female Beneficiaries/GCF Dollar</t>
  </si>
  <si>
    <t>Total female USD/beneficiary (PUBLIC)</t>
  </si>
  <si>
    <t>Total female USD/beneficiary (PRIVATE)</t>
  </si>
  <si>
    <t>Male Beneficiaries</t>
  </si>
  <si>
    <t>Male Beneficiaries/GCF Dollar</t>
  </si>
  <si>
    <t>Total male USD/beneficiary (PUBLIC)</t>
  </si>
  <si>
    <t>Total male USD/beneficiary (PRIVATE)</t>
  </si>
  <si>
    <t>MUNICIPALITIES with Climate Rationale (included in economic component)</t>
  </si>
  <si>
    <t>Combined Treated Water Output from WRP Ml/d</t>
  </si>
  <si>
    <t>% Male</t>
  </si>
  <si>
    <t>% Female</t>
  </si>
  <si>
    <t>EC</t>
  </si>
  <si>
    <t>FS</t>
  </si>
  <si>
    <t>GP</t>
  </si>
  <si>
    <t>KZN</t>
  </si>
  <si>
    <t>NC</t>
  </si>
  <si>
    <t>WC</t>
  </si>
  <si>
    <t>ECONOMIC IMPACTS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</si>
  <si>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</si>
  <si>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</si>
  <si>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</si>
  <si>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</si>
  <si>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</si>
  <si>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</si>
  <si>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</si>
  <si>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</si>
  <si>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</si>
  <si>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</si>
  <si>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</si>
  <si>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</si>
  <si>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</si>
  <si>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</si>
  <si>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</si>
  <si>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</si>
  <si>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</si>
  <si>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</si>
  <si>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</si>
  <si>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</si>
  <si>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</si>
  <si>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</si>
  <si>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</si>
  <si>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</si>
  <si>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</si>
  <si>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t>Year 26</t>
  </si>
  <si>
    <t>Year 27</t>
  </si>
  <si>
    <t>Year 28</t>
  </si>
  <si>
    <t>Year 29</t>
  </si>
  <si>
    <t>Year 30</t>
  </si>
  <si>
    <t>TOTAL</t>
  </si>
  <si>
    <t>Annual Volume of Treated Water Delivered by WRP (Ml)</t>
  </si>
  <si>
    <t>National Annual Water Demand (Ml)</t>
  </si>
  <si>
    <t>National Annual Water Supply (Ml)</t>
  </si>
  <si>
    <t>National Annual Water Supply Deficit %</t>
  </si>
  <si>
    <t>National Annual Water Supply Deficit (Ml)</t>
  </si>
  <si>
    <t>WRP's potential annual contribution to water supply deficit (%)</t>
  </si>
  <si>
    <t>National annual water supply deficit WITH the WRP (Ml)</t>
  </si>
  <si>
    <t>National annual water supply deficit WITH WAREU (%)</t>
  </si>
  <si>
    <t>Value of interruptions to water supply - households</t>
  </si>
  <si>
    <t>Step 1: raw data from Water UK study on WtP per household (£)</t>
  </si>
  <si>
    <t>Source: Water UK (2016) “Water resources long term planning framework (2015-2065)”, Appendix F3</t>
  </si>
  <si>
    <t>WTP (£ 2016)</t>
  </si>
  <si>
    <t>Temporary use ban / Non-essential use</t>
  </si>
  <si>
    <t>Emergency drought order</t>
  </si>
  <si>
    <t>Low</t>
  </si>
  <si>
    <t>Medium</t>
  </si>
  <si>
    <t>High</t>
  </si>
  <si>
    <t>Step 2: update to 2021 present value (£)</t>
  </si>
  <si>
    <t>Source: World Bank Inflation, consumer prices (annual %) - United Kingdom</t>
  </si>
  <si>
    <t>Inflation (annual)</t>
  </si>
  <si>
    <t>Index</t>
  </si>
  <si>
    <t>WTP (£ 2021)</t>
  </si>
  <si>
    <t>Step 3: convert to R using PPP exchange rate and adjusting for average household income levels</t>
  </si>
  <si>
    <t>South Africa</t>
  </si>
  <si>
    <t>United Kingdom</t>
  </si>
  <si>
    <t>PPP converter (US$ 2020)</t>
  </si>
  <si>
    <t>Source: World Bank GNI per capita, PPP (current international $)</t>
  </si>
  <si>
    <t>FX converter £:R</t>
  </si>
  <si>
    <t>GDP per capita (2020)</t>
  </si>
  <si>
    <t>Income conversion factor</t>
  </si>
  <si>
    <t>Step 3: apply to households connected to the reticulated water network</t>
  </si>
  <si>
    <t>Source: Annual reports from municipalities and utilites (please see Financial Architecture Report for reference list)</t>
  </si>
  <si>
    <t>Munucipality</t>
  </si>
  <si>
    <t># households</t>
  </si>
  <si>
    <t>Value at risk (NEU per day)</t>
  </si>
  <si>
    <t>Value at risk (EDO per day)</t>
  </si>
  <si>
    <t>Change in drought risk level</t>
  </si>
  <si>
    <t>Estimated value of WAREU</t>
  </si>
  <si>
    <t>Nelson Mandela Metropolitan Municipality</t>
  </si>
  <si>
    <t>City of Cape Town Metrolpolitan Municipality</t>
  </si>
  <si>
    <t>Sol Plaatje Local Municipality</t>
  </si>
  <si>
    <t>Municipality 11</t>
  </si>
  <si>
    <t>Municipality 12</t>
  </si>
  <si>
    <t>Municipality 13</t>
  </si>
  <si>
    <t>Municipality 14</t>
  </si>
  <si>
    <t>Municipality 15</t>
  </si>
  <si>
    <t>Value of interruptions to water supply - businesses</t>
  </si>
  <si>
    <t>Source: Ngepah, N., Djemo, C.R., Le Roux, A. &amp; Ludick, C. 2019. Green Book. The impact of climate change on economic production and growth. Pretoria: CSIR. Available at: https://pta-gis-2-web1.csir.co.za/portal/apps/GBCascade/index.html?appid=d566b75b27f544839a100edb1526ce31.</t>
  </si>
  <si>
    <t>Total GVA</t>
  </si>
  <si>
    <t>Share of GVA lost by restriction level</t>
  </si>
  <si>
    <t>Temporary use ban</t>
  </si>
  <si>
    <t>Non-essential use order</t>
  </si>
  <si>
    <t>Value lost by restriction level by day</t>
  </si>
  <si>
    <t>Sector</t>
  </si>
  <si>
    <t>Share of GVA by activity</t>
  </si>
  <si>
    <t>Argriculture, Forestry and Fishing</t>
  </si>
  <si>
    <t>Mining and quarrying</t>
  </si>
  <si>
    <t>Manufacturing</t>
  </si>
  <si>
    <t>Electricity, gas and water</t>
  </si>
  <si>
    <t>Whilesale and retail trade, catering and accomodation</t>
  </si>
  <si>
    <t>Transport storage and communication</t>
  </si>
  <si>
    <t>Finance, insurance, real estate and business services</t>
  </si>
  <si>
    <t>Government and community, social and personal services</t>
  </si>
  <si>
    <t>Mapping values to drought risk by municipality</t>
  </si>
  <si>
    <t>Step 1: estimate economic value lost in the event of stlised drought event</t>
  </si>
  <si>
    <t>TUB</t>
  </si>
  <si>
    <t>NEU</t>
  </si>
  <si>
    <t>EDO</t>
  </si>
  <si>
    <t>Days per restriction level in even of stylised severe drought</t>
  </si>
  <si>
    <t>NOTE: this is a very sensitive step and we should explore what is a reasonable "worst case" scenario in the event of drought, and how likely that is in each municipality</t>
  </si>
  <si>
    <t>Cost of drought if it occurs per municipality</t>
  </si>
  <si>
    <t>Households</t>
  </si>
  <si>
    <t>Businesses</t>
  </si>
  <si>
    <t>Total</t>
  </si>
  <si>
    <t>Step 2: Assumed / estimated risk of water deficit and water restrictions without WAREU</t>
  </si>
  <si>
    <t>Risk level of drought occuring</t>
  </si>
  <si>
    <t>Step 3: Assumed / estimated risk of water deficit and water restrictions with WAREU</t>
  </si>
  <si>
    <t>Step 4: WAREU contribution to reducing drought risk</t>
  </si>
  <si>
    <t>Deficit above which severe drought impacts</t>
  </si>
  <si>
    <t>Step 5: Value of reduced drought risk by municipality</t>
  </si>
  <si>
    <t>Annual value of the avoided cost of water restrictions resulting from the WRP (ZAR)</t>
  </si>
  <si>
    <t>Option 1</t>
  </si>
  <si>
    <t>Option 2</t>
  </si>
  <si>
    <t>Discount Rate</t>
  </si>
  <si>
    <t>DISCOUNT OPTION 1</t>
  </si>
  <si>
    <t>DISCOUNT OPTION 2</t>
  </si>
  <si>
    <t>Programme Level EIRR</t>
  </si>
  <si>
    <t>Programme Net Financial Cashflows (ZARm)</t>
  </si>
  <si>
    <t>Annual value of the avoided cost of water restrictions resulting from the WRP (ZARm)</t>
  </si>
  <si>
    <t>Programme Net Financial and Economic Cashflows</t>
  </si>
  <si>
    <t>Programme Net Financial and Economic Cashflows discounted @ 3.66%</t>
  </si>
  <si>
    <t>Programme Net Financial and Economic Cashflows discounted @ 8.35%</t>
  </si>
  <si>
    <t>FIRR</t>
  </si>
  <si>
    <t>EIRR</t>
  </si>
  <si>
    <t>Net present value (R millions) @ 3.66%</t>
  </si>
  <si>
    <t>Net present value (R millions) @ 8.35%</t>
  </si>
  <si>
    <t>Total Revenues</t>
  </si>
  <si>
    <t>Total Opex</t>
  </si>
  <si>
    <t>Total Capex</t>
  </si>
  <si>
    <t>Gross Value Added 2019</t>
  </si>
  <si>
    <t>Gross Value Added 2010</t>
  </si>
  <si>
    <t>% contribution to national GVA</t>
  </si>
  <si>
    <t>GVA Rank</t>
  </si>
  <si>
    <t>% contribution to GDP</t>
  </si>
  <si>
    <t>ZAR Value (GVA-R)</t>
  </si>
  <si>
    <t>GVA-R 2021</t>
  </si>
  <si>
    <t>Sol Plaatje</t>
  </si>
  <si>
    <t>Mangaung</t>
  </si>
  <si>
    <t>GVA by Sector (2019)</t>
  </si>
  <si>
    <t>AVERAGE</t>
  </si>
  <si>
    <t>Agriculture, forestry and fishing</t>
  </si>
  <si>
    <t>Wholesale and retail trade, catering and accommadation</t>
  </si>
  <si>
    <t>Transport, storage and communication</t>
  </si>
  <si>
    <t>Proportion of unserved population per municipality</t>
  </si>
  <si>
    <t>Number of unserved population per municipality</t>
  </si>
  <si>
    <t>TOTALS</t>
  </si>
  <si>
    <t>Number of direct beneficiaries disaggregated by gender</t>
  </si>
  <si>
    <t>Total number of direct beneficiaries per municipality</t>
  </si>
  <si>
    <t>Municipal Population</t>
  </si>
  <si>
    <r>
      <t>Water Consumption per capita (litres on average)</t>
    </r>
    <r>
      <rPr>
        <sz val="9"/>
        <rFont val="Arial"/>
        <family val="2"/>
      </rPr>
      <t>  </t>
    </r>
  </si>
  <si>
    <t>Indicative Project B</t>
  </si>
  <si>
    <t>Indicative Project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</si>
</sst>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&quot;* #,##0.00_-;\-&quot;R&quot;* #,##0.00_-;_-&quot;R&quot;* &quot;-&quot;??_-;_-@_-"/>
    <numFmt numFmtId="164" formatCode="&quot;£&quot;#,##0;[Red]\-&quot;£&quot;#,##0"/>
    <numFmt numFmtId="165" formatCode="&quot;£&quot;#,##0.00;[Red]\-&quot;£&quot;#,##0.00"/>
    <numFmt numFmtId="166" formatCode="_-[$$-409]* #,##0.00_ ;_-[$$-409]* \-#,##0.00\ ;_-[$$-409]* &quot;-&quot;??_ ;_-@_ "/>
    <numFmt numFmtId="167" formatCode="#,##0_);[Red]\(#,##0\);_(\-_)"/>
    <numFmt numFmtId="168" formatCode="_-[$R-1C09]* #,##0.00_-;\-[$R-1C09]* #,##0.00_-;_-[$R-1C09]* &quot;-&quot;??_-;_-@_-"/>
    <numFmt numFmtId="169" formatCode="_-[$R-1C09]* #,##0_-;\-[$R-1C09]* #,##0_-;_-[$R-1C09]* &quot;-&quot;??_-;_-@_-"/>
    <numFmt numFmtId="170" formatCode="[$R-1C09]#,##0.00"/>
    <numFmt numFmtId="171" formatCode="0.0%"/>
    <numFmt numFmtId="172" formatCode="_-[$$-409]* #,##0_ ;_-[$$-409]* \-#,##0\ ;_-[$$-409]* &quot;-&quot;_ ;_-@_ "/>
    <numFmt numFmtId="173" formatCode="0.0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rgb="FF404040"/>
      <name val="Calibri"/>
      <family val="2"/>
    </font>
    <font>
      <b/>
      <vertAlign val="superscript"/>
      <sz val="10"/>
      <color rgb="FF40404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ArialMT"/>
    </font>
    <font>
      <b/>
      <sz val="9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404040"/>
      <name val="Arial"/>
      <family val="2"/>
    </font>
    <font>
      <b/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darkUp"/>
    </fill>
    <fill>
      <patternFill patternType="solid">
        <fgColor rgb="FFFFFF00"/>
        <bgColor indexed="64"/>
      </patternFill>
    </fill>
    <fill>
      <patternFill patternType="darkUp">
        <bgColor rgb="FFFFFF00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4">
    <xf numFmtId="0" fontId="0" fillId="0" borderId="0" xfId="0"/>
    <xf numFmtId="0" fontId="3" fillId="0" borderId="0" xfId="3"/>
    <xf numFmtId="0" fontId="2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0" borderId="0" xfId="3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1" fontId="0" fillId="0" borderId="0" xfId="0" applyNumberFormat="1"/>
    <xf numFmtId="9" fontId="0" fillId="0" borderId="0" xfId="2" applyFont="1"/>
    <xf numFmtId="0" fontId="0" fillId="0" borderId="0" xfId="0" applyAlignment="1">
      <alignment horizontal="left"/>
    </xf>
    <xf numFmtId="10" fontId="8" fillId="0" borderId="0" xfId="0" applyNumberFormat="1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10" fontId="0" fillId="0" borderId="0" xfId="0" applyNumberFormat="1"/>
    <xf numFmtId="166" fontId="0" fillId="0" borderId="0" xfId="1" applyNumberFormat="1" applyFont="1"/>
    <xf numFmtId="2" fontId="8" fillId="0" borderId="0" xfId="0" applyNumberFormat="1" applyFont="1"/>
    <xf numFmtId="1" fontId="8" fillId="0" borderId="0" xfId="0" applyNumberFormat="1" applyFont="1"/>
    <xf numFmtId="0" fontId="3" fillId="0" borderId="0" xfId="3" applyFill="1" applyAlignment="1">
      <alignment horizontal="left"/>
    </xf>
    <xf numFmtId="0" fontId="0" fillId="4" borderId="0" xfId="0" applyFill="1"/>
    <xf numFmtId="9" fontId="0" fillId="4" borderId="0" xfId="2" applyFont="1" applyFill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indent="1"/>
    </xf>
    <xf numFmtId="167" fontId="11" fillId="0" borderId="0" xfId="0" applyNumberFormat="1" applyFont="1"/>
    <xf numFmtId="168" fontId="0" fillId="0" borderId="0" xfId="0" applyNumberFormat="1"/>
    <xf numFmtId="169" fontId="0" fillId="0" borderId="0" xfId="0" applyNumberFormat="1"/>
    <xf numFmtId="0" fontId="0" fillId="5" borderId="0" xfId="0" applyFill="1"/>
    <xf numFmtId="0" fontId="0" fillId="6" borderId="0" xfId="0" applyFill="1"/>
    <xf numFmtId="1" fontId="0" fillId="5" borderId="0" xfId="0" applyNumberFormat="1" applyFill="1"/>
    <xf numFmtId="9" fontId="0" fillId="0" borderId="0" xfId="0" applyNumberFormat="1"/>
    <xf numFmtId="0" fontId="13" fillId="0" borderId="0" xfId="0" applyFont="1"/>
    <xf numFmtId="0" fontId="14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9" fontId="14" fillId="0" borderId="0" xfId="2" applyFont="1" applyAlignment="1">
      <alignment horizontal="right"/>
    </xf>
    <xf numFmtId="3" fontId="0" fillId="0" borderId="0" xfId="0" applyNumberFormat="1"/>
    <xf numFmtId="2" fontId="0" fillId="0" borderId="0" xfId="0" applyNumberFormat="1"/>
    <xf numFmtId="0" fontId="17" fillId="7" borderId="0" xfId="0" applyFont="1" applyFill="1" applyAlignment="1">
      <alignment vertical="center"/>
    </xf>
    <xf numFmtId="0" fontId="16" fillId="7" borderId="0" xfId="0" applyFont="1" applyFill="1"/>
    <xf numFmtId="0" fontId="2" fillId="8" borderId="1" xfId="0" applyFont="1" applyFill="1" applyBorder="1"/>
    <xf numFmtId="0" fontId="0" fillId="8" borderId="1" xfId="0" applyFill="1" applyBorder="1"/>
    <xf numFmtId="0" fontId="15" fillId="0" borderId="0" xfId="0" applyFont="1"/>
    <xf numFmtId="0" fontId="0" fillId="0" borderId="2" xfId="0" applyBorder="1"/>
    <xf numFmtId="0" fontId="0" fillId="0" borderId="2" xfId="0" applyBorder="1" applyAlignment="1">
      <alignment wrapText="1"/>
    </xf>
    <xf numFmtId="165" fontId="0" fillId="9" borderId="0" xfId="0" applyNumberFormat="1" applyFill="1"/>
    <xf numFmtId="164" fontId="0" fillId="9" borderId="0" xfId="0" applyNumberFormat="1" applyFill="1"/>
    <xf numFmtId="0" fontId="0" fillId="0" borderId="3" xfId="0" applyBorder="1"/>
    <xf numFmtId="165" fontId="0" fillId="9" borderId="3" xfId="0" applyNumberFormat="1" applyFill="1" applyBorder="1"/>
    <xf numFmtId="164" fontId="0" fillId="9" borderId="3" xfId="0" applyNumberFormat="1" applyFill="1" applyBorder="1"/>
    <xf numFmtId="0" fontId="0" fillId="0" borderId="4" xfId="0" applyBorder="1"/>
    <xf numFmtId="2" fontId="0" fillId="9" borderId="4" xfId="0" applyNumberFormat="1" applyFill="1" applyBorder="1"/>
    <xf numFmtId="165" fontId="0" fillId="0" borderId="0" xfId="0" applyNumberFormat="1"/>
    <xf numFmtId="164" fontId="0" fillId="0" borderId="0" xfId="0" applyNumberFormat="1"/>
    <xf numFmtId="165" fontId="0" fillId="0" borderId="3" xfId="0" applyNumberFormat="1" applyBorder="1"/>
    <xf numFmtId="164" fontId="0" fillId="0" borderId="3" xfId="0" applyNumberFormat="1" applyBorder="1"/>
    <xf numFmtId="0" fontId="0" fillId="9" borderId="3" xfId="0" applyFill="1" applyBorder="1"/>
    <xf numFmtId="3" fontId="0" fillId="9" borderId="4" xfId="0" applyNumberFormat="1" applyFill="1" applyBorder="1"/>
    <xf numFmtId="170" fontId="0" fillId="0" borderId="0" xfId="0" applyNumberFormat="1"/>
    <xf numFmtId="170" fontId="0" fillId="0" borderId="3" xfId="0" applyNumberFormat="1" applyBorder="1"/>
    <xf numFmtId="3" fontId="0" fillId="9" borderId="0" xfId="0" applyNumberFormat="1" applyFill="1"/>
    <xf numFmtId="0" fontId="0" fillId="0" borderId="0" xfId="0" applyAlignment="1">
      <alignment horizontal="right"/>
    </xf>
    <xf numFmtId="3" fontId="0" fillId="0" borderId="0" xfId="2" applyNumberFormat="1" applyFont="1"/>
    <xf numFmtId="171" fontId="0" fillId="0" borderId="0" xfId="2" applyNumberFormat="1" applyFont="1"/>
    <xf numFmtId="0" fontId="0" fillId="0" borderId="0" xfId="0" applyAlignment="1">
      <alignment vertical="center" wrapText="1"/>
    </xf>
    <xf numFmtId="9" fontId="0" fillId="9" borderId="0" xfId="0" applyNumberFormat="1" applyFill="1"/>
    <xf numFmtId="171" fontId="0" fillId="9" borderId="0" xfId="2" applyNumberFormat="1" applyFont="1" applyFill="1"/>
    <xf numFmtId="0" fontId="18" fillId="10" borderId="0" xfId="0" applyFont="1" applyFill="1"/>
    <xf numFmtId="3" fontId="0" fillId="0" borderId="3" xfId="0" applyNumberFormat="1" applyBorder="1"/>
    <xf numFmtId="0" fontId="2" fillId="0" borderId="5" xfId="0" applyFont="1" applyBorder="1"/>
    <xf numFmtId="0" fontId="2" fillId="0" borderId="3" xfId="0" applyFont="1" applyBorder="1"/>
    <xf numFmtId="171" fontId="0" fillId="11" borderId="0" xfId="2" applyNumberFormat="1" applyFont="1" applyFill="1"/>
    <xf numFmtId="171" fontId="0" fillId="11" borderId="3" xfId="2" applyNumberFormat="1" applyFont="1" applyFill="1" applyBorder="1"/>
    <xf numFmtId="0" fontId="0" fillId="0" borderId="6" xfId="0" applyBorder="1"/>
    <xf numFmtId="0" fontId="18" fillId="10" borderId="7" xfId="0" applyFont="1" applyFill="1" applyBorder="1"/>
    <xf numFmtId="171" fontId="0" fillId="0" borderId="0" xfId="2" applyNumberFormat="1" applyFont="1" applyFill="1"/>
    <xf numFmtId="171" fontId="0" fillId="0" borderId="3" xfId="2" applyNumberFormat="1" applyFont="1" applyFill="1" applyBorder="1"/>
    <xf numFmtId="3" fontId="0" fillId="0" borderId="0" xfId="2" applyNumberFormat="1" applyFont="1" applyFill="1"/>
    <xf numFmtId="3" fontId="0" fillId="0" borderId="3" xfId="2" applyNumberFormat="1" applyFont="1" applyFill="1" applyBorder="1"/>
    <xf numFmtId="0" fontId="2" fillId="0" borderId="8" xfId="0" applyFont="1" applyBorder="1"/>
    <xf numFmtId="3" fontId="0" fillId="0" borderId="8" xfId="0" applyNumberFormat="1" applyBorder="1"/>
    <xf numFmtId="0" fontId="0" fillId="0" borderId="8" xfId="0" applyBorder="1"/>
    <xf numFmtId="0" fontId="0" fillId="3" borderId="0" xfId="0" applyFill="1"/>
    <xf numFmtId="1" fontId="2" fillId="0" borderId="0" xfId="0" applyNumberFormat="1" applyFont="1"/>
    <xf numFmtId="1" fontId="19" fillId="0" borderId="0" xfId="0" applyNumberFormat="1" applyFont="1"/>
    <xf numFmtId="0" fontId="2" fillId="3" borderId="0" xfId="0" applyFont="1" applyFill="1"/>
    <xf numFmtId="9" fontId="2" fillId="3" borderId="0" xfId="0" applyNumberFormat="1" applyFont="1" applyFill="1"/>
    <xf numFmtId="3" fontId="2" fillId="3" borderId="0" xfId="0" applyNumberFormat="1" applyFont="1" applyFill="1"/>
    <xf numFmtId="0" fontId="0" fillId="10" borderId="0" xfId="0" applyFill="1"/>
    <xf numFmtId="0" fontId="2" fillId="10" borderId="0" xfId="0" applyFont="1" applyFill="1"/>
    <xf numFmtId="0" fontId="20" fillId="10" borderId="0" xfId="0" applyFont="1" applyFill="1"/>
    <xf numFmtId="0" fontId="2" fillId="0" borderId="0" xfId="0" applyFont="1" applyAlignment="1">
      <alignment horizontal="right"/>
    </xf>
    <xf numFmtId="3" fontId="2" fillId="0" borderId="0" xfId="0" applyNumberFormat="1" applyFont="1"/>
    <xf numFmtId="0" fontId="0" fillId="12" borderId="9" xfId="0" applyFill="1" applyBorder="1"/>
    <xf numFmtId="1" fontId="0" fillId="0" borderId="0" xfId="0" applyNumberFormat="1" applyAlignment="1">
      <alignment horizontal="left"/>
    </xf>
    <xf numFmtId="1" fontId="2" fillId="0" borderId="0" xfId="0" applyNumberFormat="1" applyFont="1" applyAlignment="1">
      <alignment horizontal="left"/>
    </xf>
    <xf numFmtId="1" fontId="2" fillId="10" borderId="0" xfId="0" applyNumberFormat="1" applyFont="1" applyFill="1" applyAlignment="1">
      <alignment horizontal="left"/>
    </xf>
    <xf numFmtId="0" fontId="20" fillId="0" borderId="0" xfId="0" applyFont="1"/>
    <xf numFmtId="1" fontId="0" fillId="3" borderId="0" xfId="0" applyNumberFormat="1" applyFill="1"/>
    <xf numFmtId="0" fontId="0" fillId="3" borderId="1" xfId="0" applyFill="1" applyBorder="1"/>
    <xf numFmtId="0" fontId="0" fillId="3" borderId="10" xfId="0" applyFill="1" applyBorder="1"/>
    <xf numFmtId="1" fontId="0" fillId="3" borderId="1" xfId="0" applyNumberFormat="1" applyFill="1" applyBorder="1"/>
    <xf numFmtId="0" fontId="2" fillId="3" borderId="10" xfId="0" applyFont="1" applyFill="1" applyBorder="1"/>
    <xf numFmtId="172" fontId="0" fillId="13" borderId="9" xfId="0" applyNumberFormat="1" applyFill="1" applyBorder="1"/>
    <xf numFmtId="173" fontId="0" fillId="0" borderId="0" xfId="0" applyNumberFormat="1" applyAlignment="1">
      <alignment horizontal="left"/>
    </xf>
    <xf numFmtId="166" fontId="0" fillId="0" borderId="0" xfId="0" applyNumberFormat="1"/>
    <xf numFmtId="2" fontId="0" fillId="12" borderId="9" xfId="0" applyNumberFormat="1" applyFill="1" applyBorder="1"/>
    <xf numFmtId="0" fontId="12" fillId="14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3" fillId="2" borderId="0" xfId="0" applyFont="1" applyFill="1" applyAlignment="1">
      <alignment vertical="center" wrapText="1"/>
    </xf>
    <xf numFmtId="0" fontId="23" fillId="8" borderId="0" xfId="0" applyFont="1" applyFill="1" applyAlignment="1">
      <alignment vertical="center" wrapText="1"/>
    </xf>
    <xf numFmtId="0" fontId="23" fillId="0" borderId="0" xfId="0" applyFont="1" applyAlignment="1">
      <alignment horizontal="center" vertical="center"/>
    </xf>
    <xf numFmtId="3" fontId="23" fillId="0" borderId="0" xfId="0" applyNumberFormat="1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0" fontId="24" fillId="0" borderId="0" xfId="0" applyNumberFormat="1" applyFont="1" applyAlignment="1">
      <alignment wrapText="1"/>
    </xf>
    <xf numFmtId="3" fontId="24" fillId="0" borderId="0" xfId="0" applyNumberFormat="1" applyFont="1" applyAlignment="1">
      <alignment wrapText="1"/>
    </xf>
    <xf numFmtId="0" fontId="22" fillId="2" borderId="0" xfId="0" applyFont="1" applyFill="1" applyAlignment="1">
      <alignment vertical="center" wrapText="1"/>
    </xf>
    <xf numFmtId="0" fontId="23" fillId="2" borderId="0" xfId="0" applyFont="1" applyFill="1" applyAlignment="1">
      <alignment horizontal="center" vertical="center"/>
    </xf>
    <xf numFmtId="3" fontId="23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right" vertical="center" wrapText="1"/>
    </xf>
    <xf numFmtId="10" fontId="23" fillId="2" borderId="0" xfId="0" applyNumberFormat="1" applyFont="1" applyFill="1" applyAlignment="1">
      <alignment horizontal="right" vertical="center" wrapText="1"/>
    </xf>
    <xf numFmtId="9" fontId="24" fillId="0" borderId="0" xfId="0" applyNumberFormat="1" applyFont="1" applyAlignment="1">
      <alignment wrapText="1"/>
    </xf>
    <xf numFmtId="0" fontId="22" fillId="15" borderId="11" xfId="0" applyFont="1" applyFill="1" applyBorder="1" applyAlignment="1">
      <alignment vertical="center" wrapText="1"/>
    </xf>
    <xf numFmtId="0" fontId="0" fillId="15" borderId="11" xfId="0" applyFill="1" applyBorder="1"/>
    <xf numFmtId="3" fontId="22" fillId="15" borderId="11" xfId="0" applyNumberFormat="1" applyFont="1" applyFill="1" applyBorder="1" applyAlignment="1">
      <alignment vertical="center"/>
    </xf>
    <xf numFmtId="3" fontId="25" fillId="15" borderId="11" xfId="0" applyNumberFormat="1" applyFont="1" applyFill="1" applyBorder="1" applyAlignment="1">
      <alignment wrapText="1"/>
    </xf>
    <xf numFmtId="0" fontId="12" fillId="1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14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8"/>
          <c:order val="0"/>
          <c:tx>
            <c:strRef>
              <c:f>'Drought type and outputs'!$C$111</c:f>
              <c:strCache>
                <c:ptCount val="1"/>
                <c:pt idx="0">
                  <c:v>Annual value of the avoided cost of water restrictions resulting from the WRP (ZAR)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'Drought type and outputs'!$D$95:$AG$95</c:f>
              <c:strCache>
                <c:ptCount val="3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  <c:pt idx="10">
                  <c:v>Year 11</c:v>
                </c:pt>
                <c:pt idx="11">
                  <c:v>Year 12</c:v>
                </c:pt>
                <c:pt idx="12">
                  <c:v>Year 13</c:v>
                </c:pt>
                <c:pt idx="13">
                  <c:v>Year 14</c:v>
                </c:pt>
                <c:pt idx="14">
                  <c:v>Year 15</c:v>
                </c:pt>
                <c:pt idx="15">
                  <c:v>Year 16</c:v>
                </c:pt>
                <c:pt idx="16">
                  <c:v>Year 17</c:v>
                </c:pt>
                <c:pt idx="17">
                  <c:v>Year 18</c:v>
                </c:pt>
                <c:pt idx="18">
                  <c:v>Year 19</c:v>
                </c:pt>
                <c:pt idx="19">
                  <c:v>Year 20</c:v>
                </c:pt>
                <c:pt idx="20">
                  <c:v>Year 21</c:v>
                </c:pt>
                <c:pt idx="21">
                  <c:v>Year 22</c:v>
                </c:pt>
                <c:pt idx="22">
                  <c:v>Year 23</c:v>
                </c:pt>
                <c:pt idx="23">
                  <c:v>Year 24</c:v>
                </c:pt>
                <c:pt idx="24">
                  <c:v>Year 25</c:v>
                </c:pt>
                <c:pt idx="25">
                  <c:v>Year 26</c:v>
                </c:pt>
                <c:pt idx="26">
                  <c:v>Year 27</c:v>
                </c:pt>
                <c:pt idx="27">
                  <c:v>Year 28</c:v>
                </c:pt>
                <c:pt idx="28">
                  <c:v>Year 29</c:v>
                </c:pt>
                <c:pt idx="29">
                  <c:v>Year 30</c:v>
                </c:pt>
              </c:strCache>
            </c:strRef>
          </c:cat>
          <c:val>
            <c:numRef>
              <c:f>'Drought type and outputs'!$D$111:$AG$111</c:f>
              <c:numCache>
                <c:formatCode>#,##0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F3-4CC4-9E07-F846D2D5B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9493551"/>
        <c:axId val="379482735"/>
      </c:lineChart>
      <c:catAx>
        <c:axId val="37949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9482735"/>
        <c:crosses val="autoZero"/>
        <c:auto val="1"/>
        <c:lblAlgn val="ctr"/>
        <c:lblOffset val="100"/>
        <c:noMultiLvlLbl val="0"/>
      </c:catAx>
      <c:valAx>
        <c:axId val="37948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9493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'Water Security Calculations'!$B$10</c:f>
              <c:strCache>
                <c:ptCount val="1"/>
                <c:pt idx="0">
                  <c:v>National Annual Water Supply Deficit (Ml)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'Water Security Calculations'!$H$3:$AK$3</c:f>
              <c:strCache>
                <c:ptCount val="30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  <c:pt idx="5">
                  <c:v>Year 6</c:v>
                </c:pt>
                <c:pt idx="6">
                  <c:v>Year 7</c:v>
                </c:pt>
                <c:pt idx="7">
                  <c:v>Year 8</c:v>
                </c:pt>
                <c:pt idx="8">
                  <c:v>Year 9</c:v>
                </c:pt>
                <c:pt idx="9">
                  <c:v>Year 10</c:v>
                </c:pt>
                <c:pt idx="10">
                  <c:v>Year 11</c:v>
                </c:pt>
                <c:pt idx="11">
                  <c:v>Year 12</c:v>
                </c:pt>
                <c:pt idx="12">
                  <c:v>Year 13</c:v>
                </c:pt>
                <c:pt idx="13">
                  <c:v>Year 14</c:v>
                </c:pt>
                <c:pt idx="14">
                  <c:v>Year 15</c:v>
                </c:pt>
                <c:pt idx="15">
                  <c:v>Year 16</c:v>
                </c:pt>
                <c:pt idx="16">
                  <c:v>Year 17</c:v>
                </c:pt>
                <c:pt idx="17">
                  <c:v>Year 18</c:v>
                </c:pt>
                <c:pt idx="18">
                  <c:v>Year 19</c:v>
                </c:pt>
                <c:pt idx="19">
                  <c:v>Year 20</c:v>
                </c:pt>
                <c:pt idx="20">
                  <c:v>Year 21</c:v>
                </c:pt>
                <c:pt idx="21">
                  <c:v>Year 22</c:v>
                </c:pt>
                <c:pt idx="22">
                  <c:v>Year 23</c:v>
                </c:pt>
                <c:pt idx="23">
                  <c:v>Year 24</c:v>
                </c:pt>
                <c:pt idx="24">
                  <c:v>Year 25</c:v>
                </c:pt>
                <c:pt idx="25">
                  <c:v>Year 26</c:v>
                </c:pt>
                <c:pt idx="26">
                  <c:v>Year 27</c:v>
                </c:pt>
                <c:pt idx="27">
                  <c:v>Year 28</c:v>
                </c:pt>
                <c:pt idx="28">
                  <c:v>Year 29</c:v>
                </c:pt>
                <c:pt idx="29">
                  <c:v>Year 30</c:v>
                </c:pt>
              </c:strCache>
            </c:strRef>
          </c:cat>
          <c:val>
            <c:numRef>
              <c:f>'Water Security Calculations'!$H$10:$AK$10</c:f>
              <c:numCache>
                <c:formatCode>0</c:formatCode>
                <c:ptCount val="30"/>
                <c:pt idx="0">
                  <c:v>363787.3769999966</c:v>
                </c:pt>
                <c:pt idx="1">
                  <c:v>500297.61290099472</c:v>
                </c:pt>
                <c:pt idx="2">
                  <c:v>638582.48186870664</c:v>
                </c:pt>
                <c:pt idx="3">
                  <c:v>778665.05413299799</c:v>
                </c:pt>
                <c:pt idx="4">
                  <c:v>920568.69983672537</c:v>
                </c:pt>
                <c:pt idx="5">
                  <c:v>1064317.092934601</c:v>
                </c:pt>
                <c:pt idx="6">
                  <c:v>1209934.2151427492</c:v>
                </c:pt>
                <c:pt idx="7">
                  <c:v>1357444.3599396031</c:v>
                </c:pt>
                <c:pt idx="8">
                  <c:v>1506872.1366188172</c:v>
                </c:pt>
                <c:pt idx="9">
                  <c:v>1658242.4743948616</c:v>
                </c:pt>
                <c:pt idx="10">
                  <c:v>1811580.6265619937</c:v>
                </c:pt>
                <c:pt idx="11">
                  <c:v>1966912.1747072991</c:v>
                </c:pt>
                <c:pt idx="12">
                  <c:v>2124263.0329784919</c:v>
                </c:pt>
                <c:pt idx="13">
                  <c:v>2283659.4524072111</c:v>
                </c:pt>
                <c:pt idx="14">
                  <c:v>2445128.0252885036</c:v>
                </c:pt>
                <c:pt idx="15">
                  <c:v>2608695.6896172538</c:v>
                </c:pt>
                <c:pt idx="16">
                  <c:v>2774389.7335822769</c:v>
                </c:pt>
                <c:pt idx="17">
                  <c:v>2942237.800118845</c:v>
                </c:pt>
                <c:pt idx="18">
                  <c:v>3112267.8915203884</c:v>
                </c:pt>
                <c:pt idx="19">
                  <c:v>3284508.3741101529</c:v>
                </c:pt>
                <c:pt idx="20">
                  <c:v>3458987.982973583</c:v>
                </c:pt>
                <c:pt idx="21">
                  <c:v>3635735.826752238</c:v>
                </c:pt>
                <c:pt idx="22">
                  <c:v>3814781.392500015</c:v>
                </c:pt>
                <c:pt idx="23">
                  <c:v>3996154.5506025143</c:v>
                </c:pt>
                <c:pt idx="24">
                  <c:v>4179885.5597603451</c:v>
                </c:pt>
                <c:pt idx="25">
                  <c:v>4366005.0720372275</c:v>
                </c:pt>
                <c:pt idx="26">
                  <c:v>4554544.1379737109</c:v>
                </c:pt>
                <c:pt idx="27">
                  <c:v>4745534.211767368</c:v>
                </c:pt>
                <c:pt idx="28">
                  <c:v>4939007.1565203425</c:v>
                </c:pt>
                <c:pt idx="29">
                  <c:v>5134995.2495551053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8B-4496-8A1A-776989AB9FA6}"/>
            </c:ext>
          </c:extLst>
        </c:ser>
        <c:ser>
          <c:idx val="0"/>
          <c:order val="1"/>
          <c:tx>
            <c:strRef>
              <c:f>'Water Security Calculations'!$B$6</c:f>
              <c:strCache>
                <c:ptCount val="1"/>
                <c:pt idx="0">
                  <c:v>Annual Volume of Treated Water Delivered by WRP (Ml)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'Water Security Calculations'!$H$6:$AK$6</c:f>
              <c:numCache>
                <c:formatCode>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13870</c:v>
                </c:pt>
                <c:pt idx="6">
                  <c:v>39876.25</c:v>
                </c:pt>
                <c:pt idx="7">
                  <c:v>57213.75</c:v>
                </c:pt>
                <c:pt idx="8">
                  <c:v>90155</c:v>
                </c:pt>
                <c:pt idx="9">
                  <c:v>154303.75</c:v>
                </c:pt>
                <c:pt idx="10">
                  <c:v>154303.75</c:v>
                </c:pt>
                <c:pt idx="11">
                  <c:v>154303.75</c:v>
                </c:pt>
                <c:pt idx="12">
                  <c:v>154303.75</c:v>
                </c:pt>
                <c:pt idx="13">
                  <c:v>154303.75</c:v>
                </c:pt>
                <c:pt idx="14">
                  <c:v>154303.75</c:v>
                </c:pt>
                <c:pt idx="15">
                  <c:v>154303.75</c:v>
                </c:pt>
                <c:pt idx="16">
                  <c:v>154303.75</c:v>
                </c:pt>
                <c:pt idx="17">
                  <c:v>154303.75</c:v>
                </c:pt>
                <c:pt idx="18">
                  <c:v>154303.75</c:v>
                </c:pt>
                <c:pt idx="19">
                  <c:v>154303.75</c:v>
                </c:pt>
                <c:pt idx="20">
                  <c:v>140433.75</c:v>
                </c:pt>
                <c:pt idx="21">
                  <c:v>140433.75</c:v>
                </c:pt>
                <c:pt idx="22">
                  <c:v>123096.25</c:v>
                </c:pt>
                <c:pt idx="23">
                  <c:v>90155</c:v>
                </c:pt>
                <c:pt idx="24">
                  <c:v>26006.25</c:v>
                </c:pt>
                <c:pt idx="25">
                  <c:v>26006.25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EB-4DED-AADD-346E867E8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1760095"/>
        <c:axId val="741748031"/>
      </c:barChart>
      <c:catAx>
        <c:axId val="74176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1748031"/>
        <c:crosses val="autoZero"/>
        <c:auto val="1"/>
        <c:lblAlgn val="ctr"/>
        <c:lblOffset val="100"/>
        <c:noMultiLvlLbl val="0"/>
      </c:catAx>
      <c:valAx>
        <c:axId val="74174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Volume of Water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1760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763437</xdr:colOff>
      <xdr:row>113</xdr:row>
      <xdr:rowOff>116455</xdr:rowOff>
    </xdr:from>
    <xdr:to>
      <xdr:col>13</xdr:col>
      <xdr:colOff>276045</xdr:colOff>
      <xdr:row>137</xdr:row>
      <xdr:rowOff>17253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053C78-F52B-4CD4-B6DB-42E60808A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134738</xdr:colOff>
      <xdr:row>23</xdr:row>
      <xdr:rowOff>94891</xdr:rowOff>
    </xdr:from>
    <xdr:to>
      <xdr:col>4</xdr:col>
      <xdr:colOff>791343</xdr:colOff>
      <xdr:row>36</xdr:row>
      <xdr:rowOff>69057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0D68C2-0926-4EBB-8F19-A2F7263F8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5840" y="4261449"/>
          <a:ext cx="5910092" cy="2329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172528</xdr:colOff>
      <xdr:row>2</xdr:row>
      <xdr:rowOff>172528</xdr:rowOff>
    </xdr:to>
    <xdr:sp macro="" textlink="">
      <xdr:nvSpPr>
        <xdr:cNvPr id="8193" name="AutoShape 1">
          <a:extLst>
            <a:ext uri="{FF2B5EF4-FFF2-40B4-BE49-F238E27FC236}">
              <a16:creationId xmlns:a16="http://schemas.microsoft.com/office/drawing/2014/main" id="{111DE36D-F62E-4091-B3D2-AECFFD8B735A}"/>
            </a:ext>
          </a:extLst>
        </xdr:cNvPr>
        <xdr:cNvSpPr>
          <a:spLocks noChangeAspect="1" noChangeArrowheads="1"/>
        </xdr:cNvSpPr>
      </xdr:nvSpPr>
      <xdr:spPr bwMode="auto">
        <a:xfrm>
          <a:off x="621102" y="362309"/>
          <a:ext cx="172528" cy="1725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172528</xdr:colOff>
      <xdr:row>3</xdr:row>
      <xdr:rowOff>172528</xdr:rowOff>
    </xdr:to>
    <xdr:sp macro="" textlink="">
      <xdr:nvSpPr>
        <xdr:cNvPr id="8194" name="AutoShape 2">
          <a:extLst>
            <a:ext uri="{FF2B5EF4-FFF2-40B4-BE49-F238E27FC236}">
              <a16:creationId xmlns:a16="http://schemas.microsoft.com/office/drawing/2014/main" id="{9F93639B-C100-44FD-B17A-EECC9EC2B80A}"/>
            </a:ext>
          </a:extLst>
        </xdr:cNvPr>
        <xdr:cNvSpPr>
          <a:spLocks noChangeAspect="1" noChangeArrowheads="1"/>
        </xdr:cNvSpPr>
      </xdr:nvSpPr>
      <xdr:spPr bwMode="auto">
        <a:xfrm>
          <a:off x="621102" y="1742536"/>
          <a:ext cx="172528" cy="172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172528</xdr:colOff>
      <xdr:row>4</xdr:row>
      <xdr:rowOff>172528</xdr:rowOff>
    </xdr:to>
    <xdr:sp macro="" textlink="">
      <xdr:nvSpPr>
        <xdr:cNvPr id="8195" name="AutoShape 3">
          <a:extLst>
            <a:ext uri="{FF2B5EF4-FFF2-40B4-BE49-F238E27FC236}">
              <a16:creationId xmlns:a16="http://schemas.microsoft.com/office/drawing/2014/main" id="{3AA53401-ED42-46CF-9232-199FB06FB131}"/>
            </a:ext>
          </a:extLst>
        </xdr:cNvPr>
        <xdr:cNvSpPr>
          <a:spLocks noChangeAspect="1" noChangeArrowheads="1"/>
        </xdr:cNvSpPr>
      </xdr:nvSpPr>
      <xdr:spPr bwMode="auto">
        <a:xfrm>
          <a:off x="621102" y="2432649"/>
          <a:ext cx="172528" cy="172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172528</xdr:colOff>
      <xdr:row>5</xdr:row>
      <xdr:rowOff>172528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43142D88-3E5B-42BC-9038-1FA3A43D625C}"/>
            </a:ext>
          </a:extLst>
        </xdr:cNvPr>
        <xdr:cNvSpPr>
          <a:spLocks noChangeAspect="1" noChangeArrowheads="1"/>
        </xdr:cNvSpPr>
      </xdr:nvSpPr>
      <xdr:spPr bwMode="auto">
        <a:xfrm>
          <a:off x="621102" y="2950234"/>
          <a:ext cx="172528" cy="172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172528</xdr:colOff>
      <xdr:row>6</xdr:row>
      <xdr:rowOff>172528</xdr:rowOff>
    </xdr:to>
    <xdr:sp macro="" textlink="">
      <xdr:nvSpPr>
        <xdr:cNvPr id="8197" name="AutoShape 5">
          <a:extLst>
            <a:ext uri="{FF2B5EF4-FFF2-40B4-BE49-F238E27FC236}">
              <a16:creationId xmlns:a16="http://schemas.microsoft.com/office/drawing/2014/main" id="{DDA7BAC7-1F40-4636-BE1A-12EECF88A62D}"/>
            </a:ext>
          </a:extLst>
        </xdr:cNvPr>
        <xdr:cNvSpPr>
          <a:spLocks noChangeAspect="1" noChangeArrowheads="1"/>
        </xdr:cNvSpPr>
      </xdr:nvSpPr>
      <xdr:spPr bwMode="auto">
        <a:xfrm>
          <a:off x="621102" y="3812875"/>
          <a:ext cx="172528" cy="1725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172528</xdr:colOff>
      <xdr:row>7</xdr:row>
      <xdr:rowOff>172528</xdr:rowOff>
    </xdr:to>
    <xdr:sp macro="" textlink="">
      <xdr:nvSpPr>
        <xdr:cNvPr id="8198" name="AutoShape 6">
          <a:extLst>
            <a:ext uri="{FF2B5EF4-FFF2-40B4-BE49-F238E27FC236}">
              <a16:creationId xmlns:a16="http://schemas.microsoft.com/office/drawing/2014/main" id="{802AD0EC-5A72-488E-A237-2B1D9570323B}"/>
            </a:ext>
          </a:extLst>
        </xdr:cNvPr>
        <xdr:cNvSpPr>
          <a:spLocks noChangeAspect="1" noChangeArrowheads="1"/>
        </xdr:cNvSpPr>
      </xdr:nvSpPr>
      <xdr:spPr bwMode="auto">
        <a:xfrm>
          <a:off x="621102" y="5883215"/>
          <a:ext cx="172528" cy="172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172528</xdr:colOff>
      <xdr:row>8</xdr:row>
      <xdr:rowOff>172528</xdr:rowOff>
    </xdr:to>
    <xdr:sp macro="" textlink="">
      <xdr:nvSpPr>
        <xdr:cNvPr id="8199" name="AutoShape 7">
          <a:extLst>
            <a:ext uri="{FF2B5EF4-FFF2-40B4-BE49-F238E27FC236}">
              <a16:creationId xmlns:a16="http://schemas.microsoft.com/office/drawing/2014/main" id="{DE1EE526-30B4-4E24-BA29-CB467EACB3E0}"/>
            </a:ext>
          </a:extLst>
        </xdr:cNvPr>
        <xdr:cNvSpPr>
          <a:spLocks noChangeAspect="1" noChangeArrowheads="1"/>
        </xdr:cNvSpPr>
      </xdr:nvSpPr>
      <xdr:spPr bwMode="auto">
        <a:xfrm>
          <a:off x="621102" y="7435970"/>
          <a:ext cx="172528" cy="172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172528</xdr:colOff>
      <xdr:row>9</xdr:row>
      <xdr:rowOff>172528</xdr:rowOff>
    </xdr:to>
    <xdr:sp macro="" textlink="">
      <xdr:nvSpPr>
        <xdr:cNvPr id="8200" name="AutoShape 8">
          <a:extLst>
            <a:ext uri="{FF2B5EF4-FFF2-40B4-BE49-F238E27FC236}">
              <a16:creationId xmlns:a16="http://schemas.microsoft.com/office/drawing/2014/main" id="{0158B355-9842-4DFC-8C6B-DEEA587BDE0C}"/>
            </a:ext>
          </a:extLst>
        </xdr:cNvPr>
        <xdr:cNvSpPr>
          <a:spLocks noChangeAspect="1" noChangeArrowheads="1"/>
        </xdr:cNvSpPr>
      </xdr:nvSpPr>
      <xdr:spPr bwMode="auto">
        <a:xfrm>
          <a:off x="621102" y="9333781"/>
          <a:ext cx="172528" cy="1725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582282</xdr:colOff>
      <xdr:row>16</xdr:row>
      <xdr:rowOff>56072</xdr:rowOff>
    </xdr:from>
    <xdr:to>
      <xdr:col>10</xdr:col>
      <xdr:colOff>30192</xdr:colOff>
      <xdr:row>31</xdr:row>
      <xdr:rowOff>81951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88983E-7E88-4237-94A8-3C25E20AC1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pegasys1.sharepoint.com/sites/DBSAWaterFundProject/Shared%20Documents/General/2%20-%20Project%20deliverables/Deliverable%209%20-%20Financial%20Architecture%20&amp;%20Structure/WAREU%20Programme%20Model/Current_Model/DRAFT_WAREU_Financial_Model_20211021.xlsm?06E0E428" TargetMode="External"/><Relationship Id="rId1" Type="http://schemas.openxmlformats.org/officeDocument/2006/relationships/externalLinkPath" Target="file:///\\06E0E428\DRAFT_WAREU_Financial_Model_20211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User_Guide"/>
      <sheetName val="Programme_Dashboard"/>
      <sheetName val="Project_Dashboard"/>
      <sheetName val="Project_selection"/>
      <sheetName val="Funding_Assumptions_per_Project"/>
      <sheetName val="Input_&amp;_Assumptions"/>
      <sheetName val="Funding_per_Project"/>
      <sheetName val="Constr_profile_per_Project"/>
      <sheetName val="CAPEX_and_Drawdown_per_Project"/>
      <sheetName val="Revenue_per_Project"/>
      <sheetName val="Opex_per_Project"/>
      <sheetName val="Depr_per_Project"/>
      <sheetName val="P&amp;L_per_Project"/>
      <sheetName val="CF_and_IRR_per_Project"/>
      <sheetName val="PMO_Core_Costs"/>
      <sheetName val="Project_Prep_&amp;_TA_fees"/>
      <sheetName val="Programme_Summary_Data"/>
      <sheetName val="Project_Summary_Data"/>
      <sheetName val="Reference_Tables"/>
      <sheetName val="Flags_and_ind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Hannah Benn" id="{B7172CFA-AC88-41E9-A584-8E4017E2DA29}" userId="S::hannahb@pegasys.co.za::2767d9af-c2d1-4baf-a613-5c262988ade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" dT="2021-12-06T16:00:40.68" personId="{B7172CFA-AC88-41E9-A584-8E4017E2DA29}" id="{704A8023-18C2-4304-A5CB-DF9CC96EC3F8}">
    <text>Even the Representative Agent Must Die: Using demographics to inform long-term social discount rates, Fenichel et al., 2017, Appendix Table 1</text>
  </threadedComment>
  <threadedComment ref="D2" dT="2021-12-06T16:00:20.61" personId="{B7172CFA-AC88-41E9-A584-8E4017E2DA29}" id="{77143C0E-4A5C-452B-8F8F-42C3C79B463E}">
    <text>http://www.wrc.org.za/wp-content/uploads/mdocs/TT%20598-14.pdf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" dT="2021-12-02T10:35:42.69" personId="{B7172CFA-AC88-41E9-A584-8E4017E2DA29}" id="{8463F4B4-D084-4C64-B356-3F097AD9C323}">
    <text>Ngepah, N., Djemo, C.R., Le Roux, A. &amp; Ludick, C. 2019. Green Book. The impact of climate change on economic production and growth. Pretoria: CSIR. Available at: https://pta-gis-2-web1.csir.co.za/portal/apps/GBCascade/index.html?appid=d566b75b27f544839a100edb1526ce31.</text>
  </threadedComment>
  <threadedComment ref="E2" dT="2021-12-02T10:29:30.37" personId="{B7172CFA-AC88-41E9-A584-8E4017E2DA29}" id="{1910B037-CBE0-4027-AB2E-26416A2B7699}">
    <text>http://sacitiesnetwork.co.za/wp-content/uploads/2014/07/secondary_cities_in_south_africa_with_more_detail.pdf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" dT="2021-12-02T10:29:50.03" personId="{B7172CFA-AC88-41E9-A584-8E4017E2DA29}" id="{B2A13D97-1182-4923-BD06-986D37CAB6EB}">
    <text>Ngepah, N., Djemo, C.R., Le Roux, A. &amp; Ludick, C. 2019. Green Book. The impact of climate change on economic production and growth. Pretoria: CSIR. Available at: https://pta-gis-2-web1.csir.co.za/portal/apps/GBCascade/index.html?appid=d566b75b27f544839a100edb1526ce31.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8" dT="2021-09-14T13:55:13.16" personId="{B7172CFA-AC88-41E9-A584-8E4017E2DA29}" id="{F3D2E30B-85D3-4E80-8EFC-4F3F38D3DA6F}">
    <text>2019 acceptable assurance supply assumed constant. Not accounting for water resources decline with climate change</text>
  </threadedComment>
  <threadedComment ref="B11" dT="2021-09-14T14:11:13.23" personId="{B7172CFA-AC88-41E9-A584-8E4017E2DA29}" id="{B825221B-2A63-49B3-9AD8-1B3A3C00AF4B}">
    <text>To be confirmed with Chris Wise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mg.org.za/committee-meeting/30279/" TargetMode="External"/><Relationship Id="rId2" Type="http://schemas.openxmlformats.org/officeDocument/2006/relationships/hyperlink" Target="https://www.greencape.co.za/assets/Uploads/WATER-MIR-2019-WEB-01-04-2019.pdf" TargetMode="External"/><Relationship Id="rId1" Type="http://schemas.openxmlformats.org/officeDocument/2006/relationships/hyperlink" Target="https://www.veolia.com/sites/g/files/dvc4206/files/document/2021/04/integrated-report-2020-2021-veolia-en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datatopics.worldbank.org/world-development-indicators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86"/>
  <sheetViews>
    <sheetView tabSelected="1" zoomScale="110" zoomScaleNormal="110" workbookViewId="0">
      <selection activeCell="B45" sqref="B45"/>
    </sheetView>
  </sheetViews>
  <sheetFormatPr defaultRowHeight="15"/>
  <cols>
    <col min="2" max="2" width="57.5703125" customWidth="1"/>
    <col min="3" max="3" width="21.28515625" bestFit="1" customWidth="1"/>
    <col min="4" max="4" width="20.5703125" bestFit="1" customWidth="1"/>
    <col min="5" max="5" width="26.28515625" customWidth="1"/>
    <col min="6" max="6" width="23.5703125" customWidth="1"/>
    <col min="8" max="8" width="15.5703125" customWidth="1"/>
  </cols>
  <sheetData>
    <row r="3" spans="2:6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2:6">
      <c r="B4" s="2"/>
      <c r="C4" s="2"/>
      <c r="D4" s="2"/>
      <c r="E4" s="2"/>
      <c r="F4" s="2"/>
    </row>
    <row r="5" spans="2:6">
      <c r="B5" t="s">
        <v>5</v>
      </c>
      <c r="C5" s="11">
        <v>0.51700000000000002</v>
      </c>
      <c r="D5" t="s">
        <v>6</v>
      </c>
      <c r="E5">
        <v>2011</v>
      </c>
      <c r="F5" s="10" t="s">
        <v>7</v>
      </c>
    </row>
    <row r="6" spans="2:6">
      <c r="B6" t="s">
        <v>8</v>
      </c>
      <c r="C6" s="15">
        <v>0.214</v>
      </c>
      <c r="D6" t="s">
        <v>6</v>
      </c>
      <c r="E6">
        <v>2020</v>
      </c>
      <c r="F6" s="1" t="s">
        <v>9</v>
      </c>
    </row>
    <row r="7" spans="2:6">
      <c r="B7" t="s">
        <v>10</v>
      </c>
      <c r="C7">
        <v>1.3149999999999999</v>
      </c>
      <c r="D7" t="s">
        <v>11</v>
      </c>
      <c r="E7" t="s">
        <v>12</v>
      </c>
      <c r="F7" t="s">
        <v>13</v>
      </c>
    </row>
    <row r="8" spans="2:6">
      <c r="B8" t="s">
        <v>14</v>
      </c>
      <c r="C8">
        <v>0.46</v>
      </c>
      <c r="D8" t="s">
        <v>11</v>
      </c>
      <c r="E8">
        <v>2019</v>
      </c>
      <c r="F8" s="1" t="s">
        <v>15</v>
      </c>
    </row>
    <row r="9" spans="2:6">
      <c r="B9" t="s">
        <v>16</v>
      </c>
      <c r="C9">
        <v>445</v>
      </c>
      <c r="D9" t="s">
        <v>17</v>
      </c>
      <c r="E9">
        <v>2021</v>
      </c>
      <c r="F9" t="s">
        <v>18</v>
      </c>
    </row>
    <row r="10" spans="2:6">
      <c r="B10" t="s">
        <v>19</v>
      </c>
      <c r="C10">
        <v>1067</v>
      </c>
      <c r="D10" t="s">
        <v>17</v>
      </c>
      <c r="E10">
        <v>2021</v>
      </c>
      <c r="F10" t="s">
        <v>20</v>
      </c>
    </row>
    <row r="11" spans="2:6">
      <c r="B11" t="s">
        <v>21</v>
      </c>
      <c r="C11" s="17">
        <f>AVERAGE('Co-Benefit Calculations'!D7,'Co-Benefit Calculations'!D9,'Co-Benefit Calculations'!D11,'Co-Benefit Calculations'!D12,'Co-Benefit Calculations'!D13,'Co-Benefit Calculations'!D15,'Co-Benefit Calculations'!D16,'Co-Benefit Calculations'!D18,'Co-Benefit Calculations'!D20,'Co-Benefit Calculations'!D21)</f>
        <v>160.4</v>
      </c>
      <c r="D11" t="s">
        <v>22</v>
      </c>
      <c r="E11">
        <v>2021</v>
      </c>
      <c r="F11" s="10" t="s">
        <v>23</v>
      </c>
    </row>
    <row r="12" spans="2:6">
      <c r="B12" t="s">
        <v>24</v>
      </c>
      <c r="C12" s="18">
        <f>C7*C10</f>
        <v>1403.105</v>
      </c>
      <c r="D12" t="s">
        <v>25</v>
      </c>
      <c r="E12">
        <v>2021</v>
      </c>
      <c r="F12" s="10" t="s">
        <v>23</v>
      </c>
    </row>
    <row r="13" spans="2:6">
      <c r="B13" t="s">
        <v>26</v>
      </c>
      <c r="C13" s="18">
        <f>C8*C10</f>
        <v>490.82</v>
      </c>
      <c r="D13" t="s">
        <v>25</v>
      </c>
      <c r="E13">
        <v>2021</v>
      </c>
      <c r="F13" s="10" t="s">
        <v>23</v>
      </c>
    </row>
    <row r="14" spans="2:6">
      <c r="B14" t="s">
        <v>27</v>
      </c>
      <c r="C14" s="8">
        <f>(96000000/1000)/365</f>
        <v>263.01369863013701</v>
      </c>
      <c r="D14" t="s">
        <v>17</v>
      </c>
      <c r="E14">
        <v>2020</v>
      </c>
      <c r="F14" s="1" t="s">
        <v>28</v>
      </c>
    </row>
    <row r="15" spans="2:6">
      <c r="B15" t="s">
        <v>29</v>
      </c>
      <c r="C15" s="15">
        <v>1.2999999999999999E-2</v>
      </c>
      <c r="D15" t="s">
        <v>6</v>
      </c>
      <c r="E15">
        <v>2020</v>
      </c>
      <c r="F15" s="19" t="s">
        <v>30</v>
      </c>
    </row>
    <row r="18" spans="2:6">
      <c r="B18" t="s">
        <v>31</v>
      </c>
      <c r="C18" s="37">
        <v>198924731</v>
      </c>
      <c r="D18" t="s">
        <v>32</v>
      </c>
      <c r="F18" t="s">
        <v>33</v>
      </c>
    </row>
    <row r="19" spans="2:6">
      <c r="B19" t="s">
        <v>34</v>
      </c>
      <c r="C19" s="37">
        <v>185003952</v>
      </c>
      <c r="D19" t="s">
        <v>32</v>
      </c>
      <c r="F19" t="s">
        <v>33</v>
      </c>
    </row>
    <row r="20" spans="2:6">
      <c r="B20" t="s">
        <v>35</v>
      </c>
      <c r="C20" s="16">
        <f>C18/SUM('Co-Benefit Calculations'!E22:F22)</f>
        <v>58.084668574370959</v>
      </c>
      <c r="D20" t="s">
        <v>36</v>
      </c>
      <c r="F20" t="s">
        <v>23</v>
      </c>
    </row>
    <row r="21" spans="2:6">
      <c r="B21" t="s">
        <v>35</v>
      </c>
      <c r="C21" s="16">
        <f>C19/SUM('Co-Benefit Calculations'!E22:F22)</f>
        <v>54.019895780926475</v>
      </c>
      <c r="D21" t="s">
        <v>36</v>
      </c>
      <c r="F21" t="s">
        <v>23</v>
      </c>
    </row>
    <row r="22" spans="2:6">
      <c r="B22" t="s">
        <v>37</v>
      </c>
      <c r="C22" s="16">
        <f>1188002659/SUM('Co-Benefit Calculations'!E22:F22)</f>
        <v>346.88869687845119</v>
      </c>
      <c r="F22" t="s">
        <v>23</v>
      </c>
    </row>
    <row r="25" spans="2:6" ht="21">
      <c r="B25" s="91" t="s">
        <v>38</v>
      </c>
      <c r="C25" s="89"/>
      <c r="D25" s="89"/>
      <c r="E25" s="89"/>
      <c r="F25" s="89"/>
    </row>
    <row r="26" spans="2:6" ht="14.25" customHeight="1">
      <c r="B26" s="98"/>
    </row>
    <row r="27" spans="2:6" ht="14.25" customHeight="1">
      <c r="B27" s="103" t="s">
        <v>39</v>
      </c>
      <c r="C27" s="101" t="s">
        <v>40</v>
      </c>
    </row>
    <row r="28" spans="2:6" ht="14.25" customHeight="1">
      <c r="B28" s="86" t="s">
        <v>41</v>
      </c>
      <c r="C28" s="83"/>
    </row>
    <row r="29" spans="2:6" ht="14.25" customHeight="1">
      <c r="B29" s="83" t="s">
        <v>42</v>
      </c>
      <c r="C29" s="99">
        <f>C68</f>
        <v>113.22763858431739</v>
      </c>
    </row>
    <row r="30" spans="2:6" ht="14.25" customHeight="1">
      <c r="B30" s="83" t="s">
        <v>43</v>
      </c>
      <c r="C30" s="99">
        <f>C85</f>
        <v>121.19811417824448</v>
      </c>
    </row>
    <row r="31" spans="2:6" ht="14.25" customHeight="1">
      <c r="B31" s="83" t="s">
        <v>44</v>
      </c>
      <c r="C31" s="99">
        <f>C51</f>
        <v>58.538689148092089</v>
      </c>
    </row>
    <row r="32" spans="2:6" ht="14.25" customHeight="1">
      <c r="B32" s="86" t="s">
        <v>45</v>
      </c>
      <c r="C32" s="99"/>
    </row>
    <row r="33" spans="2:8" ht="14.25" customHeight="1">
      <c r="B33" s="83" t="s">
        <v>46</v>
      </c>
      <c r="C33" s="99">
        <f>C69</f>
        <v>111.39413749734344</v>
      </c>
    </row>
    <row r="34" spans="2:8" ht="14.25" customHeight="1">
      <c r="B34" s="83" t="s">
        <v>47</v>
      </c>
      <c r="C34" s="99">
        <f>C86</f>
        <v>119.23554676216679</v>
      </c>
    </row>
    <row r="35" spans="2:8" ht="14.25" customHeight="1">
      <c r="B35" s="100" t="s">
        <v>48</v>
      </c>
      <c r="C35" s="102">
        <f>C52</f>
        <v>57.590769086126549</v>
      </c>
    </row>
    <row r="36" spans="2:8" ht="14.25" customHeight="1">
      <c r="B36" s="98"/>
    </row>
    <row r="37" spans="2:8">
      <c r="B37" s="90" t="s">
        <v>49</v>
      </c>
      <c r="C37" s="90" t="s">
        <v>50</v>
      </c>
      <c r="D37" s="90" t="s">
        <v>51</v>
      </c>
      <c r="E37" s="90" t="s">
        <v>52</v>
      </c>
      <c r="F37" s="90" t="s">
        <v>40</v>
      </c>
      <c r="H37" s="90" t="s">
        <v>53</v>
      </c>
    </row>
    <row r="39" spans="2:8">
      <c r="B39" t="s">
        <v>54</v>
      </c>
      <c r="C39" s="37">
        <f>SUM('Co-Benefit Calculations'!E7:F7)</f>
        <v>459770.11494252871</v>
      </c>
      <c r="D39" t="s">
        <v>55</v>
      </c>
      <c r="E39" s="104">
        <v>53729347.494689323</v>
      </c>
      <c r="F39" s="105">
        <f>C39/E39</f>
        <v>8.5571505402698769E-3</v>
      </c>
      <c r="H39" s="106">
        <f>E39/C39</f>
        <v>116.86133080094929</v>
      </c>
    </row>
    <row r="40" spans="2:8">
      <c r="B40" t="s">
        <v>56</v>
      </c>
      <c r="C40" s="37">
        <f>SUM('Co-Benefit Calculations'!E11:F11)</f>
        <v>666666.66666666663</v>
      </c>
      <c r="D40" t="s">
        <v>55</v>
      </c>
      <c r="E40" s="104">
        <v>16658087.444737308</v>
      </c>
      <c r="F40" s="105">
        <f t="shared" ref="F40:F47" si="0">C40/E40</f>
        <v>4.0020600736928098E-2</v>
      </c>
      <c r="H40" s="106">
        <f t="shared" ref="H40:H48" si="1">E40/C40</f>
        <v>24.987131167105964</v>
      </c>
    </row>
    <row r="41" spans="2:8">
      <c r="B41" t="s">
        <v>57</v>
      </c>
      <c r="C41" s="37">
        <f>SUM('Co-Benefit Calculations'!E12:F12)</f>
        <v>175438.59649122806</v>
      </c>
      <c r="D41" t="s">
        <v>55</v>
      </c>
      <c r="E41" s="104">
        <v>0</v>
      </c>
      <c r="F41" s="105"/>
      <c r="H41" s="106">
        <f t="shared" si="1"/>
        <v>0</v>
      </c>
    </row>
    <row r="42" spans="2:8">
      <c r="B42" t="s">
        <v>58</v>
      </c>
      <c r="C42" s="37">
        <f>SUM('Co-Benefit Calculations'!E13:F13)</f>
        <v>125000</v>
      </c>
      <c r="D42" t="s">
        <v>55</v>
      </c>
      <c r="E42" s="104">
        <v>8150439.4986169171</v>
      </c>
      <c r="F42" s="105">
        <f t="shared" si="0"/>
        <v>1.5336596268362189E-2</v>
      </c>
      <c r="H42" s="106">
        <f t="shared" si="1"/>
        <v>65.203515988935337</v>
      </c>
    </row>
    <row r="43" spans="2:8">
      <c r="B43" t="s">
        <v>59</v>
      </c>
      <c r="C43" s="37">
        <f>SUM('Co-Benefit Calculations'!E15:F15)</f>
        <v>1000000</v>
      </c>
      <c r="D43" t="s">
        <v>60</v>
      </c>
      <c r="E43" s="104">
        <v>0</v>
      </c>
      <c r="F43" s="105"/>
      <c r="H43" s="106">
        <f t="shared" si="1"/>
        <v>0</v>
      </c>
    </row>
    <row r="44" spans="2:8">
      <c r="B44" t="s">
        <v>239</v>
      </c>
      <c r="C44" s="37">
        <f>SUM('Co-Benefit Calculations'!E16:F16)</f>
        <v>412087.91208791209</v>
      </c>
      <c r="D44" t="s">
        <v>60</v>
      </c>
      <c r="E44" s="104">
        <v>81323228.874365523</v>
      </c>
      <c r="F44" s="105">
        <f t="shared" si="0"/>
        <v>5.0672841916365331E-3</v>
      </c>
      <c r="H44" s="106">
        <f t="shared" si="1"/>
        <v>197.34436873512701</v>
      </c>
    </row>
    <row r="45" spans="2:8">
      <c r="B45" t="s">
        <v>238</v>
      </c>
      <c r="C45" s="37">
        <f>SUM('Co-Benefit Calculations'!E18:F18)</f>
        <v>130434.78260869565</v>
      </c>
      <c r="D45" t="s">
        <v>55</v>
      </c>
      <c r="E45" s="104">
        <v>12662868.254142579</v>
      </c>
      <c r="F45" s="105">
        <f t="shared" si="0"/>
        <v>1.0300571718103812E-2</v>
      </c>
      <c r="H45" s="106">
        <f t="shared" si="1"/>
        <v>97.08198994842644</v>
      </c>
    </row>
    <row r="46" spans="2:8">
      <c r="B46" t="s">
        <v>62</v>
      </c>
      <c r="C46" s="37">
        <f>SUM('Co-Benefit Calculations'!E20:F20)</f>
        <v>256410.25641025641</v>
      </c>
      <c r="D46" t="s">
        <v>55</v>
      </c>
      <c r="E46" s="104">
        <v>4013621.8545625065</v>
      </c>
      <c r="F46" s="105">
        <f t="shared" si="0"/>
        <v>6.3885006037322792E-2</v>
      </c>
      <c r="H46" s="106">
        <f t="shared" si="1"/>
        <v>15.653125232793776</v>
      </c>
    </row>
    <row r="47" spans="2:8">
      <c r="B47" t="s">
        <v>63</v>
      </c>
      <c r="C47" s="37">
        <f>SUM('Co-Benefit Calculations'!E21:F21)</f>
        <v>58479.53216374269</v>
      </c>
      <c r="D47" t="s">
        <v>55</v>
      </c>
      <c r="E47" s="104">
        <v>8505082.2749900762</v>
      </c>
      <c r="F47" s="105">
        <f t="shared" si="0"/>
        <v>6.8758337983051343E-3</v>
      </c>
      <c r="H47" s="106">
        <f t="shared" si="1"/>
        <v>145.43690690233029</v>
      </c>
    </row>
    <row r="48" spans="2:8">
      <c r="B48" t="s">
        <v>64</v>
      </c>
      <c r="C48" s="37">
        <f>SUM('Co-Benefit Calculations'!E9:F9)</f>
        <v>140449.4382022472</v>
      </c>
      <c r="D48" t="s">
        <v>55</v>
      </c>
      <c r="E48" s="104">
        <v>14098410.036365038</v>
      </c>
      <c r="F48" s="105">
        <f>C48/E48</f>
        <v>9.9620764213819799E-3</v>
      </c>
      <c r="H48" s="106">
        <f t="shared" si="1"/>
        <v>100.38067945891906</v>
      </c>
    </row>
    <row r="49" spans="2:8">
      <c r="B49" s="92" t="s">
        <v>65</v>
      </c>
      <c r="C49" s="93">
        <f>SUM(C39:C48)</f>
        <v>3424737.2995732771</v>
      </c>
      <c r="D49" s="2"/>
      <c r="E49" s="2"/>
      <c r="F49" s="96"/>
      <c r="H49" s="106"/>
    </row>
    <row r="50" spans="2:8">
      <c r="F50" s="95"/>
    </row>
    <row r="51" spans="2:8">
      <c r="B51" s="94" t="s">
        <v>66</v>
      </c>
      <c r="C51" s="107">
        <f>SUM(E39:E42,E45:E48)/SUM(C39:C42,C45:C48)</f>
        <v>58.538689148092089</v>
      </c>
      <c r="F51" s="95"/>
    </row>
    <row r="52" spans="2:8">
      <c r="B52" s="94" t="s">
        <v>67</v>
      </c>
      <c r="C52" s="107">
        <f>SUM(E43:E44)/SUM(C43:C44)</f>
        <v>57.590769086126549</v>
      </c>
      <c r="F52" s="95"/>
    </row>
    <row r="53" spans="2:8">
      <c r="F53" s="95"/>
    </row>
    <row r="54" spans="2:8">
      <c r="B54" s="90" t="s">
        <v>49</v>
      </c>
      <c r="C54" s="90" t="s">
        <v>68</v>
      </c>
      <c r="D54" s="90" t="s">
        <v>51</v>
      </c>
      <c r="E54" s="90" t="s">
        <v>52</v>
      </c>
      <c r="F54" s="97" t="s">
        <v>69</v>
      </c>
    </row>
    <row r="55" spans="2:8">
      <c r="F55" s="95"/>
    </row>
    <row r="56" spans="2:8">
      <c r="B56" t="s">
        <v>54</v>
      </c>
      <c r="C56" s="37">
        <f>'Co-Benefit Calculations'!F7</f>
        <v>237701.14942528735</v>
      </c>
      <c r="D56" t="s">
        <v>55</v>
      </c>
      <c r="E56">
        <f>E39</f>
        <v>53729347.494689323</v>
      </c>
      <c r="F56" s="95">
        <f>C56/E56</f>
        <v>4.4240468293195263E-3</v>
      </c>
    </row>
    <row r="57" spans="2:8">
      <c r="B57" t="s">
        <v>56</v>
      </c>
      <c r="C57" s="37">
        <f>'Co-Benefit Calculations'!F11</f>
        <v>344666.66666666663</v>
      </c>
      <c r="D57" t="s">
        <v>55</v>
      </c>
      <c r="E57">
        <f t="shared" ref="E57:E65" si="2">E40</f>
        <v>16658087.444737308</v>
      </c>
      <c r="F57" s="95">
        <f t="shared" ref="F57:F64" si="3">C57/E57</f>
        <v>2.0690650580991825E-2</v>
      </c>
    </row>
    <row r="58" spans="2:8">
      <c r="B58" t="s">
        <v>57</v>
      </c>
      <c r="C58" s="37">
        <f>'Co-Benefit Calculations'!F12</f>
        <v>90701.754385964916</v>
      </c>
      <c r="D58" t="s">
        <v>55</v>
      </c>
      <c r="E58">
        <f t="shared" si="2"/>
        <v>0</v>
      </c>
      <c r="F58" s="95" t="e">
        <f t="shared" si="3"/>
        <v>#DIV/0!</v>
      </c>
    </row>
    <row r="59" spans="2:8">
      <c r="B59" t="s">
        <v>58</v>
      </c>
      <c r="C59" s="37">
        <f>'Co-Benefit Calculations'!F13</f>
        <v>64625</v>
      </c>
      <c r="D59" t="s">
        <v>55</v>
      </c>
      <c r="E59">
        <f t="shared" si="2"/>
        <v>8150439.4986169171</v>
      </c>
      <c r="F59" s="95">
        <f t="shared" si="3"/>
        <v>7.9290202707432509E-3</v>
      </c>
    </row>
    <row r="60" spans="2:8">
      <c r="B60" t="s">
        <v>59</v>
      </c>
      <c r="C60" s="37">
        <f>'Co-Benefit Calculations'!F15</f>
        <v>517000</v>
      </c>
      <c r="D60" t="s">
        <v>60</v>
      </c>
      <c r="E60">
        <f t="shared" si="2"/>
        <v>0</v>
      </c>
      <c r="F60" s="95" t="e">
        <f t="shared" si="3"/>
        <v>#DIV/0!</v>
      </c>
    </row>
    <row r="61" spans="2:8">
      <c r="B61" t="s">
        <v>239</v>
      </c>
      <c r="C61" s="37">
        <f>'Co-Benefit Calculations'!F16</f>
        <v>213049.45054945056</v>
      </c>
      <c r="D61" t="s">
        <v>60</v>
      </c>
      <c r="E61">
        <f t="shared" si="2"/>
        <v>81323228.874365523</v>
      </c>
      <c r="F61" s="95">
        <f t="shared" si="3"/>
        <v>2.6197859270760877E-3</v>
      </c>
    </row>
    <row r="62" spans="2:8">
      <c r="B62" t="s">
        <v>238</v>
      </c>
      <c r="C62" s="37">
        <f>'Co-Benefit Calculations'!F18</f>
        <v>67434.782608695648</v>
      </c>
      <c r="D62" t="s">
        <v>55</v>
      </c>
      <c r="E62">
        <f t="shared" si="2"/>
        <v>12662868.254142579</v>
      </c>
      <c r="F62" s="95">
        <f t="shared" si="3"/>
        <v>5.3253955782596712E-3</v>
      </c>
    </row>
    <row r="63" spans="2:8">
      <c r="B63" t="s">
        <v>62</v>
      </c>
      <c r="C63" s="37">
        <f>'Co-Benefit Calculations'!F20</f>
        <v>132564.10256410256</v>
      </c>
      <c r="D63" t="s">
        <v>55</v>
      </c>
      <c r="E63">
        <f t="shared" si="2"/>
        <v>4013621.8545625065</v>
      </c>
      <c r="F63" s="95">
        <f t="shared" si="3"/>
        <v>3.3028548121295881E-2</v>
      </c>
    </row>
    <row r="64" spans="2:8">
      <c r="B64" t="s">
        <v>63</v>
      </c>
      <c r="C64" s="37">
        <f>'Co-Benefit Calculations'!F21</f>
        <v>30233.918128654972</v>
      </c>
      <c r="D64" t="s">
        <v>55</v>
      </c>
      <c r="E64">
        <f t="shared" si="2"/>
        <v>8505082.2749900762</v>
      </c>
      <c r="F64" s="95">
        <f t="shared" si="3"/>
        <v>3.5548060737237547E-3</v>
      </c>
    </row>
    <row r="65" spans="2:6">
      <c r="B65" t="s">
        <v>64</v>
      </c>
      <c r="C65" s="37">
        <f>'Co-Benefit Calculations'!F9</f>
        <v>72612.3595505618</v>
      </c>
      <c r="D65" t="s">
        <v>55</v>
      </c>
      <c r="E65">
        <f t="shared" si="2"/>
        <v>14098410.036365038</v>
      </c>
      <c r="F65" s="95">
        <f>C65/E65</f>
        <v>5.1503935098544829E-3</v>
      </c>
    </row>
    <row r="66" spans="2:6">
      <c r="B66" s="92" t="s">
        <v>65</v>
      </c>
      <c r="C66" s="93">
        <f>SUM(C56:C65)</f>
        <v>1770589.1838793843</v>
      </c>
      <c r="D66" s="2"/>
      <c r="E66" s="2"/>
      <c r="F66" s="96"/>
    </row>
    <row r="67" spans="2:6">
      <c r="F67" s="95"/>
    </row>
    <row r="68" spans="2:6">
      <c r="B68" s="94" t="s">
        <v>70</v>
      </c>
      <c r="C68" s="107">
        <f>SUM(E56:E59,E62:E65)/SUM(C56:C59,C62:C65)</f>
        <v>113.22763858431739</v>
      </c>
      <c r="F68" s="95"/>
    </row>
    <row r="69" spans="2:6">
      <c r="B69" s="94" t="s">
        <v>71</v>
      </c>
      <c r="C69" s="107">
        <f>SUM(E60:E61)/SUM(C60:C61)</f>
        <v>111.39413749734344</v>
      </c>
      <c r="F69" s="95"/>
    </row>
    <row r="70" spans="2:6">
      <c r="F70" s="95"/>
    </row>
    <row r="71" spans="2:6">
      <c r="B71" s="90" t="s">
        <v>49</v>
      </c>
      <c r="C71" s="90" t="s">
        <v>72</v>
      </c>
      <c r="D71" s="90" t="s">
        <v>51</v>
      </c>
      <c r="E71" s="90" t="s">
        <v>52</v>
      </c>
      <c r="F71" s="97" t="s">
        <v>73</v>
      </c>
    </row>
    <row r="72" spans="2:6">
      <c r="F72" s="95"/>
    </row>
    <row r="73" spans="2:6">
      <c r="B73" t="s">
        <v>54</v>
      </c>
      <c r="C73" s="37">
        <f>'Co-Benefit Calculations'!E7</f>
        <v>222068.96551724136</v>
      </c>
      <c r="D73" t="s">
        <v>55</v>
      </c>
      <c r="E73">
        <f>E39</f>
        <v>53729347.494689323</v>
      </c>
      <c r="F73" s="95">
        <f>C73/E73</f>
        <v>4.1331037109503506E-3</v>
      </c>
    </row>
    <row r="74" spans="2:6">
      <c r="B74" t="s">
        <v>56</v>
      </c>
      <c r="C74" s="37">
        <f>'Co-Benefit Calculations'!E11</f>
        <v>322000</v>
      </c>
      <c r="D74" t="s">
        <v>55</v>
      </c>
      <c r="E74">
        <f t="shared" ref="E74:E82" si="4">E40</f>
        <v>16658087.444737308</v>
      </c>
      <c r="F74" s="95">
        <f t="shared" ref="F74:F81" si="5">C74/E74</f>
        <v>1.9329950155936273E-2</v>
      </c>
    </row>
    <row r="75" spans="2:6">
      <c r="B75" t="s">
        <v>57</v>
      </c>
      <c r="C75" s="37">
        <f>'Co-Benefit Calculations'!E12</f>
        <v>84736.842105263146</v>
      </c>
      <c r="D75" t="s">
        <v>55</v>
      </c>
      <c r="E75">
        <f t="shared" si="4"/>
        <v>0</v>
      </c>
      <c r="F75" s="95" t="e">
        <f t="shared" si="5"/>
        <v>#DIV/0!</v>
      </c>
    </row>
    <row r="76" spans="2:6">
      <c r="B76" t="s">
        <v>58</v>
      </c>
      <c r="C76" s="37">
        <f>'Co-Benefit Calculations'!E13</f>
        <v>60375</v>
      </c>
      <c r="D76" t="s">
        <v>55</v>
      </c>
      <c r="E76">
        <f t="shared" si="4"/>
        <v>8150439.4986169171</v>
      </c>
      <c r="F76" s="95">
        <f t="shared" si="5"/>
        <v>7.4075759976189376E-3</v>
      </c>
    </row>
    <row r="77" spans="2:6">
      <c r="B77" t="s">
        <v>59</v>
      </c>
      <c r="C77" s="37">
        <f>'Co-Benefit Calculations'!E15</f>
        <v>483000</v>
      </c>
      <c r="D77" t="s">
        <v>60</v>
      </c>
      <c r="E77">
        <f t="shared" si="4"/>
        <v>0</v>
      </c>
      <c r="F77" s="95" t="e">
        <f t="shared" si="5"/>
        <v>#DIV/0!</v>
      </c>
    </row>
    <row r="78" spans="2:6">
      <c r="B78" t="s">
        <v>239</v>
      </c>
      <c r="C78" s="37">
        <f>'Co-Benefit Calculations'!E16</f>
        <v>199038.46153846153</v>
      </c>
      <c r="D78" t="s">
        <v>60</v>
      </c>
      <c r="E78">
        <f t="shared" si="4"/>
        <v>81323228.874365523</v>
      </c>
      <c r="F78" s="95">
        <f t="shared" si="5"/>
        <v>2.4474982645604454E-3</v>
      </c>
    </row>
    <row r="79" spans="2:6">
      <c r="B79" t="s">
        <v>238</v>
      </c>
      <c r="C79" s="37">
        <f>'Co-Benefit Calculations'!E18</f>
        <v>62999.999999999993</v>
      </c>
      <c r="D79" t="s">
        <v>55</v>
      </c>
      <c r="E79">
        <f t="shared" si="4"/>
        <v>12662868.254142579</v>
      </c>
      <c r="F79" s="95">
        <f t="shared" si="5"/>
        <v>4.975176139844141E-3</v>
      </c>
    </row>
    <row r="80" spans="2:6">
      <c r="B80" t="s">
        <v>62</v>
      </c>
      <c r="C80" s="37">
        <f>'Co-Benefit Calculations'!E20</f>
        <v>123846.15384615384</v>
      </c>
      <c r="D80" t="s">
        <v>55</v>
      </c>
      <c r="E80">
        <f t="shared" si="4"/>
        <v>4013621.8545625065</v>
      </c>
      <c r="F80" s="95">
        <f t="shared" si="5"/>
        <v>3.0856457916026904E-2</v>
      </c>
    </row>
    <row r="81" spans="2:6">
      <c r="B81" t="s">
        <v>63</v>
      </c>
      <c r="C81" s="37">
        <f>'Co-Benefit Calculations'!E21</f>
        <v>28245.614035087718</v>
      </c>
      <c r="D81" t="s">
        <v>55</v>
      </c>
      <c r="E81">
        <f t="shared" si="4"/>
        <v>8505082.2749900762</v>
      </c>
      <c r="F81" s="95">
        <f t="shared" si="5"/>
        <v>3.32102772458138E-3</v>
      </c>
    </row>
    <row r="82" spans="2:6">
      <c r="B82" t="s">
        <v>64</v>
      </c>
      <c r="C82" s="37">
        <f>'Co-Benefit Calculations'!E9</f>
        <v>67837.078651685399</v>
      </c>
      <c r="D82" t="s">
        <v>55</v>
      </c>
      <c r="E82">
        <f t="shared" si="4"/>
        <v>14098410.036365038</v>
      </c>
      <c r="F82" s="95">
        <f>C82/E82</f>
        <v>4.8116829115274961E-3</v>
      </c>
    </row>
    <row r="83" spans="2:6">
      <c r="B83" s="92" t="s">
        <v>65</v>
      </c>
      <c r="C83" s="93">
        <f>SUM(C73:C82)</f>
        <v>1654148.1156938928</v>
      </c>
      <c r="D83" s="2"/>
      <c r="E83" s="2"/>
      <c r="F83" s="2"/>
    </row>
    <row r="85" spans="2:6">
      <c r="B85" s="94" t="s">
        <v>74</v>
      </c>
      <c r="C85" s="107">
        <f>SUM(E73:E76,E79:E82)/SUM(C73:C76,C79:C82)</f>
        <v>121.19811417824448</v>
      </c>
    </row>
    <row r="86" spans="2:6">
      <c r="B86" s="94" t="s">
        <v>75</v>
      </c>
      <c r="C86" s="107">
        <f>SUM(E77:E78)/SUM(C77:C78)</f>
        <v>119.23554676216679</v>
      </c>
    </row>
  </sheetData>
  <phoneticPr fontId="9" type="noConversion"/>
  <hyperlinks>
    <hyperlink ref="F6" r:id="rId1" xr:uid="{0F581D4E-B095-4F0A-B27E-1E0F0099B0EB}"/>
    <hyperlink ref="F8" r:id="rId2" xr:uid="{C42D1BEA-5021-4B75-8C86-629AE2A56FDF}"/>
    <hyperlink ref="F14" r:id="rId3" xr:uid="{B9EAFB89-C6C8-445B-8517-46EC2E7932E9}"/>
    <hyperlink ref="F15" r:id="rId4" xr:uid="{659B828B-E0C5-42C4-9465-A627E024DA92}"/>
  </hyperlinks>
  <pageMargins left="0.7" right="0.7" top="0.75" bottom="0.75" header="0.3" footer="0.3"/>
  <pageSetup orientation="portrait" r:id="rId5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BA739-F1DC-4C11-B11F-FC510C1EE117}">
  <dimension ref="B2:AL22"/>
  <sheetViews>
    <sheetView workbookViewId="0">
      <selection activeCell="I10" sqref="I10"/>
    </sheetView>
  </sheetViews>
  <sheetFormatPr defaultRowHeight="15"/>
  <cols>
    <col min="2" max="2" width="49.5703125" bestFit="1" customWidth="1"/>
    <col min="8" max="8" width="11.28515625" bestFit="1" customWidth="1"/>
  </cols>
  <sheetData>
    <row r="2" spans="2:38">
      <c r="C2" s="22">
        <v>2016</v>
      </c>
      <c r="D2" s="22">
        <v>2017</v>
      </c>
      <c r="E2" s="22">
        <v>2018</v>
      </c>
      <c r="F2" s="22">
        <v>2019</v>
      </c>
      <c r="G2" s="22">
        <v>2020</v>
      </c>
      <c r="H2" s="22">
        <v>2021</v>
      </c>
      <c r="I2" s="22">
        <v>2022</v>
      </c>
      <c r="J2" s="22">
        <v>2023</v>
      </c>
      <c r="K2" s="22">
        <v>2024</v>
      </c>
      <c r="L2" s="22">
        <v>2025</v>
      </c>
      <c r="M2" s="22">
        <v>2026</v>
      </c>
      <c r="N2" s="22">
        <v>2027</v>
      </c>
      <c r="O2" s="22">
        <v>2028</v>
      </c>
      <c r="P2" s="22">
        <v>2029</v>
      </c>
      <c r="Q2" s="22">
        <v>2030</v>
      </c>
      <c r="R2" s="22">
        <v>2031</v>
      </c>
      <c r="S2" s="22">
        <v>2032</v>
      </c>
      <c r="T2" s="22">
        <v>2033</v>
      </c>
      <c r="U2" s="22">
        <v>2034</v>
      </c>
      <c r="V2" s="22">
        <v>2035</v>
      </c>
      <c r="W2" s="22">
        <v>2036</v>
      </c>
      <c r="X2" s="22">
        <v>2037</v>
      </c>
      <c r="Y2" s="22">
        <v>2038</v>
      </c>
      <c r="Z2" s="22">
        <v>2039</v>
      </c>
      <c r="AA2" s="22">
        <v>2040</v>
      </c>
      <c r="AB2" s="22">
        <v>2041</v>
      </c>
      <c r="AC2" s="22">
        <v>2042</v>
      </c>
      <c r="AD2" s="22">
        <v>2043</v>
      </c>
      <c r="AE2" s="22">
        <v>2044</v>
      </c>
      <c r="AF2" s="22">
        <v>2045</v>
      </c>
      <c r="AG2" s="22">
        <v>2046</v>
      </c>
      <c r="AH2" s="22">
        <v>2047</v>
      </c>
      <c r="AI2" s="22">
        <v>2048</v>
      </c>
      <c r="AJ2" s="22">
        <v>2049</v>
      </c>
      <c r="AK2" s="22">
        <v>2050</v>
      </c>
    </row>
    <row r="3" spans="2:38">
      <c r="B3" s="2" t="s">
        <v>86</v>
      </c>
      <c r="C3" s="23"/>
      <c r="D3" s="23"/>
      <c r="E3" s="23"/>
      <c r="F3" s="23"/>
      <c r="G3" s="23"/>
      <c r="H3" s="24" t="s">
        <v>87</v>
      </c>
      <c r="I3" s="24" t="s">
        <v>88</v>
      </c>
      <c r="J3" s="24" t="s">
        <v>89</v>
      </c>
      <c r="K3" s="24" t="s">
        <v>90</v>
      </c>
      <c r="L3" s="24" t="s">
        <v>91</v>
      </c>
      <c r="M3" s="24" t="s">
        <v>92</v>
      </c>
      <c r="N3" s="24" t="s">
        <v>93</v>
      </c>
      <c r="O3" s="24" t="s">
        <v>94</v>
      </c>
      <c r="P3" s="24" t="s">
        <v>95</v>
      </c>
      <c r="Q3" s="24" t="s">
        <v>96</v>
      </c>
      <c r="R3" s="24" t="s">
        <v>97</v>
      </c>
      <c r="S3" s="24" t="s">
        <v>98</v>
      </c>
      <c r="T3" s="24" t="s">
        <v>99</v>
      </c>
      <c r="U3" s="24" t="s">
        <v>100</v>
      </c>
      <c r="V3" s="24" t="s">
        <v>101</v>
      </c>
      <c r="W3" s="24" t="s">
        <v>102</v>
      </c>
      <c r="X3" s="24" t="s">
        <v>103</v>
      </c>
      <c r="Y3" s="24" t="s">
        <v>104</v>
      </c>
      <c r="Z3" s="24" t="s">
        <v>105</v>
      </c>
      <c r="AA3" s="24" t="s">
        <v>106</v>
      </c>
      <c r="AB3" s="24" t="s">
        <v>107</v>
      </c>
      <c r="AC3" s="24" t="s">
        <v>108</v>
      </c>
      <c r="AD3" s="24" t="s">
        <v>109</v>
      </c>
      <c r="AE3" s="24" t="s">
        <v>110</v>
      </c>
      <c r="AF3" s="24" t="s">
        <v>111</v>
      </c>
      <c r="AG3" s="24" t="s">
        <v>112</v>
      </c>
      <c r="AH3" s="24" t="s">
        <v>113</v>
      </c>
      <c r="AI3" s="24" t="s">
        <v>114</v>
      </c>
      <c r="AJ3" s="24" t="s">
        <v>115</v>
      </c>
      <c r="AK3" s="24" t="s">
        <v>116</v>
      </c>
    </row>
    <row r="5" spans="2:38">
      <c r="AL5" s="34" t="s">
        <v>117</v>
      </c>
    </row>
    <row r="6" spans="2:38">
      <c r="B6" s="29" t="s">
        <v>118</v>
      </c>
      <c r="C6" s="30"/>
      <c r="D6" s="30"/>
      <c r="E6" s="30"/>
      <c r="F6" s="30"/>
      <c r="G6" s="30"/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13870</v>
      </c>
      <c r="N6" s="31">
        <v>39876.25</v>
      </c>
      <c r="O6" s="31">
        <v>57213.75</v>
      </c>
      <c r="P6" s="31">
        <v>90155</v>
      </c>
      <c r="Q6" s="31">
        <v>154303.75</v>
      </c>
      <c r="R6" s="31">
        <v>154303.75</v>
      </c>
      <c r="S6" s="31">
        <v>154303.75</v>
      </c>
      <c r="T6" s="31">
        <v>154303.75</v>
      </c>
      <c r="U6" s="31">
        <v>154303.75</v>
      </c>
      <c r="V6" s="31">
        <v>154303.75</v>
      </c>
      <c r="W6" s="31">
        <v>154303.75</v>
      </c>
      <c r="X6" s="31">
        <v>154303.75</v>
      </c>
      <c r="Y6" s="31">
        <v>154303.75</v>
      </c>
      <c r="Z6" s="31">
        <v>154303.75</v>
      </c>
      <c r="AA6" s="31">
        <v>154303.75</v>
      </c>
      <c r="AB6" s="31">
        <v>140433.75</v>
      </c>
      <c r="AC6" s="31">
        <v>140433.75</v>
      </c>
      <c r="AD6" s="31">
        <v>123096.25</v>
      </c>
      <c r="AE6" s="31">
        <v>90155</v>
      </c>
      <c r="AF6" s="31">
        <v>26006.25</v>
      </c>
      <c r="AG6" s="31">
        <v>26006.25</v>
      </c>
      <c r="AH6" s="31">
        <v>0</v>
      </c>
      <c r="AI6" s="31">
        <v>0</v>
      </c>
      <c r="AJ6" s="31">
        <v>0</v>
      </c>
      <c r="AK6" s="31">
        <v>0</v>
      </c>
      <c r="AL6" s="35">
        <f>SUM(H6:AK6)</f>
        <v>2444587.5</v>
      </c>
    </row>
    <row r="7" spans="2:38">
      <c r="B7" t="s">
        <v>119</v>
      </c>
      <c r="C7" s="20">
        <f>15000000000/1000</f>
        <v>15000000</v>
      </c>
      <c r="D7" s="20">
        <f>C7*(1+Assumptions!$C$15)</f>
        <v>15194999.999999998</v>
      </c>
      <c r="E7" s="20">
        <f>D7*(1+Assumptions!$C$15)</f>
        <v>15392534.999999996</v>
      </c>
      <c r="F7" s="20">
        <v>10233000</v>
      </c>
      <c r="G7" s="20">
        <f>F7*(1+Assumptions!$C$15)</f>
        <v>10366028.999999998</v>
      </c>
      <c r="H7" s="8">
        <f>G7*(1+Assumptions!$C$15)</f>
        <v>10500787.376999997</v>
      </c>
      <c r="I7">
        <f>H7*(1+Assumptions!$C$15)</f>
        <v>10637297.612900995</v>
      </c>
      <c r="J7">
        <f>I7*(1+Assumptions!$C$15)</f>
        <v>10775582.481868707</v>
      </c>
      <c r="K7">
        <f>J7*(1+Assumptions!$C$15)</f>
        <v>10915665.054132998</v>
      </c>
      <c r="L7">
        <f>K7*(1+Assumptions!$C$15)</f>
        <v>11057568.699836725</v>
      </c>
      <c r="M7">
        <f>L7*(1+Assumptions!$C$15)</f>
        <v>11201317.092934601</v>
      </c>
      <c r="N7">
        <f>M7*(1+Assumptions!$C$15)</f>
        <v>11346934.215142749</v>
      </c>
      <c r="O7">
        <f>N7*(1+Assumptions!$C$15)</f>
        <v>11494444.359939603</v>
      </c>
      <c r="P7">
        <f>O7*(1+Assumptions!$C$15)</f>
        <v>11643872.136618817</v>
      </c>
      <c r="Q7">
        <f>P7*(1+Assumptions!$C$15)</f>
        <v>11795242.474394862</v>
      </c>
      <c r="R7">
        <f>Q7*(1+Assumptions!$C$15)</f>
        <v>11948580.626561994</v>
      </c>
      <c r="S7">
        <f>R7*(1+Assumptions!$C$15)</f>
        <v>12103912.174707299</v>
      </c>
      <c r="T7">
        <f>S7*(1+Assumptions!$C$15)</f>
        <v>12261263.032978492</v>
      </c>
      <c r="U7">
        <f>T7*(1+Assumptions!$C$15)</f>
        <v>12420659.452407211</v>
      </c>
      <c r="V7">
        <f>U7*(1+Assumptions!$C$15)</f>
        <v>12582128.025288504</v>
      </c>
      <c r="W7">
        <f>V7*(1+Assumptions!$C$15)</f>
        <v>12745695.689617254</v>
      </c>
      <c r="X7">
        <f>W7*(1+Assumptions!$C$15)</f>
        <v>12911389.733582277</v>
      </c>
      <c r="Y7">
        <f>X7*(1+Assumptions!$C$15)</f>
        <v>13079237.800118845</v>
      </c>
      <c r="Z7">
        <f>Y7*(1+Assumptions!$C$15)</f>
        <v>13249267.891520388</v>
      </c>
      <c r="AA7">
        <f>Z7*(1+Assumptions!$C$15)</f>
        <v>13421508.374110153</v>
      </c>
      <c r="AB7">
        <f>AA7*(1+Assumptions!$C$15)</f>
        <v>13595987.982973583</v>
      </c>
      <c r="AC7">
        <f>AB7*(1+Assumptions!$C$15)</f>
        <v>13772735.826752238</v>
      </c>
      <c r="AD7">
        <f>AC7*(1+Assumptions!$C$15)</f>
        <v>13951781.392500015</v>
      </c>
      <c r="AE7">
        <f>AD7*(1+Assumptions!$C$15)</f>
        <v>14133154.550602514</v>
      </c>
      <c r="AF7">
        <f>AE7*(1+Assumptions!$C$15)</f>
        <v>14316885.559760345</v>
      </c>
      <c r="AG7">
        <f>AF7*(1+Assumptions!$C$15)</f>
        <v>14503005.072037227</v>
      </c>
      <c r="AH7">
        <f>AG7*(1+Assumptions!$C$15)</f>
        <v>14691544.137973711</v>
      </c>
      <c r="AI7">
        <f>AH7*(1+Assumptions!$C$15)</f>
        <v>14882534.211767368</v>
      </c>
      <c r="AJ7">
        <f>AI7*(1+Assumptions!$C$15)</f>
        <v>15076007.156520342</v>
      </c>
      <c r="AK7">
        <f>AJ7*(1+Assumptions!$C$15)</f>
        <v>15271995.249555105</v>
      </c>
      <c r="AL7" s="34"/>
    </row>
    <row r="8" spans="2:38">
      <c r="B8" t="s">
        <v>120</v>
      </c>
      <c r="C8" s="20"/>
      <c r="D8" s="20"/>
      <c r="E8" s="20"/>
      <c r="F8" s="20">
        <v>10137000</v>
      </c>
      <c r="G8" s="20">
        <v>10137000</v>
      </c>
      <c r="H8">
        <v>10137000</v>
      </c>
      <c r="I8">
        <v>10137000</v>
      </c>
      <c r="J8">
        <v>10137000</v>
      </c>
      <c r="K8">
        <v>10137000</v>
      </c>
      <c r="L8">
        <v>10137000</v>
      </c>
      <c r="M8">
        <v>10137000</v>
      </c>
      <c r="N8">
        <v>10137000</v>
      </c>
      <c r="O8">
        <v>10137000</v>
      </c>
      <c r="P8">
        <v>10137000</v>
      </c>
      <c r="Q8">
        <v>10137000</v>
      </c>
      <c r="R8">
        <v>10137000</v>
      </c>
      <c r="S8">
        <v>10137000</v>
      </c>
      <c r="T8">
        <v>10137000</v>
      </c>
      <c r="U8">
        <v>10137000</v>
      </c>
      <c r="V8">
        <v>10137000</v>
      </c>
      <c r="W8">
        <v>10137000</v>
      </c>
      <c r="X8">
        <v>10137000</v>
      </c>
      <c r="Y8">
        <v>10137000</v>
      </c>
      <c r="Z8">
        <v>10137000</v>
      </c>
      <c r="AA8">
        <v>10137000</v>
      </c>
      <c r="AB8">
        <v>10137000</v>
      </c>
      <c r="AC8">
        <v>10137000</v>
      </c>
      <c r="AD8">
        <v>10137000</v>
      </c>
      <c r="AE8">
        <v>10137000</v>
      </c>
      <c r="AF8">
        <v>10137000</v>
      </c>
      <c r="AG8">
        <v>10137000</v>
      </c>
      <c r="AH8">
        <v>10137000</v>
      </c>
      <c r="AI8">
        <v>10137000</v>
      </c>
      <c r="AJ8">
        <v>10137000</v>
      </c>
      <c r="AK8">
        <v>10137000</v>
      </c>
      <c r="AL8" s="34"/>
    </row>
    <row r="9" spans="2:38">
      <c r="B9" t="s">
        <v>121</v>
      </c>
      <c r="C9" s="20"/>
      <c r="D9" s="20"/>
      <c r="E9" s="20"/>
      <c r="F9" s="21">
        <f>1-(F8/F7)</f>
        <v>9.381413075344458E-3</v>
      </c>
      <c r="G9" s="21">
        <f>1-(G8/G7)</f>
        <v>2.2094188623242195E-2</v>
      </c>
      <c r="H9" s="9">
        <f>1-H8/H7</f>
        <v>3.4643818976546892E-2</v>
      </c>
      <c r="I9" s="9">
        <f t="shared" ref="I9:AK9" si="0">1-I8/I7</f>
        <v>4.7032397805080728E-2</v>
      </c>
      <c r="J9" s="9">
        <f t="shared" si="0"/>
        <v>5.9261991910247391E-2</v>
      </c>
      <c r="K9" s="9">
        <f t="shared" si="0"/>
        <v>7.1334641569839263E-2</v>
      </c>
      <c r="L9" s="9">
        <f t="shared" si="0"/>
        <v>8.3252360878419696E-2</v>
      </c>
      <c r="M9" s="9">
        <f t="shared" si="0"/>
        <v>9.5017138083336228E-2</v>
      </c>
      <c r="N9" s="9">
        <f t="shared" si="0"/>
        <v>0.10663093591642259</v>
      </c>
      <c r="O9" s="9">
        <f t="shared" si="0"/>
        <v>0.11809569192144365</v>
      </c>
      <c r="P9" s="9">
        <f t="shared" si="0"/>
        <v>0.12941331877733819</v>
      </c>
      <c r="Q9" s="9">
        <f t="shared" si="0"/>
        <v>0.14058570461731312</v>
      </c>
      <c r="R9" s="9">
        <f t="shared" si="0"/>
        <v>0.15161471334384313</v>
      </c>
      <c r="S9" s="9">
        <f t="shared" si="0"/>
        <v>0.16250218493962787</v>
      </c>
      <c r="T9" s="9">
        <f t="shared" si="0"/>
        <v>0.17324993577455849</v>
      </c>
      <c r="U9" s="9">
        <f t="shared" si="0"/>
        <v>0.18385975890874473</v>
      </c>
      <c r="V9" s="9">
        <f t="shared" si="0"/>
        <v>0.19433342439165313</v>
      </c>
      <c r="W9" s="9">
        <f t="shared" si="0"/>
        <v>0.20467267955740687</v>
      </c>
      <c r="X9" s="9">
        <f t="shared" si="0"/>
        <v>0.21487924931629498</v>
      </c>
      <c r="Y9" s="9">
        <f t="shared" si="0"/>
        <v>0.22495483644254177</v>
      </c>
      <c r="Z9" s="9">
        <f t="shared" si="0"/>
        <v>0.23490112185838274</v>
      </c>
      <c r="AA9" s="9">
        <f t="shared" si="0"/>
        <v>0.24471976491449432</v>
      </c>
      <c r="AB9" s="9">
        <f t="shared" si="0"/>
        <v>0.25441240366682549</v>
      </c>
      <c r="AC9" s="9">
        <f t="shared" si="0"/>
        <v>0.2639806551498769</v>
      </c>
      <c r="AD9" s="9">
        <f t="shared" si="0"/>
        <v>0.27342611564647268</v>
      </c>
      <c r="AE9" s="9">
        <f t="shared" si="0"/>
        <v>0.28275036095406969</v>
      </c>
      <c r="AF9" s="9">
        <f t="shared" si="0"/>
        <v>0.2919549466476502</v>
      </c>
      <c r="AG9" s="9">
        <f t="shared" si="0"/>
        <v>0.30104140833923998</v>
      </c>
      <c r="AH9" s="9">
        <f t="shared" si="0"/>
        <v>0.31001126193409667</v>
      </c>
      <c r="AI9" s="9">
        <f t="shared" si="0"/>
        <v>0.31886600388360975</v>
      </c>
      <c r="AJ9" s="9">
        <f t="shared" si="0"/>
        <v>0.32760711143495524</v>
      </c>
      <c r="AK9" s="9">
        <f t="shared" si="0"/>
        <v>0.33623604287754705</v>
      </c>
      <c r="AL9" s="34"/>
    </row>
    <row r="10" spans="2:38">
      <c r="B10" t="s">
        <v>122</v>
      </c>
      <c r="C10" s="20"/>
      <c r="D10" s="20"/>
      <c r="E10" s="20"/>
      <c r="F10" s="20"/>
      <c r="G10" s="20"/>
      <c r="H10" s="8">
        <f>H7-H8</f>
        <v>363787.3769999966</v>
      </c>
      <c r="I10" s="8">
        <f t="shared" ref="I10:AK10" si="1">I7-I8</f>
        <v>500297.61290099472</v>
      </c>
      <c r="J10" s="8">
        <f t="shared" si="1"/>
        <v>638582.48186870664</v>
      </c>
      <c r="K10" s="8">
        <f t="shared" si="1"/>
        <v>778665.05413299799</v>
      </c>
      <c r="L10" s="8">
        <f t="shared" si="1"/>
        <v>920568.69983672537</v>
      </c>
      <c r="M10" s="8">
        <f t="shared" si="1"/>
        <v>1064317.092934601</v>
      </c>
      <c r="N10" s="8">
        <f t="shared" si="1"/>
        <v>1209934.2151427492</v>
      </c>
      <c r="O10" s="8">
        <f t="shared" si="1"/>
        <v>1357444.3599396031</v>
      </c>
      <c r="P10" s="8">
        <f t="shared" si="1"/>
        <v>1506872.1366188172</v>
      </c>
      <c r="Q10" s="8">
        <f t="shared" si="1"/>
        <v>1658242.4743948616</v>
      </c>
      <c r="R10" s="8">
        <f t="shared" si="1"/>
        <v>1811580.6265619937</v>
      </c>
      <c r="S10" s="8">
        <f t="shared" si="1"/>
        <v>1966912.1747072991</v>
      </c>
      <c r="T10" s="8">
        <f t="shared" si="1"/>
        <v>2124263.0329784919</v>
      </c>
      <c r="U10" s="8">
        <f t="shared" si="1"/>
        <v>2283659.4524072111</v>
      </c>
      <c r="V10" s="8">
        <f t="shared" si="1"/>
        <v>2445128.0252885036</v>
      </c>
      <c r="W10" s="8">
        <f t="shared" si="1"/>
        <v>2608695.6896172538</v>
      </c>
      <c r="X10" s="8">
        <f t="shared" si="1"/>
        <v>2774389.7335822769</v>
      </c>
      <c r="Y10" s="8">
        <f t="shared" si="1"/>
        <v>2942237.800118845</v>
      </c>
      <c r="Z10" s="8">
        <f t="shared" si="1"/>
        <v>3112267.8915203884</v>
      </c>
      <c r="AA10" s="8">
        <f t="shared" si="1"/>
        <v>3284508.3741101529</v>
      </c>
      <c r="AB10" s="8">
        <f t="shared" si="1"/>
        <v>3458987.982973583</v>
      </c>
      <c r="AC10" s="8">
        <f t="shared" si="1"/>
        <v>3635735.826752238</v>
      </c>
      <c r="AD10" s="8">
        <f t="shared" si="1"/>
        <v>3814781.392500015</v>
      </c>
      <c r="AE10" s="8">
        <f t="shared" si="1"/>
        <v>3996154.5506025143</v>
      </c>
      <c r="AF10" s="8">
        <f t="shared" si="1"/>
        <v>4179885.5597603451</v>
      </c>
      <c r="AG10" s="8">
        <f t="shared" si="1"/>
        <v>4366005.0720372275</v>
      </c>
      <c r="AH10" s="8">
        <f t="shared" si="1"/>
        <v>4554544.1379737109</v>
      </c>
      <c r="AI10" s="8">
        <f t="shared" si="1"/>
        <v>4745534.211767368</v>
      </c>
      <c r="AJ10" s="8">
        <f t="shared" si="1"/>
        <v>4939007.1565203425</v>
      </c>
      <c r="AK10" s="8">
        <f t="shared" si="1"/>
        <v>5134995.2495551053</v>
      </c>
      <c r="AL10" s="35">
        <f>SUM(H10:AK10)</f>
        <v>78177985.446104914</v>
      </c>
    </row>
    <row r="11" spans="2:38">
      <c r="B11" t="s">
        <v>123</v>
      </c>
      <c r="C11" s="20"/>
      <c r="D11" s="20"/>
      <c r="E11" s="20"/>
      <c r="F11" s="20"/>
      <c r="G11" s="20"/>
      <c r="H11" s="9">
        <f>H6/H10</f>
        <v>0</v>
      </c>
      <c r="I11" s="9">
        <f t="shared" ref="I11:AK11" si="2">I6/I10</f>
        <v>0</v>
      </c>
      <c r="J11" s="9">
        <f t="shared" si="2"/>
        <v>0</v>
      </c>
      <c r="K11" s="9">
        <f t="shared" si="2"/>
        <v>0</v>
      </c>
      <c r="L11" s="9">
        <f t="shared" si="2"/>
        <v>0</v>
      </c>
      <c r="M11" s="9">
        <f>M6/M10</f>
        <v>1.3031830543806053E-2</v>
      </c>
      <c r="N11" s="9">
        <f t="shared" si="2"/>
        <v>3.2957370327192009E-2</v>
      </c>
      <c r="O11" s="9">
        <f t="shared" si="2"/>
        <v>4.2148136371899333E-2</v>
      </c>
      <c r="P11" s="9">
        <f t="shared" si="2"/>
        <v>5.9829230237340221E-2</v>
      </c>
      <c r="Q11" s="9">
        <f t="shared" si="2"/>
        <v>9.3052585724117148E-2</v>
      </c>
      <c r="R11" s="9">
        <f t="shared" si="2"/>
        <v>8.5176308322990113E-2</v>
      </c>
      <c r="S11" s="9">
        <f t="shared" si="2"/>
        <v>7.8449740656550818E-2</v>
      </c>
      <c r="T11" s="9">
        <f t="shared" si="2"/>
        <v>7.2638721102087883E-2</v>
      </c>
      <c r="U11" s="9">
        <f t="shared" si="2"/>
        <v>6.7568634122459906E-2</v>
      </c>
      <c r="V11" s="9">
        <f t="shared" si="2"/>
        <v>6.3106613806773376E-2</v>
      </c>
      <c r="W11" s="9">
        <f t="shared" si="2"/>
        <v>5.9149769984340086E-2</v>
      </c>
      <c r="X11" s="9">
        <f t="shared" si="2"/>
        <v>5.5617186054377384E-2</v>
      </c>
      <c r="Y11" s="9">
        <f t="shared" si="2"/>
        <v>5.2444350349168667E-2</v>
      </c>
      <c r="Z11" s="9">
        <f t="shared" si="2"/>
        <v>4.9579199277932452E-2</v>
      </c>
      <c r="AA11" s="9">
        <f t="shared" si="2"/>
        <v>4.6979253034117881E-2</v>
      </c>
      <c r="AB11" s="9">
        <f t="shared" si="2"/>
        <v>4.0599664032158193E-2</v>
      </c>
      <c r="AC11" s="9">
        <f t="shared" si="2"/>
        <v>3.8625949929219111E-2</v>
      </c>
      <c r="AD11" s="9">
        <f t="shared" si="2"/>
        <v>3.2268231737213368E-2</v>
      </c>
      <c r="AE11" s="9">
        <f t="shared" si="2"/>
        <v>2.2560438756405708E-2</v>
      </c>
      <c r="AF11" s="9">
        <f t="shared" si="2"/>
        <v>6.2217612487675562E-3</v>
      </c>
      <c r="AG11" s="9">
        <f t="shared" si="2"/>
        <v>5.9565322465063445E-3</v>
      </c>
      <c r="AH11" s="9">
        <f t="shared" si="2"/>
        <v>0</v>
      </c>
      <c r="AI11" s="9">
        <f t="shared" si="2"/>
        <v>0</v>
      </c>
      <c r="AJ11" s="9">
        <f t="shared" si="2"/>
        <v>0</v>
      </c>
      <c r="AK11" s="9">
        <f t="shared" si="2"/>
        <v>0</v>
      </c>
      <c r="AL11" s="36">
        <f>AL6/AL10</f>
        <v>3.1269512587853432E-2</v>
      </c>
    </row>
    <row r="12" spans="2:38">
      <c r="B12" t="s">
        <v>124</v>
      </c>
      <c r="H12" s="8">
        <f>H10-H6</f>
        <v>363787.3769999966</v>
      </c>
      <c r="I12" s="8">
        <f t="shared" ref="I12:AK12" si="3">I10-I6</f>
        <v>500297.61290099472</v>
      </c>
      <c r="J12" s="8">
        <f t="shared" si="3"/>
        <v>638582.48186870664</v>
      </c>
      <c r="K12" s="8">
        <f t="shared" si="3"/>
        <v>778665.05413299799</v>
      </c>
      <c r="L12" s="8">
        <f t="shared" si="3"/>
        <v>920568.69983672537</v>
      </c>
      <c r="M12" s="8">
        <f t="shared" si="3"/>
        <v>1050447.092934601</v>
      </c>
      <c r="N12" s="8">
        <f t="shared" si="3"/>
        <v>1170057.9651427492</v>
      </c>
      <c r="O12" s="8">
        <f t="shared" si="3"/>
        <v>1300230.6099396031</v>
      </c>
      <c r="P12" s="8">
        <f t="shared" si="3"/>
        <v>1416717.1366188172</v>
      </c>
      <c r="Q12" s="8">
        <f t="shared" si="3"/>
        <v>1503938.7243948616</v>
      </c>
      <c r="R12" s="8">
        <f t="shared" si="3"/>
        <v>1657276.8765619937</v>
      </c>
      <c r="S12" s="8">
        <f t="shared" si="3"/>
        <v>1812608.4247072991</v>
      </c>
      <c r="T12" s="8">
        <f t="shared" si="3"/>
        <v>1969959.2829784919</v>
      </c>
      <c r="U12" s="8">
        <f t="shared" si="3"/>
        <v>2129355.7024072111</v>
      </c>
      <c r="V12" s="8">
        <f t="shared" si="3"/>
        <v>2290824.2752885036</v>
      </c>
      <c r="W12" s="8">
        <f t="shared" si="3"/>
        <v>2454391.9396172538</v>
      </c>
      <c r="X12" s="8">
        <f t="shared" si="3"/>
        <v>2620085.9835822769</v>
      </c>
      <c r="Y12" s="8">
        <f t="shared" si="3"/>
        <v>2787934.050118845</v>
      </c>
      <c r="Z12" s="8">
        <f t="shared" si="3"/>
        <v>2957964.1415203884</v>
      </c>
      <c r="AA12" s="8">
        <f t="shared" si="3"/>
        <v>3130204.6241101529</v>
      </c>
      <c r="AB12" s="8">
        <f t="shared" si="3"/>
        <v>3318554.232973583</v>
      </c>
      <c r="AC12" s="8">
        <f t="shared" si="3"/>
        <v>3495302.076752238</v>
      </c>
      <c r="AD12" s="8">
        <f t="shared" si="3"/>
        <v>3691685.142500015</v>
      </c>
      <c r="AE12" s="8">
        <f t="shared" si="3"/>
        <v>3905999.5506025143</v>
      </c>
      <c r="AF12" s="8">
        <f t="shared" si="3"/>
        <v>4153879.3097603451</v>
      </c>
      <c r="AG12" s="8">
        <f t="shared" si="3"/>
        <v>4339998.8220372275</v>
      </c>
      <c r="AH12" s="8">
        <f t="shared" si="3"/>
        <v>4554544.1379737109</v>
      </c>
      <c r="AI12" s="8">
        <f t="shared" si="3"/>
        <v>4745534.211767368</v>
      </c>
      <c r="AJ12" s="8">
        <f t="shared" si="3"/>
        <v>4939007.1565203425</v>
      </c>
      <c r="AK12" s="8">
        <f t="shared" si="3"/>
        <v>5134995.2495551053</v>
      </c>
    </row>
    <row r="13" spans="2:38">
      <c r="B13" t="s">
        <v>125</v>
      </c>
      <c r="H13" s="9">
        <f>1-(H8+H6)/H7</f>
        <v>3.4643818976546892E-2</v>
      </c>
      <c r="I13" s="9">
        <f>1-(I8+I6)/I7</f>
        <v>4.7032397805080728E-2</v>
      </c>
      <c r="J13" s="9">
        <f t="shared" ref="J13:AK13" si="4">1-(J8+J6)/J7</f>
        <v>5.9261991910247391E-2</v>
      </c>
      <c r="K13" s="9">
        <f t="shared" si="4"/>
        <v>7.1334641569839263E-2</v>
      </c>
      <c r="L13" s="9">
        <f t="shared" si="4"/>
        <v>8.3252360878419696E-2</v>
      </c>
      <c r="M13" s="9">
        <f t="shared" si="4"/>
        <v>9.3778890841076712E-2</v>
      </c>
      <c r="N13" s="9">
        <f t="shared" si="4"/>
        <v>0.10311666067309</v>
      </c>
      <c r="O13" s="9">
        <f t="shared" si="4"/>
        <v>0.11311817859340489</v>
      </c>
      <c r="P13" s="9">
        <f t="shared" si="4"/>
        <v>0.12167061953243052</v>
      </c>
      <c r="Q13" s="9">
        <f t="shared" si="4"/>
        <v>0.12750384128682524</v>
      </c>
      <c r="R13" s="9">
        <f t="shared" si="4"/>
        <v>0.13870073177376618</v>
      </c>
      <c r="S13" s="9">
        <f t="shared" si="4"/>
        <v>0.14975393067499121</v>
      </c>
      <c r="T13" s="9">
        <f t="shared" si="4"/>
        <v>0.16066528200887564</v>
      </c>
      <c r="U13" s="9">
        <f t="shared" si="4"/>
        <v>0.17143660612919609</v>
      </c>
      <c r="V13" s="9">
        <f t="shared" si="4"/>
        <v>0.18206970002882128</v>
      </c>
      <c r="W13" s="9">
        <f t="shared" si="4"/>
        <v>0.1925663376395077</v>
      </c>
      <c r="X13" s="9">
        <f t="shared" si="4"/>
        <v>0.20292827012784564</v>
      </c>
      <c r="Y13" s="9">
        <f t="shared" si="4"/>
        <v>0.21315722618740918</v>
      </c>
      <c r="Z13" s="9">
        <f t="shared" si="4"/>
        <v>0.22325491232715611</v>
      </c>
      <c r="AA13" s="9">
        <f t="shared" si="4"/>
        <v>0.23322301315612637</v>
      </c>
      <c r="AB13" s="9">
        <f t="shared" si="4"/>
        <v>0.24408334555233857</v>
      </c>
      <c r="AC13" s="9">
        <f t="shared" si="4"/>
        <v>0.25378415158177536</v>
      </c>
      <c r="AD13" s="9">
        <f t="shared" si="4"/>
        <v>0.26460313838378624</v>
      </c>
      <c r="AE13" s="9">
        <f t="shared" si="4"/>
        <v>0.27637138875241385</v>
      </c>
      <c r="AF13" s="9">
        <f t="shared" si="4"/>
        <v>0.29013847267421189</v>
      </c>
      <c r="AG13" s="9">
        <f t="shared" si="4"/>
        <v>0.29924824548293361</v>
      </c>
      <c r="AH13" s="9">
        <f t="shared" si="4"/>
        <v>0.31001126193409667</v>
      </c>
      <c r="AI13" s="9">
        <f t="shared" si="4"/>
        <v>0.31886600388360975</v>
      </c>
      <c r="AJ13" s="9">
        <f t="shared" si="4"/>
        <v>0.32760711143495524</v>
      </c>
      <c r="AK13" s="9">
        <f t="shared" si="4"/>
        <v>0.33623604287754705</v>
      </c>
    </row>
    <row r="20" spans="2:2">
      <c r="B20" s="25"/>
    </row>
    <row r="21" spans="2:2">
      <c r="B21" s="25"/>
    </row>
    <row r="22" spans="2:2">
      <c r="B22" s="25"/>
    </row>
  </sheetData>
  <phoneticPr fontId="9" type="noConversion"/>
  <pageMargins left="0.7" right="0.7" top="0.75" bottom="0.75" header="0.3" footer="0.3"/>
  <pageSetup orientation="portrait" horizontalDpi="90" verticalDpi="9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5F529-70E7-485A-9C10-C6712E51F65A}">
  <dimension ref="B3:J34"/>
  <sheetViews>
    <sheetView topLeftCell="A7" zoomScale="130" zoomScaleNormal="130" workbookViewId="0">
      <selection activeCell="B16" sqref="B16"/>
    </sheetView>
  </sheetViews>
  <sheetFormatPr defaultRowHeight="15"/>
  <cols>
    <col min="2" max="2" width="30.42578125" customWidth="1"/>
    <col min="3" max="3" width="14.28515625" bestFit="1" customWidth="1"/>
    <col min="4" max="4" width="13.5703125" customWidth="1"/>
    <col min="5" max="7" width="16" customWidth="1"/>
    <col min="8" max="9" width="17.42578125" customWidth="1"/>
    <col min="10" max="10" width="15.5703125" style="7" customWidth="1"/>
  </cols>
  <sheetData>
    <row r="3" spans="2:10" s="7" customFormat="1" ht="54.75" customHeight="1">
      <c r="B3" s="130" t="s">
        <v>76</v>
      </c>
      <c r="C3" s="128" t="s">
        <v>77</v>
      </c>
      <c r="D3" s="128" t="s">
        <v>237</v>
      </c>
      <c r="E3" s="128" t="s">
        <v>234</v>
      </c>
      <c r="F3" s="129"/>
      <c r="G3" s="128" t="s">
        <v>235</v>
      </c>
      <c r="H3" s="128" t="s">
        <v>236</v>
      </c>
      <c r="I3" s="128" t="s">
        <v>231</v>
      </c>
      <c r="J3" s="128" t="s">
        <v>232</v>
      </c>
    </row>
    <row r="4" spans="2:10" ht="15" customHeight="1">
      <c r="B4" s="131"/>
      <c r="C4" s="131"/>
      <c r="D4" s="131"/>
      <c r="E4" s="108" t="s">
        <v>78</v>
      </c>
      <c r="F4" s="108" t="s">
        <v>79</v>
      </c>
      <c r="G4" s="129"/>
      <c r="H4" s="129"/>
      <c r="I4" s="129"/>
      <c r="J4" s="129"/>
    </row>
    <row r="5" spans="2:10">
      <c r="B5" s="12"/>
      <c r="C5" s="13"/>
      <c r="D5" s="13"/>
      <c r="E5" s="13"/>
      <c r="F5" s="13"/>
      <c r="G5" s="14"/>
      <c r="H5" s="12"/>
      <c r="I5" s="13"/>
      <c r="J5" s="13"/>
    </row>
    <row r="6" spans="2:10">
      <c r="B6" s="109" t="s">
        <v>80</v>
      </c>
      <c r="C6" s="110"/>
      <c r="D6" s="110"/>
      <c r="E6" s="110"/>
      <c r="F6" s="110"/>
      <c r="G6" s="110"/>
      <c r="H6" s="110"/>
      <c r="I6" s="111"/>
      <c r="J6" s="111"/>
    </row>
    <row r="7" spans="2:10" ht="28.5">
      <c r="B7" s="112" t="s">
        <v>54</v>
      </c>
      <c r="C7" s="113">
        <v>40</v>
      </c>
      <c r="D7" s="113">
        <f>(50+124)/2</f>
        <v>87</v>
      </c>
      <c r="E7" s="114">
        <f>((C7*1000000)/D7)*(1-Assumptions!$C$5)</f>
        <v>222068.96551724136</v>
      </c>
      <c r="F7" s="114">
        <f>((C7*1000000)/D7)*Assumptions!$C$5</f>
        <v>237701.14942528735</v>
      </c>
      <c r="G7" s="114">
        <f>E7+F7</f>
        <v>459770.11494252871</v>
      </c>
      <c r="H7" s="115">
        <v>1254000</v>
      </c>
      <c r="I7" s="116">
        <v>3.2000000000000001E-2</v>
      </c>
      <c r="J7" s="117">
        <f>H7*I7</f>
        <v>40128</v>
      </c>
    </row>
    <row r="8" spans="2:10">
      <c r="B8" s="118" t="s">
        <v>81</v>
      </c>
      <c r="C8" s="119"/>
      <c r="D8" s="119"/>
      <c r="E8" s="119"/>
      <c r="F8" s="119"/>
      <c r="G8" s="120"/>
      <c r="H8" s="121"/>
      <c r="I8" s="121"/>
      <c r="J8" s="121"/>
    </row>
    <row r="9" spans="2:10" ht="28.5">
      <c r="B9" s="112" t="s">
        <v>64</v>
      </c>
      <c r="C9" s="113">
        <v>25</v>
      </c>
      <c r="D9" s="113">
        <v>178</v>
      </c>
      <c r="E9" s="114">
        <f>((C9*1000000)/D9)*(1-Assumptions!$C$5)</f>
        <v>67837.078651685399</v>
      </c>
      <c r="F9" s="114">
        <f>((C9*1000000)/D9)*Assumptions!$C$5</f>
        <v>72612.3595505618</v>
      </c>
      <c r="G9" s="114">
        <f>E9+F9</f>
        <v>140449.4382022472</v>
      </c>
      <c r="H9" s="115">
        <v>893749</v>
      </c>
      <c r="I9" s="116">
        <v>5.7000000000000002E-2</v>
      </c>
      <c r="J9" s="117">
        <f>H9*I9</f>
        <v>50943.692999999999</v>
      </c>
    </row>
    <row r="10" spans="2:10">
      <c r="B10" s="118" t="s">
        <v>82</v>
      </c>
      <c r="C10" s="119"/>
      <c r="D10" s="119"/>
      <c r="E10" s="119"/>
      <c r="F10" s="119"/>
      <c r="G10" s="120"/>
      <c r="H10" s="121"/>
      <c r="I10" s="122"/>
      <c r="J10" s="121"/>
    </row>
    <row r="11" spans="2:10">
      <c r="B11" s="112" t="s">
        <v>56</v>
      </c>
      <c r="C11" s="113">
        <v>60</v>
      </c>
      <c r="D11" s="113">
        <v>90</v>
      </c>
      <c r="E11" s="114">
        <f>((C11*1000000)/D11)*(1-Assumptions!$C$5)</f>
        <v>322000</v>
      </c>
      <c r="F11" s="114">
        <f>((C11*1000000)/D11)*Assumptions!$C$5</f>
        <v>344666.66666666663</v>
      </c>
      <c r="G11" s="114">
        <f t="shared" ref="G11:G13" si="0">E11+F11</f>
        <v>666666.66666666663</v>
      </c>
      <c r="H11" s="115">
        <v>3894000</v>
      </c>
      <c r="I11" s="116">
        <v>4.2500000000000003E-2</v>
      </c>
      <c r="J11" s="117">
        <f>H11*I11</f>
        <v>165495</v>
      </c>
    </row>
    <row r="12" spans="2:10" ht="28.5">
      <c r="B12" s="112" t="s">
        <v>57</v>
      </c>
      <c r="C12" s="113">
        <v>50</v>
      </c>
      <c r="D12" s="113">
        <v>285</v>
      </c>
      <c r="E12" s="114">
        <f>((C12*1000000)/D12)*(1-Assumptions!$C$5)</f>
        <v>84736.842105263146</v>
      </c>
      <c r="F12" s="114">
        <f>((C12*1000000)/D12)*Assumptions!$C$5</f>
        <v>90701.754385964916</v>
      </c>
      <c r="G12" s="114">
        <f t="shared" si="0"/>
        <v>175438.59649122806</v>
      </c>
      <c r="H12" s="115">
        <v>5600000</v>
      </c>
      <c r="I12" s="116">
        <v>4.3999999999999997E-2</v>
      </c>
      <c r="J12" s="117">
        <f>H12*I12</f>
        <v>246400</v>
      </c>
    </row>
    <row r="13" spans="2:10" ht="28.5">
      <c r="B13" s="112" t="s">
        <v>58</v>
      </c>
      <c r="C13" s="113">
        <v>30</v>
      </c>
      <c r="D13" s="113">
        <v>240</v>
      </c>
      <c r="E13" s="114">
        <f>((C13*1000000)/D13)*(1-Assumptions!$C$5)</f>
        <v>60375</v>
      </c>
      <c r="F13" s="114">
        <f>((C13*1000000)/D13)*Assumptions!$C$5</f>
        <v>64625</v>
      </c>
      <c r="G13" s="114">
        <f t="shared" si="0"/>
        <v>125000</v>
      </c>
      <c r="H13" s="115">
        <v>2300000</v>
      </c>
      <c r="I13" s="116">
        <v>9.4E-2</v>
      </c>
      <c r="J13" s="117">
        <f>H13*I13</f>
        <v>216200</v>
      </c>
    </row>
    <row r="14" spans="2:10">
      <c r="B14" s="118" t="s">
        <v>83</v>
      </c>
      <c r="C14" s="119"/>
      <c r="D14" s="119"/>
      <c r="E14" s="119"/>
      <c r="F14" s="119"/>
      <c r="G14" s="120"/>
      <c r="H14" s="121"/>
      <c r="I14" s="121"/>
      <c r="J14" s="121"/>
    </row>
    <row r="15" spans="2:10" ht="28.5">
      <c r="B15" s="112" t="s">
        <v>59</v>
      </c>
      <c r="C15" s="113">
        <v>100</v>
      </c>
      <c r="D15" s="113">
        <v>100</v>
      </c>
      <c r="E15" s="114">
        <f>((C15*1000000)/D15)*(1-Assumptions!$C$5)</f>
        <v>483000</v>
      </c>
      <c r="F15" s="114">
        <f>((C15*1000000)/D15)*Assumptions!$C$5</f>
        <v>517000</v>
      </c>
      <c r="G15" s="114">
        <f t="shared" ref="G15:G16" si="1">E15+F15</f>
        <v>1000000</v>
      </c>
      <c r="H15" s="115">
        <v>3158000</v>
      </c>
      <c r="I15" s="116">
        <v>9.5000000000000001E-2</v>
      </c>
      <c r="J15" s="117">
        <f>H15*I15</f>
        <v>300010</v>
      </c>
    </row>
    <row r="16" spans="2:10">
      <c r="B16" s="112" t="s">
        <v>239</v>
      </c>
      <c r="C16" s="113">
        <v>75</v>
      </c>
      <c r="D16" s="113">
        <v>182</v>
      </c>
      <c r="E16" s="114">
        <f>((C16*1000000)/D16)*(1-Assumptions!$C$5)</f>
        <v>199038.46153846153</v>
      </c>
      <c r="F16" s="114">
        <f>((C16*1000000)/D16)*Assumptions!$C$5</f>
        <v>213049.45054945056</v>
      </c>
      <c r="G16" s="114">
        <f t="shared" si="1"/>
        <v>412087.91208791209</v>
      </c>
      <c r="H16" s="115">
        <v>410465</v>
      </c>
      <c r="I16" s="116">
        <v>0.107</v>
      </c>
      <c r="J16" s="117">
        <f>H16*I16</f>
        <v>43919.754999999997</v>
      </c>
    </row>
    <row r="17" spans="2:10">
      <c r="B17" s="118" t="s">
        <v>84</v>
      </c>
      <c r="C17" s="119"/>
      <c r="D17" s="119"/>
      <c r="E17" s="119"/>
      <c r="F17" s="119"/>
      <c r="G17" s="120"/>
      <c r="H17" s="121"/>
      <c r="I17" s="121"/>
      <c r="J17" s="121"/>
    </row>
    <row r="18" spans="2:10">
      <c r="B18" s="112" t="s">
        <v>238</v>
      </c>
      <c r="C18" s="113">
        <v>15</v>
      </c>
      <c r="D18" s="113">
        <v>115</v>
      </c>
      <c r="E18" s="114">
        <f>((C18*1000000)/D18)*(1-Assumptions!$C$5)</f>
        <v>62999.999999999993</v>
      </c>
      <c r="F18" s="114">
        <f>((C18*1000000)/D18)*Assumptions!$C$5</f>
        <v>67434.782608695648</v>
      </c>
      <c r="G18" s="114">
        <f>E18+F18</f>
        <v>130434.78260869565</v>
      </c>
      <c r="H18" s="115">
        <v>285000</v>
      </c>
      <c r="I18" s="123">
        <v>0.04</v>
      </c>
      <c r="J18" s="117">
        <f>H18*I18</f>
        <v>11400</v>
      </c>
    </row>
    <row r="19" spans="2:10">
      <c r="B19" s="118" t="s">
        <v>85</v>
      </c>
      <c r="C19" s="119"/>
      <c r="D19" s="119"/>
      <c r="E19" s="119"/>
      <c r="F19" s="119"/>
      <c r="G19" s="120"/>
      <c r="H19" s="121"/>
      <c r="I19" s="121"/>
      <c r="J19" s="121"/>
    </row>
    <row r="20" spans="2:10" ht="28.5" customHeight="1">
      <c r="B20" s="112" t="s">
        <v>62</v>
      </c>
      <c r="C20" s="113">
        <v>40</v>
      </c>
      <c r="D20" s="113">
        <v>156</v>
      </c>
      <c r="E20" s="114">
        <f>((C20*1000000)/D20)*(1-Assumptions!$C$5)</f>
        <v>123846.15384615384</v>
      </c>
      <c r="F20" s="114">
        <f>((C20*1000000)/D20)*Assumptions!$C$5</f>
        <v>132564.10256410256</v>
      </c>
      <c r="G20" s="114">
        <f t="shared" ref="G20:G21" si="2">E20+F20</f>
        <v>256410.25641025641</v>
      </c>
      <c r="H20" s="115">
        <v>4618000</v>
      </c>
      <c r="I20" s="116">
        <v>2.7E-2</v>
      </c>
      <c r="J20" s="117">
        <f>H20*I20</f>
        <v>124686</v>
      </c>
    </row>
    <row r="21" spans="2:10" ht="15.75" thickBot="1">
      <c r="B21" s="112" t="s">
        <v>63</v>
      </c>
      <c r="C21" s="113">
        <v>10</v>
      </c>
      <c r="D21" s="113">
        <v>171</v>
      </c>
      <c r="E21" s="114">
        <f>((C21*1000000)/D21)*(1-Assumptions!$C$5)</f>
        <v>28245.614035087718</v>
      </c>
      <c r="F21" s="114">
        <f>((C21*1000000)/D21)*Assumptions!$C$5</f>
        <v>30233.918128654972</v>
      </c>
      <c r="G21" s="114">
        <f t="shared" si="2"/>
        <v>58479.53216374269</v>
      </c>
      <c r="H21" s="115">
        <v>284475</v>
      </c>
      <c r="I21" s="123">
        <v>0.12</v>
      </c>
      <c r="J21" s="117">
        <f>H21*I21</f>
        <v>34137</v>
      </c>
    </row>
    <row r="22" spans="2:10" ht="16.5" thickTop="1" thickBot="1">
      <c r="B22" s="124" t="s">
        <v>233</v>
      </c>
      <c r="C22" s="125"/>
      <c r="D22" s="125"/>
      <c r="E22" s="126">
        <f t="shared" ref="E22" si="3">SUM(E6:E21)</f>
        <v>1654148.1156938928</v>
      </c>
      <c r="F22" s="126">
        <f t="shared" ref="F22" si="4">SUM(F6:F21)</f>
        <v>1770589.1838793843</v>
      </c>
      <c r="G22" s="126">
        <f>E22+F22</f>
        <v>3424737.2995732771</v>
      </c>
      <c r="H22" s="126">
        <f>H7+H9+H11+H12+H13+H15+H16+H18+H20+H21</f>
        <v>22697689</v>
      </c>
      <c r="I22" s="125"/>
      <c r="J22" s="127">
        <f>SUM(J7:J21)</f>
        <v>1233319.4479999999</v>
      </c>
    </row>
    <row r="23" spans="2:10" ht="15.75" thickTop="1">
      <c r="B23" s="3"/>
    </row>
    <row r="24" spans="2:10">
      <c r="B24" s="4"/>
    </row>
    <row r="25" spans="2:10">
      <c r="B25" s="4"/>
    </row>
    <row r="26" spans="2:10">
      <c r="B26" s="4"/>
    </row>
    <row r="27" spans="2:10">
      <c r="B27" s="4"/>
    </row>
    <row r="28" spans="2:10">
      <c r="B28" s="4"/>
    </row>
    <row r="29" spans="2:10">
      <c r="B29" s="4"/>
    </row>
    <row r="30" spans="2:10">
      <c r="B30" s="4"/>
    </row>
    <row r="31" spans="2:10">
      <c r="B31" s="4"/>
    </row>
    <row r="32" spans="2:10">
      <c r="B32" s="5"/>
    </row>
    <row r="33" spans="2:2">
      <c r="B33" s="5"/>
    </row>
    <row r="34" spans="2:2">
      <c r="B34" s="6"/>
    </row>
  </sheetData>
  <mergeCells count="8">
    <mergeCell ref="E3:F3"/>
    <mergeCell ref="B3:B4"/>
    <mergeCell ref="C3:C4"/>
    <mergeCell ref="D3:D4"/>
    <mergeCell ref="J3:J4"/>
    <mergeCell ref="I3:I4"/>
    <mergeCell ref="H3:H4"/>
    <mergeCell ref="G3:G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1266-D365-4042-8BBA-C1910A1220E2}">
  <dimension ref="A1:AE69"/>
  <sheetViews>
    <sheetView topLeftCell="A41" workbookViewId="0">
      <selection activeCell="D62" sqref="D62"/>
    </sheetView>
  </sheetViews>
  <sheetFormatPr defaultRowHeight="15"/>
  <cols>
    <col min="1" max="3" width="1.42578125" customWidth="1"/>
    <col min="4" max="4" width="56.28515625" customWidth="1"/>
    <col min="5" max="9" width="15.140625" customWidth="1"/>
  </cols>
  <sheetData>
    <row r="1" spans="1:31" s="40" customFormat="1" ht="45" customHeight="1">
      <c r="A1" s="39" t="s">
        <v>126</v>
      </c>
    </row>
    <row r="4" spans="1:31">
      <c r="C4" s="41" t="s">
        <v>127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</row>
    <row r="6" spans="1:31">
      <c r="D6" s="43" t="s">
        <v>128</v>
      </c>
    </row>
    <row r="8" spans="1:31" ht="45.75" thickBot="1">
      <c r="D8" s="44" t="s">
        <v>129</v>
      </c>
      <c r="E8" s="45" t="s">
        <v>130</v>
      </c>
      <c r="F8" s="45" t="s">
        <v>131</v>
      </c>
    </row>
    <row r="9" spans="1:31">
      <c r="D9" t="s">
        <v>132</v>
      </c>
      <c r="E9" s="46">
        <v>0.25</v>
      </c>
      <c r="F9" s="47">
        <v>40</v>
      </c>
    </row>
    <row r="10" spans="1:31">
      <c r="D10" t="s">
        <v>133</v>
      </c>
      <c r="E10" s="46">
        <v>1</v>
      </c>
      <c r="F10" s="47">
        <v>80</v>
      </c>
    </row>
    <row r="11" spans="1:31" ht="15.75" thickBot="1">
      <c r="D11" s="48" t="s">
        <v>134</v>
      </c>
      <c r="E11" s="49">
        <v>2.5</v>
      </c>
      <c r="F11" s="50">
        <v>160</v>
      </c>
    </row>
    <row r="14" spans="1:31">
      <c r="C14" s="41" t="s">
        <v>135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6" spans="1:31">
      <c r="D16" s="43" t="s">
        <v>136</v>
      </c>
    </row>
    <row r="18" spans="3:31" ht="15.75" thickBot="1">
      <c r="D18" s="44"/>
      <c r="E18" s="44">
        <v>2016</v>
      </c>
      <c r="F18" s="44">
        <f>E18+1</f>
        <v>2017</v>
      </c>
      <c r="G18" s="44">
        <f t="shared" ref="G18:I18" si="0">F18+1</f>
        <v>2018</v>
      </c>
      <c r="H18" s="44">
        <f t="shared" si="0"/>
        <v>2019</v>
      </c>
      <c r="I18" s="44">
        <f t="shared" si="0"/>
        <v>2020</v>
      </c>
    </row>
    <row r="19" spans="3:31" ht="15.75" thickBot="1">
      <c r="D19" s="51" t="s">
        <v>137</v>
      </c>
      <c r="E19" s="52">
        <v>1.00841736811403</v>
      </c>
      <c r="F19" s="52">
        <v>2.5577557755775402</v>
      </c>
      <c r="G19" s="52">
        <v>2.2928399034593898</v>
      </c>
      <c r="H19" s="52">
        <v>1.73810460086511</v>
      </c>
      <c r="I19" s="52">
        <v>0.98948670377242998</v>
      </c>
    </row>
    <row r="21" spans="3:31">
      <c r="D21" t="s">
        <v>138</v>
      </c>
      <c r="E21" s="38">
        <f>1*(1+E19/100)</f>
        <v>1.0100841736811403</v>
      </c>
      <c r="F21" s="38">
        <f>E21*(1+F19/100)</f>
        <v>1.0359196599716642</v>
      </c>
      <c r="G21" s="38">
        <f>F21*(1+G19/100)</f>
        <v>1.0596716393032755</v>
      </c>
      <c r="H21" s="38">
        <f>G21*(1+H19/100)</f>
        <v>1.0780898408200685</v>
      </c>
      <c r="I21" s="38">
        <f>H21*(1+I19/100)</f>
        <v>1.0887573964497046</v>
      </c>
    </row>
    <row r="23" spans="3:31" ht="45.75" thickBot="1">
      <c r="D23" s="44" t="s">
        <v>139</v>
      </c>
      <c r="E23" s="45" t="s">
        <v>130</v>
      </c>
      <c r="F23" s="45" t="s">
        <v>131</v>
      </c>
    </row>
    <row r="24" spans="3:31">
      <c r="D24" t="s">
        <v>132</v>
      </c>
      <c r="E24" s="53">
        <f>E9*$I$21</f>
        <v>0.27218934911242615</v>
      </c>
      <c r="F24" s="54">
        <f t="shared" ref="E24:F26" si="1">F9*$I$21</f>
        <v>43.550295857988182</v>
      </c>
    </row>
    <row r="25" spans="3:31">
      <c r="D25" t="s">
        <v>133</v>
      </c>
      <c r="E25" s="53">
        <f t="shared" si="1"/>
        <v>1.0887573964497046</v>
      </c>
      <c r="F25" s="54">
        <f t="shared" si="1"/>
        <v>87.100591715976364</v>
      </c>
    </row>
    <row r="26" spans="3:31" ht="15.75" thickBot="1">
      <c r="D26" s="48" t="s">
        <v>134</v>
      </c>
      <c r="E26" s="55">
        <f t="shared" si="1"/>
        <v>2.7218934911242614</v>
      </c>
      <c r="F26" s="56">
        <f t="shared" si="1"/>
        <v>174.20118343195273</v>
      </c>
    </row>
    <row r="29" spans="3:31">
      <c r="C29" s="41" t="s">
        <v>140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1" spans="3:31" ht="15.75" thickBot="1">
      <c r="D31" s="44"/>
      <c r="E31" s="44" t="s">
        <v>141</v>
      </c>
      <c r="F31" s="44" t="s">
        <v>142</v>
      </c>
    </row>
    <row r="32" spans="3:31" ht="15.75" thickBot="1">
      <c r="D32" s="48" t="s">
        <v>143</v>
      </c>
      <c r="E32" s="57">
        <v>6.9329999999999998</v>
      </c>
      <c r="F32" s="57">
        <v>0.7</v>
      </c>
      <c r="H32" s="43" t="s">
        <v>144</v>
      </c>
    </row>
    <row r="33" spans="4:8">
      <c r="H33" s="43"/>
    </row>
    <row r="34" spans="4:8">
      <c r="D34" t="s">
        <v>145</v>
      </c>
      <c r="E34">
        <f>E32/F32</f>
        <v>9.9042857142857148</v>
      </c>
    </row>
    <row r="37" spans="4:8" ht="15.75" thickBot="1">
      <c r="D37" s="44"/>
      <c r="E37" s="44" t="s">
        <v>141</v>
      </c>
      <c r="F37" s="44" t="s">
        <v>142</v>
      </c>
    </row>
    <row r="38" spans="4:8" ht="15.75" thickBot="1">
      <c r="D38" s="51" t="s">
        <v>146</v>
      </c>
      <c r="E38" s="58">
        <v>11870</v>
      </c>
      <c r="F38" s="58">
        <v>44260</v>
      </c>
      <c r="H38" s="43" t="s">
        <v>144</v>
      </c>
    </row>
    <row r="40" spans="4:8">
      <c r="D40" t="s">
        <v>147</v>
      </c>
      <c r="E40" s="9">
        <f>E38/F38</f>
        <v>0.26818798011748757</v>
      </c>
    </row>
    <row r="43" spans="4:8" ht="45.75" thickBot="1">
      <c r="D43" s="44"/>
      <c r="E43" s="45" t="s">
        <v>130</v>
      </c>
      <c r="F43" s="45" t="s">
        <v>131</v>
      </c>
    </row>
    <row r="44" spans="4:8">
      <c r="D44" t="s">
        <v>132</v>
      </c>
      <c r="E44" s="59">
        <f>E24*$E$34*$E$40</f>
        <v>0.72299217449796227</v>
      </c>
      <c r="F44" s="59">
        <f t="shared" ref="F44:F46" si="2">F24*$E$34*$E$40</f>
        <v>115.67874791967397</v>
      </c>
    </row>
    <row r="45" spans="4:8">
      <c r="D45" t="s">
        <v>133</v>
      </c>
      <c r="E45" s="59">
        <f t="shared" ref="E45:E46" si="3">E25*$E$34*$E$40</f>
        <v>2.8919686979918491</v>
      </c>
      <c r="F45" s="59">
        <f t="shared" si="2"/>
        <v>231.35749583934793</v>
      </c>
    </row>
    <row r="46" spans="4:8" ht="15.75" thickBot="1">
      <c r="D46" s="48" t="s">
        <v>134</v>
      </c>
      <c r="E46" s="60">
        <f t="shared" si="3"/>
        <v>7.2299217449796229</v>
      </c>
      <c r="F46" s="60">
        <f t="shared" si="2"/>
        <v>462.71499167869587</v>
      </c>
    </row>
    <row r="49" spans="3:31">
      <c r="C49" s="41" t="s">
        <v>148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1" spans="3:31">
      <c r="D51" s="43" t="s">
        <v>149</v>
      </c>
    </row>
    <row r="53" spans="3:31" ht="45.75" thickBot="1">
      <c r="D53" s="45" t="s">
        <v>150</v>
      </c>
      <c r="E53" s="45" t="s">
        <v>151</v>
      </c>
      <c r="F53" s="45" t="s">
        <v>152</v>
      </c>
      <c r="G53" s="45" t="s">
        <v>153</v>
      </c>
      <c r="H53" s="45" t="s">
        <v>154</v>
      </c>
      <c r="I53" s="45" t="s">
        <v>155</v>
      </c>
    </row>
    <row r="54" spans="3:31">
      <c r="D54" t="s">
        <v>156</v>
      </c>
      <c r="E54" s="61">
        <v>89721</v>
      </c>
      <c r="F54" s="37">
        <f>$E54*E$45</f>
        <v>259470.32355252668</v>
      </c>
      <c r="G54" s="37">
        <f t="shared" ref="G54:G68" si="4">$E54*F$45</f>
        <v>20757625.884202138</v>
      </c>
    </row>
    <row r="55" spans="3:31">
      <c r="D55" t="s">
        <v>56</v>
      </c>
      <c r="E55" s="61">
        <v>1034797</v>
      </c>
      <c r="F55" s="37">
        <f t="shared" ref="F55:F68" si="5">$E55*E$45</f>
        <v>2992600.5327758715</v>
      </c>
      <c r="G55" s="37">
        <f t="shared" si="4"/>
        <v>239408042.62206972</v>
      </c>
    </row>
    <row r="56" spans="3:31">
      <c r="D56" t="s">
        <v>57</v>
      </c>
      <c r="E56" s="61">
        <v>1414768</v>
      </c>
      <c r="F56" s="37">
        <f t="shared" si="5"/>
        <v>4091464.7709205323</v>
      </c>
      <c r="G56" s="37">
        <f t="shared" si="4"/>
        <v>327317181.67364258</v>
      </c>
    </row>
    <row r="57" spans="3:31">
      <c r="D57" t="s">
        <v>58</v>
      </c>
      <c r="E57" s="61">
        <v>957917</v>
      </c>
      <c r="F57" s="37">
        <f t="shared" si="5"/>
        <v>2770265.979274258</v>
      </c>
      <c r="G57" s="37">
        <f t="shared" si="4"/>
        <v>221621278.34194064</v>
      </c>
    </row>
    <row r="58" spans="3:31">
      <c r="D58" t="s">
        <v>59</v>
      </c>
      <c r="E58" s="61">
        <v>360000</v>
      </c>
      <c r="F58" s="37">
        <f t="shared" si="5"/>
        <v>1041108.7312770657</v>
      </c>
      <c r="G58" s="37">
        <f t="shared" si="4"/>
        <v>83288698.502165258</v>
      </c>
    </row>
    <row r="59" spans="3:31">
      <c r="D59" t="s">
        <v>239</v>
      </c>
      <c r="E59" s="61">
        <v>110937</v>
      </c>
      <c r="F59" s="37">
        <f t="shared" si="5"/>
        <v>320826.33144912176</v>
      </c>
      <c r="G59" s="37">
        <f t="shared" si="4"/>
        <v>25666106.51592974</v>
      </c>
    </row>
    <row r="60" spans="3:31">
      <c r="D60" t="s">
        <v>157</v>
      </c>
      <c r="E60" s="61">
        <v>1312500</v>
      </c>
      <c r="F60" s="37">
        <f t="shared" si="5"/>
        <v>3795708.9161143019</v>
      </c>
      <c r="G60" s="37">
        <f t="shared" si="4"/>
        <v>303656713.28914416</v>
      </c>
    </row>
    <row r="61" spans="3:31">
      <c r="D61" t="s">
        <v>63</v>
      </c>
      <c r="E61" s="61">
        <v>66575</v>
      </c>
      <c r="F61" s="37">
        <f t="shared" si="5"/>
        <v>192532.81606880735</v>
      </c>
      <c r="G61" s="37">
        <f t="shared" si="4"/>
        <v>15402625.285504589</v>
      </c>
    </row>
    <row r="62" spans="3:31">
      <c r="D62" t="s">
        <v>238</v>
      </c>
      <c r="E62" s="61">
        <v>72012</v>
      </c>
      <c r="F62" s="37">
        <f t="shared" si="5"/>
        <v>208256.44987978903</v>
      </c>
      <c r="G62" s="37">
        <f t="shared" si="4"/>
        <v>16660515.990383124</v>
      </c>
    </row>
    <row r="63" spans="3:31">
      <c r="D63" t="s">
        <v>64</v>
      </c>
      <c r="E63" s="61">
        <v>297916</v>
      </c>
      <c r="F63" s="37">
        <f t="shared" si="5"/>
        <v>861563.74663093966</v>
      </c>
      <c r="G63" s="37">
        <f t="shared" si="4"/>
        <v>68925099.730475172</v>
      </c>
    </row>
    <row r="64" spans="3:31">
      <c r="D64" t="s">
        <v>159</v>
      </c>
      <c r="E64" s="61"/>
      <c r="F64" s="37">
        <f t="shared" si="5"/>
        <v>0</v>
      </c>
      <c r="G64" s="37">
        <f t="shared" si="4"/>
        <v>0</v>
      </c>
    </row>
    <row r="65" spans="4:7">
      <c r="D65" t="s">
        <v>160</v>
      </c>
      <c r="E65" s="61"/>
      <c r="F65" s="37">
        <f t="shared" si="5"/>
        <v>0</v>
      </c>
      <c r="G65" s="37">
        <f t="shared" si="4"/>
        <v>0</v>
      </c>
    </row>
    <row r="66" spans="4:7">
      <c r="D66" t="s">
        <v>161</v>
      </c>
      <c r="E66" s="61"/>
      <c r="F66" s="37">
        <f t="shared" si="5"/>
        <v>0</v>
      </c>
      <c r="G66" s="37">
        <f t="shared" si="4"/>
        <v>0</v>
      </c>
    </row>
    <row r="67" spans="4:7">
      <c r="D67" t="s">
        <v>162</v>
      </c>
      <c r="E67" s="61"/>
      <c r="F67" s="37">
        <f t="shared" si="5"/>
        <v>0</v>
      </c>
      <c r="G67" s="37">
        <f t="shared" si="4"/>
        <v>0</v>
      </c>
    </row>
    <row r="68" spans="4:7">
      <c r="D68" t="s">
        <v>163</v>
      </c>
      <c r="E68" s="61"/>
      <c r="F68" s="37">
        <f t="shared" si="5"/>
        <v>0</v>
      </c>
      <c r="G68" s="37">
        <f t="shared" si="4"/>
        <v>0</v>
      </c>
    </row>
    <row r="69" spans="4:7">
      <c r="D69" s="62" t="s">
        <v>117</v>
      </c>
      <c r="E69" s="37">
        <f>SUM(E54:E68)</f>
        <v>5717143</v>
      </c>
      <c r="F69" s="37">
        <f t="shared" ref="F69:G69" si="6">SUM(F54:F68)</f>
        <v>16533798.597943213</v>
      </c>
      <c r="G69" s="37">
        <f t="shared" si="6"/>
        <v>1322703887.8354573</v>
      </c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B00FC-0F32-4C8D-8F08-F3E4FF03A4F4}">
  <dimension ref="A1:AP30"/>
  <sheetViews>
    <sheetView topLeftCell="J8" zoomScale="110" zoomScaleNormal="110" workbookViewId="0">
      <selection activeCell="J35" sqref="J35"/>
    </sheetView>
  </sheetViews>
  <sheetFormatPr defaultRowHeight="15"/>
  <cols>
    <col min="1" max="3" width="1.42578125" customWidth="1"/>
    <col min="4" max="4" width="49.42578125" customWidth="1"/>
    <col min="5" max="5" width="1.42578125" customWidth="1"/>
    <col min="6" max="8" width="16" customWidth="1"/>
    <col min="10" max="10" width="34.140625" bestFit="1" customWidth="1"/>
    <col min="11" max="11" width="15.140625" bestFit="1" customWidth="1"/>
    <col min="12" max="15" width="16.140625" bestFit="1" customWidth="1"/>
    <col min="16" max="16" width="15.140625" bestFit="1" customWidth="1"/>
    <col min="17" max="17" width="16.140625" bestFit="1" customWidth="1"/>
    <col min="18" max="18" width="15.140625" bestFit="1" customWidth="1"/>
    <col min="19" max="20" width="13.7109375" bestFit="1" customWidth="1"/>
    <col min="21" max="25" width="11.140625" bestFit="1" customWidth="1"/>
    <col min="41" max="41" width="11.140625" bestFit="1" customWidth="1"/>
    <col min="42" max="42" width="12.5703125" bestFit="1" customWidth="1"/>
  </cols>
  <sheetData>
    <row r="1" spans="1:42" s="40" customFormat="1" ht="45" customHeight="1">
      <c r="A1" s="39" t="s">
        <v>164</v>
      </c>
    </row>
    <row r="5" spans="1:42">
      <c r="D5" s="43" t="s">
        <v>128</v>
      </c>
      <c r="J5" s="43" t="s">
        <v>165</v>
      </c>
    </row>
    <row r="7" spans="1:42" ht="58.7" customHeight="1">
      <c r="K7" s="7" t="s">
        <v>156</v>
      </c>
      <c r="L7" s="7" t="s">
        <v>56</v>
      </c>
      <c r="M7" s="7" t="s">
        <v>57</v>
      </c>
      <c r="N7" s="7" t="s">
        <v>58</v>
      </c>
      <c r="O7" s="7" t="s">
        <v>59</v>
      </c>
      <c r="P7" s="7" t="s">
        <v>61</v>
      </c>
      <c r="Q7" s="7" t="s">
        <v>157</v>
      </c>
      <c r="R7" s="7" t="s">
        <v>63</v>
      </c>
      <c r="S7" s="7" t="s">
        <v>158</v>
      </c>
      <c r="T7" s="7" t="s">
        <v>64</v>
      </c>
      <c r="U7" s="7" t="s">
        <v>159</v>
      </c>
      <c r="V7" s="7" t="s">
        <v>160</v>
      </c>
      <c r="W7" s="7" t="s">
        <v>161</v>
      </c>
      <c r="X7" s="7" t="s">
        <v>162</v>
      </c>
      <c r="Y7" s="7" t="s">
        <v>163</v>
      </c>
    </row>
    <row r="9" spans="1:42">
      <c r="J9" s="2" t="s">
        <v>166</v>
      </c>
      <c r="K9" s="61">
        <v>93798440440.782669</v>
      </c>
      <c r="L9" s="61">
        <v>173736224116.37158</v>
      </c>
      <c r="M9" s="61">
        <v>467778455103.638</v>
      </c>
      <c r="N9" s="61">
        <v>280597169054.93213</v>
      </c>
      <c r="O9" s="61">
        <v>299846558042.53027</v>
      </c>
      <c r="P9" s="61">
        <v>15965711967.589558</v>
      </c>
      <c r="Q9" s="61">
        <v>312971753700.93677</v>
      </c>
      <c r="R9" s="61">
        <v>12577828519.696579</v>
      </c>
      <c r="S9" s="61">
        <v>19044243679.387939</v>
      </c>
      <c r="T9" s="61">
        <v>48002178850.142937</v>
      </c>
      <c r="U9" s="61"/>
      <c r="V9" s="61"/>
      <c r="W9" s="61"/>
      <c r="X9" s="61"/>
      <c r="Y9" s="61"/>
    </row>
    <row r="11" spans="1:42">
      <c r="J11" s="2" t="s">
        <v>167</v>
      </c>
      <c r="AO11" s="63"/>
      <c r="AP11" s="63"/>
    </row>
    <row r="12" spans="1:42">
      <c r="J12" t="s">
        <v>168</v>
      </c>
      <c r="K12" s="64">
        <f t="shared" ref="K12:Y12" si="0">SUMPRODUCT($F$23:$F$30, K$23:K$30)</f>
        <v>0</v>
      </c>
      <c r="L12" s="64">
        <f t="shared" si="0"/>
        <v>0</v>
      </c>
      <c r="M12" s="64">
        <f t="shared" si="0"/>
        <v>0</v>
      </c>
      <c r="N12" s="64">
        <f t="shared" si="0"/>
        <v>0</v>
      </c>
      <c r="O12" s="64">
        <f t="shared" si="0"/>
        <v>0</v>
      </c>
      <c r="P12" s="64">
        <f t="shared" si="0"/>
        <v>0</v>
      </c>
      <c r="Q12" s="64">
        <f t="shared" si="0"/>
        <v>0</v>
      </c>
      <c r="R12" s="64">
        <f t="shared" si="0"/>
        <v>0</v>
      </c>
      <c r="S12" s="64">
        <f t="shared" si="0"/>
        <v>0</v>
      </c>
      <c r="T12" s="64">
        <f t="shared" si="0"/>
        <v>0</v>
      </c>
      <c r="U12" s="64">
        <f t="shared" si="0"/>
        <v>0</v>
      </c>
      <c r="V12" s="64">
        <f t="shared" si="0"/>
        <v>0</v>
      </c>
      <c r="W12" s="64">
        <f t="shared" si="0"/>
        <v>0</v>
      </c>
      <c r="X12" s="64">
        <f t="shared" si="0"/>
        <v>0</v>
      </c>
      <c r="Y12" s="64">
        <f t="shared" si="0"/>
        <v>0</v>
      </c>
      <c r="AO12" s="63"/>
      <c r="AP12" s="63"/>
    </row>
    <row r="13" spans="1:42">
      <c r="J13" t="s">
        <v>169</v>
      </c>
      <c r="K13" s="64">
        <f t="shared" ref="K13:Y13" si="1">SUMPRODUCT($G$23:$G$30, K$23:K$30)</f>
        <v>2.9217900000000005E-2</v>
      </c>
      <c r="L13" s="64">
        <f t="shared" si="1"/>
        <v>2.6307000000000001E-2</v>
      </c>
      <c r="M13" s="64">
        <f t="shared" si="1"/>
        <v>2.1824999999999997E-2</v>
      </c>
      <c r="N13" s="64">
        <f t="shared" si="1"/>
        <v>1.9096000000000002E-2</v>
      </c>
      <c r="O13" s="64">
        <f t="shared" si="1"/>
        <v>2.7366000000000001E-2</v>
      </c>
      <c r="P13" s="64">
        <f t="shared" si="1"/>
        <v>3.2730000000000002E-2</v>
      </c>
      <c r="Q13" s="64">
        <f t="shared" si="1"/>
        <v>2.4556000000000001E-2</v>
      </c>
      <c r="R13" s="64">
        <f t="shared" si="1"/>
        <v>3.2337000000000005E-2</v>
      </c>
      <c r="S13" s="64">
        <f t="shared" si="1"/>
        <v>2.5852E-2</v>
      </c>
      <c r="T13" s="64">
        <f t="shared" si="1"/>
        <v>2.4933000000000004E-2</v>
      </c>
      <c r="U13" s="64">
        <f t="shared" si="1"/>
        <v>0</v>
      </c>
      <c r="V13" s="64">
        <f t="shared" si="1"/>
        <v>0</v>
      </c>
      <c r="W13" s="64">
        <f t="shared" si="1"/>
        <v>0</v>
      </c>
      <c r="X13" s="64">
        <f t="shared" si="1"/>
        <v>0</v>
      </c>
      <c r="Y13" s="64">
        <f t="shared" si="1"/>
        <v>0</v>
      </c>
      <c r="AO13" s="63"/>
      <c r="AP13" s="63"/>
    </row>
    <row r="14" spans="1:42">
      <c r="J14" t="s">
        <v>131</v>
      </c>
      <c r="K14" s="64">
        <f t="shared" ref="K14:Y14" si="2">SUMPRODUCT($H$23:$H$30, K$23:K$30)</f>
        <v>0.30208769999999996</v>
      </c>
      <c r="L14" s="64">
        <f t="shared" si="2"/>
        <v>0.29597250000000003</v>
      </c>
      <c r="M14" s="64">
        <f t="shared" si="2"/>
        <v>0.28030250000000001</v>
      </c>
      <c r="N14" s="64">
        <f t="shared" si="2"/>
        <v>0.27622649999999999</v>
      </c>
      <c r="O14" s="64">
        <f t="shared" si="2"/>
        <v>0.30518299999999998</v>
      </c>
      <c r="P14" s="64">
        <f t="shared" si="2"/>
        <v>0.31531999999999999</v>
      </c>
      <c r="Q14" s="64">
        <f t="shared" si="2"/>
        <v>0.28694799999999998</v>
      </c>
      <c r="R14" s="64">
        <f t="shared" si="2"/>
        <v>0.27852100000000002</v>
      </c>
      <c r="S14" s="64">
        <f t="shared" si="2"/>
        <v>0.26258499999999996</v>
      </c>
      <c r="T14" s="64">
        <f t="shared" si="2"/>
        <v>0.25390999999999997</v>
      </c>
      <c r="U14" s="64">
        <f t="shared" si="2"/>
        <v>0</v>
      </c>
      <c r="V14" s="64">
        <f t="shared" si="2"/>
        <v>0</v>
      </c>
      <c r="W14" s="64">
        <f t="shared" si="2"/>
        <v>0</v>
      </c>
      <c r="X14" s="64">
        <f t="shared" si="2"/>
        <v>0</v>
      </c>
      <c r="Y14" s="64">
        <f t="shared" si="2"/>
        <v>0</v>
      </c>
      <c r="AO14" s="63"/>
      <c r="AP14" s="63"/>
    </row>
    <row r="15" spans="1:42"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AO15" s="63"/>
      <c r="AP15" s="63"/>
    </row>
    <row r="16" spans="1:42">
      <c r="J16" s="2" t="s">
        <v>170</v>
      </c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AO16" s="63"/>
      <c r="AP16" s="63"/>
    </row>
    <row r="17" spans="4:42">
      <c r="J17" t="s">
        <v>168</v>
      </c>
      <c r="K17" s="63">
        <f>K$9*K12/365</f>
        <v>0</v>
      </c>
      <c r="L17" s="63">
        <f t="shared" ref="L17:Y17" si="3">L$9*L12/365</f>
        <v>0</v>
      </c>
      <c r="M17" s="63">
        <f t="shared" si="3"/>
        <v>0</v>
      </c>
      <c r="N17" s="63">
        <f t="shared" si="3"/>
        <v>0</v>
      </c>
      <c r="O17" s="63">
        <f t="shared" si="3"/>
        <v>0</v>
      </c>
      <c r="P17" s="63">
        <f t="shared" si="3"/>
        <v>0</v>
      </c>
      <c r="Q17" s="63">
        <f t="shared" si="3"/>
        <v>0</v>
      </c>
      <c r="R17" s="63">
        <f t="shared" si="3"/>
        <v>0</v>
      </c>
      <c r="S17" s="63">
        <f t="shared" si="3"/>
        <v>0</v>
      </c>
      <c r="T17" s="63">
        <f t="shared" si="3"/>
        <v>0</v>
      </c>
      <c r="U17" s="63">
        <f t="shared" si="3"/>
        <v>0</v>
      </c>
      <c r="V17" s="63">
        <f t="shared" si="3"/>
        <v>0</v>
      </c>
      <c r="W17" s="63">
        <f t="shared" si="3"/>
        <v>0</v>
      </c>
      <c r="X17" s="63">
        <f t="shared" si="3"/>
        <v>0</v>
      </c>
      <c r="Y17" s="63">
        <f t="shared" si="3"/>
        <v>0</v>
      </c>
      <c r="AO17" s="63"/>
      <c r="AP17" s="63"/>
    </row>
    <row r="18" spans="4:42">
      <c r="J18" t="s">
        <v>169</v>
      </c>
      <c r="K18" s="63">
        <f t="shared" ref="K18:Y19" si="4">K$9*K13/365</f>
        <v>7508475.2135746423</v>
      </c>
      <c r="L18" s="63">
        <f t="shared" si="4"/>
        <v>12521859.857066816</v>
      </c>
      <c r="M18" s="63">
        <f t="shared" si="4"/>
        <v>27970588.445580542</v>
      </c>
      <c r="N18" s="63">
        <f t="shared" si="4"/>
        <v>14680228.877460232</v>
      </c>
      <c r="O18" s="63">
        <f t="shared" si="4"/>
        <v>22481098.376416121</v>
      </c>
      <c r="P18" s="63">
        <f t="shared" si="4"/>
        <v>1431665.0758882363</v>
      </c>
      <c r="Q18" s="63">
        <f t="shared" si="4"/>
        <v>21055710.640767679</v>
      </c>
      <c r="R18" s="63">
        <f t="shared" si="4"/>
        <v>1114326.6872367901</v>
      </c>
      <c r="S18" s="63">
        <f t="shared" si="4"/>
        <v>1348854.2126014712</v>
      </c>
      <c r="T18" s="63">
        <f t="shared" si="4"/>
        <v>3279009.110330449</v>
      </c>
      <c r="U18" s="63">
        <f t="shared" si="4"/>
        <v>0</v>
      </c>
      <c r="V18" s="63">
        <f t="shared" si="4"/>
        <v>0</v>
      </c>
      <c r="W18" s="63">
        <f t="shared" si="4"/>
        <v>0</v>
      </c>
      <c r="X18" s="63">
        <f t="shared" si="4"/>
        <v>0</v>
      </c>
      <c r="Y18" s="63">
        <f t="shared" si="4"/>
        <v>0</v>
      </c>
      <c r="AO18" s="63"/>
      <c r="AP18" s="63"/>
    </row>
    <row r="19" spans="4:42">
      <c r="J19" t="s">
        <v>131</v>
      </c>
      <c r="K19" s="63">
        <f t="shared" si="4"/>
        <v>77631109.962583616</v>
      </c>
      <c r="L19" s="63">
        <f t="shared" si="4"/>
        <v>140879848.19803503</v>
      </c>
      <c r="M19" s="63">
        <f t="shared" si="4"/>
        <v>359231425.78544521</v>
      </c>
      <c r="N19" s="63">
        <f t="shared" si="4"/>
        <v>212351709.36425263</v>
      </c>
      <c r="O19" s="63">
        <f t="shared" si="4"/>
        <v>250707046.91258496</v>
      </c>
      <c r="P19" s="63">
        <f t="shared" si="4"/>
        <v>13792625.472932437</v>
      </c>
      <c r="Q19" s="63">
        <f t="shared" si="4"/>
        <v>246045530.90678465</v>
      </c>
      <c r="R19" s="63">
        <f t="shared" si="4"/>
        <v>9597779.1154367439</v>
      </c>
      <c r="S19" s="63">
        <f t="shared" si="4"/>
        <v>13700637.606992003</v>
      </c>
      <c r="T19" s="63">
        <f t="shared" si="4"/>
        <v>33392419.813259706</v>
      </c>
      <c r="U19" s="63">
        <f t="shared" si="4"/>
        <v>0</v>
      </c>
      <c r="V19" s="63">
        <f t="shared" si="4"/>
        <v>0</v>
      </c>
      <c r="W19" s="63">
        <f t="shared" si="4"/>
        <v>0</v>
      </c>
      <c r="X19" s="63">
        <f t="shared" si="4"/>
        <v>0</v>
      </c>
      <c r="Y19" s="63">
        <f t="shared" si="4"/>
        <v>0</v>
      </c>
      <c r="AO19" s="37"/>
      <c r="AP19" s="37"/>
    </row>
    <row r="20" spans="4:42">
      <c r="K20" s="37">
        <f>SUM(K18:T18)</f>
        <v>113391816.49692297</v>
      </c>
    </row>
    <row r="21" spans="4:42">
      <c r="K21" s="37">
        <f>SUM(K19:T19)</f>
        <v>1357330133.1383071</v>
      </c>
    </row>
    <row r="22" spans="4:42" ht="30.75" thickBot="1">
      <c r="D22" s="45" t="s">
        <v>171</v>
      </c>
      <c r="E22" s="45"/>
      <c r="F22" s="45" t="s">
        <v>168</v>
      </c>
      <c r="G22" s="45" t="s">
        <v>169</v>
      </c>
      <c r="H22" s="45" t="s">
        <v>131</v>
      </c>
      <c r="J22" s="2" t="s">
        <v>172</v>
      </c>
    </row>
    <row r="23" spans="4:42" ht="14.25" customHeight="1">
      <c r="D23" s="65" t="s">
        <v>173</v>
      </c>
      <c r="F23" s="66">
        <v>0</v>
      </c>
      <c r="G23" s="66">
        <v>0.1</v>
      </c>
      <c r="H23" s="66">
        <v>0.25</v>
      </c>
      <c r="K23" s="67">
        <v>4.7200000000000002E-3</v>
      </c>
      <c r="L23" s="67">
        <v>4.1700000000000001E-3</v>
      </c>
      <c r="M23" s="67">
        <v>3.0500000000000002E-3</v>
      </c>
      <c r="N23" s="67">
        <v>5.2300000000000003E-3</v>
      </c>
      <c r="O23" s="67">
        <v>1.1900000000000001E-2</v>
      </c>
      <c r="P23" s="67">
        <v>2.4400000000000002E-2</v>
      </c>
      <c r="Q23" s="67">
        <v>1.46E-2</v>
      </c>
      <c r="R23" s="67">
        <v>7.5399999999999995E-2</v>
      </c>
      <c r="S23" s="67">
        <v>1.0699999999999999E-2</v>
      </c>
      <c r="T23" s="67">
        <v>9.6200000000000001E-3</v>
      </c>
      <c r="U23" s="67"/>
      <c r="V23" s="67"/>
      <c r="W23" s="67"/>
      <c r="X23" s="67"/>
      <c r="Y23" s="67"/>
      <c r="Z23" s="64"/>
      <c r="AA23" s="64"/>
      <c r="AB23" s="64"/>
      <c r="AC23" s="64"/>
      <c r="AD23" s="64"/>
    </row>
    <row r="24" spans="4:42">
      <c r="D24" s="65" t="s">
        <v>174</v>
      </c>
      <c r="F24" s="66">
        <v>0</v>
      </c>
      <c r="G24" s="66">
        <v>0.1</v>
      </c>
      <c r="H24" s="66">
        <v>0.3</v>
      </c>
      <c r="K24" s="67">
        <v>8.5899999999999995E-4</v>
      </c>
      <c r="L24" s="67">
        <v>2.1100000000000001E-2</v>
      </c>
      <c r="M24" s="67">
        <v>1.18E-2</v>
      </c>
      <c r="N24" s="67">
        <v>7.7299999999999999E-3</v>
      </c>
      <c r="O24" s="67">
        <v>3.3600000000000001E-3</v>
      </c>
      <c r="P24" s="67">
        <v>5.79E-2</v>
      </c>
      <c r="Q24" s="67">
        <v>2.16E-3</v>
      </c>
      <c r="R24" s="67">
        <v>2.5699999999999998E-3</v>
      </c>
      <c r="S24" s="67">
        <v>9.0700000000000003E-2</v>
      </c>
      <c r="T24" s="67">
        <v>7.3499999999999998E-3</v>
      </c>
      <c r="U24" s="67"/>
      <c r="V24" s="67"/>
      <c r="W24" s="67"/>
      <c r="X24" s="67"/>
      <c r="Y24" s="67"/>
      <c r="Z24" s="64"/>
      <c r="AA24" s="64"/>
      <c r="AB24" s="64"/>
      <c r="AC24" s="64"/>
      <c r="AD24" s="64"/>
    </row>
    <row r="25" spans="4:42">
      <c r="D25" s="65" t="s">
        <v>175</v>
      </c>
      <c r="F25" s="66">
        <v>0</v>
      </c>
      <c r="G25" s="66">
        <v>0.04</v>
      </c>
      <c r="H25" s="66">
        <v>0.5</v>
      </c>
      <c r="K25" s="67">
        <v>0.224</v>
      </c>
      <c r="L25" s="67">
        <v>0.192</v>
      </c>
      <c r="M25" s="67">
        <v>0.14599999999999999</v>
      </c>
      <c r="N25" s="67">
        <v>0.13500000000000001</v>
      </c>
      <c r="O25" s="67">
        <v>0.20599999999999999</v>
      </c>
      <c r="P25" s="67">
        <v>0.23499999999999999</v>
      </c>
      <c r="Q25" s="67">
        <v>0.157</v>
      </c>
      <c r="R25" s="67">
        <v>0.161</v>
      </c>
      <c r="S25" s="67">
        <v>3.78E-2</v>
      </c>
      <c r="T25" s="67">
        <v>7.3400000000000007E-2</v>
      </c>
      <c r="U25" s="67"/>
      <c r="V25" s="67"/>
      <c r="W25" s="67"/>
      <c r="X25" s="67"/>
      <c r="Y25" s="67"/>
      <c r="Z25" s="64"/>
      <c r="AA25" s="64"/>
      <c r="AB25" s="64"/>
      <c r="AC25" s="64"/>
      <c r="AD25" s="64"/>
    </row>
    <row r="26" spans="4:42">
      <c r="D26" s="65" t="s">
        <v>176</v>
      </c>
      <c r="F26" s="66">
        <v>0</v>
      </c>
      <c r="G26" s="66">
        <v>0</v>
      </c>
      <c r="H26" s="66">
        <v>0</v>
      </c>
      <c r="K26" s="67">
        <v>8.2400000000000008E-3</v>
      </c>
      <c r="L26" s="67">
        <v>2.06E-2</v>
      </c>
      <c r="M26" s="67">
        <v>2.2499999999999999E-2</v>
      </c>
      <c r="N26" s="67">
        <v>1.9400000000000001E-2</v>
      </c>
      <c r="O26" s="67">
        <v>2.1299999999999999E-2</v>
      </c>
      <c r="P26" s="67">
        <v>2.2499999999999999E-2</v>
      </c>
      <c r="Q26" s="67">
        <v>1.9400000000000001E-2</v>
      </c>
      <c r="R26" s="67">
        <v>1.9099999999999999E-2</v>
      </c>
      <c r="S26" s="67">
        <v>3.61E-2</v>
      </c>
      <c r="T26" s="67">
        <v>3.8699999999999998E-2</v>
      </c>
      <c r="U26" s="67"/>
      <c r="V26" s="67"/>
      <c r="W26" s="67"/>
      <c r="X26" s="67"/>
      <c r="Y26" s="67"/>
      <c r="Z26" s="64"/>
      <c r="AA26" s="64"/>
      <c r="AB26" s="64"/>
      <c r="AC26" s="64"/>
      <c r="AD26" s="64"/>
    </row>
    <row r="27" spans="4:42" ht="30">
      <c r="D27" s="65" t="s">
        <v>177</v>
      </c>
      <c r="F27" s="66">
        <v>0</v>
      </c>
      <c r="G27" s="66">
        <v>0.1</v>
      </c>
      <c r="H27" s="66">
        <v>0.15</v>
      </c>
      <c r="K27" s="67">
        <v>0.19700000000000001</v>
      </c>
      <c r="L27" s="67">
        <v>0.161</v>
      </c>
      <c r="M27" s="67">
        <v>0.14499999999999999</v>
      </c>
      <c r="N27" s="67">
        <v>0.124</v>
      </c>
      <c r="O27" s="67">
        <v>0.17599999999999999</v>
      </c>
      <c r="P27" s="67">
        <v>0.151</v>
      </c>
      <c r="Q27" s="67">
        <v>0.16600000000000001</v>
      </c>
      <c r="R27" s="67">
        <v>0.18099999999999999</v>
      </c>
      <c r="S27" s="67">
        <v>0.14199999999999999</v>
      </c>
      <c r="T27" s="67">
        <v>0.20300000000000001</v>
      </c>
      <c r="U27" s="67"/>
      <c r="V27" s="67"/>
      <c r="W27" s="67"/>
      <c r="X27" s="67"/>
      <c r="Y27" s="67"/>
      <c r="Z27" s="64"/>
      <c r="AA27" s="64"/>
      <c r="AB27" s="64"/>
      <c r="AC27" s="64"/>
      <c r="AD27" s="64"/>
    </row>
    <row r="28" spans="4:42">
      <c r="D28" s="65" t="s">
        <v>178</v>
      </c>
      <c r="F28" s="66">
        <v>0</v>
      </c>
      <c r="G28" s="66">
        <v>0</v>
      </c>
      <c r="H28" s="66">
        <v>0.5</v>
      </c>
      <c r="K28" s="67">
        <v>0.114</v>
      </c>
      <c r="L28" s="67">
        <v>0.11899999999999999</v>
      </c>
      <c r="M28" s="67">
        <v>9.8599999999999993E-2</v>
      </c>
      <c r="N28" s="67">
        <v>0.107</v>
      </c>
      <c r="O28" s="67">
        <v>0.14799999999999999</v>
      </c>
      <c r="P28" s="67">
        <v>0.154</v>
      </c>
      <c r="Q28" s="67">
        <v>0.112</v>
      </c>
      <c r="R28" s="67">
        <v>8.3699999999999997E-2</v>
      </c>
      <c r="S28" s="67">
        <v>0.14499999999999999</v>
      </c>
      <c r="T28" s="67">
        <v>0.123</v>
      </c>
      <c r="U28" s="67"/>
      <c r="V28" s="67"/>
      <c r="W28" s="67"/>
      <c r="X28" s="67"/>
      <c r="Y28" s="67"/>
      <c r="Z28" s="64"/>
      <c r="AA28" s="64"/>
      <c r="AB28" s="64"/>
      <c r="AC28" s="64"/>
      <c r="AD28" s="64"/>
    </row>
    <row r="29" spans="4:42">
      <c r="D29" s="65" t="s">
        <v>179</v>
      </c>
      <c r="F29" s="66">
        <v>0</v>
      </c>
      <c r="G29" s="66">
        <v>0</v>
      </c>
      <c r="H29" s="66">
        <v>0.25</v>
      </c>
      <c r="K29" s="67">
        <v>0.23799999999999999</v>
      </c>
      <c r="L29" s="67">
        <v>0.247</v>
      </c>
      <c r="M29" s="67">
        <v>0.34699999999999998</v>
      </c>
      <c r="N29" s="67">
        <v>0.25600000000000001</v>
      </c>
      <c r="O29" s="67">
        <v>0.224</v>
      </c>
      <c r="P29" s="67">
        <v>0.15</v>
      </c>
      <c r="Q29" s="67">
        <v>0.34499999999999997</v>
      </c>
      <c r="R29" s="67">
        <v>0.27600000000000002</v>
      </c>
      <c r="S29" s="67">
        <v>0.252</v>
      </c>
      <c r="T29" s="67">
        <v>0.23699999999999999</v>
      </c>
      <c r="U29" s="67"/>
      <c r="V29" s="67"/>
      <c r="W29" s="67"/>
      <c r="X29" s="67"/>
      <c r="Y29" s="67"/>
      <c r="Z29" s="64"/>
      <c r="AA29" s="64"/>
      <c r="AB29" s="64"/>
      <c r="AC29" s="64"/>
      <c r="AD29" s="64"/>
    </row>
    <row r="30" spans="4:42" ht="30">
      <c r="D30" s="65" t="s">
        <v>180</v>
      </c>
      <c r="F30" s="66">
        <v>0</v>
      </c>
      <c r="G30" s="66">
        <v>0</v>
      </c>
      <c r="H30" s="66">
        <v>0.2</v>
      </c>
      <c r="K30" s="67">
        <v>0.21299999999999999</v>
      </c>
      <c r="L30" s="67">
        <v>0.23599999999999999</v>
      </c>
      <c r="M30" s="67">
        <v>0.22600000000000001</v>
      </c>
      <c r="N30" s="67">
        <v>0.34499999999999997</v>
      </c>
      <c r="O30" s="67">
        <v>0.20899999999999999</v>
      </c>
      <c r="P30" s="67">
        <v>0.186</v>
      </c>
      <c r="Q30" s="67">
        <v>0.185</v>
      </c>
      <c r="R30" s="67">
        <v>0.20200000000000001</v>
      </c>
      <c r="S30" s="67">
        <v>0.28499999999999998</v>
      </c>
      <c r="T30" s="67">
        <v>0.307</v>
      </c>
      <c r="U30" s="67"/>
      <c r="V30" s="67"/>
      <c r="W30" s="67"/>
      <c r="X30" s="67"/>
      <c r="Y30" s="67"/>
      <c r="Z30" s="64"/>
      <c r="AA30" s="64"/>
      <c r="AB30" s="64"/>
      <c r="AC30" s="64"/>
      <c r="AD30" s="6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491FC-DEDF-4202-A04A-1970F0BB6110}">
  <dimension ref="A1:AX112"/>
  <sheetViews>
    <sheetView topLeftCell="A70" zoomScale="90" zoomScaleNormal="90" workbookViewId="0">
      <selection activeCell="D111" sqref="D111:AG111"/>
    </sheetView>
  </sheetViews>
  <sheetFormatPr defaultRowHeight="15"/>
  <cols>
    <col min="3" max="3" width="55" bestFit="1" customWidth="1"/>
    <col min="4" max="4" width="17.85546875" customWidth="1"/>
    <col min="5" max="6" width="17.140625" bestFit="1" customWidth="1"/>
    <col min="7" max="7" width="12.42578125" bestFit="1" customWidth="1"/>
    <col min="8" max="8" width="12.42578125" customWidth="1"/>
    <col min="9" max="43" width="12.42578125" bestFit="1" customWidth="1"/>
  </cols>
  <sheetData>
    <row r="1" spans="1:50" s="40" customFormat="1" ht="45" customHeight="1">
      <c r="A1" s="39" t="s">
        <v>181</v>
      </c>
    </row>
    <row r="4" spans="1:50">
      <c r="B4" s="41" t="s">
        <v>182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</row>
    <row r="6" spans="1:50" ht="15.75" thickBot="1">
      <c r="C6" s="44"/>
      <c r="D6" s="44" t="s">
        <v>183</v>
      </c>
      <c r="E6" s="44" t="s">
        <v>184</v>
      </c>
      <c r="F6" s="44" t="s">
        <v>185</v>
      </c>
    </row>
    <row r="7" spans="1:50">
      <c r="C7" t="s">
        <v>186</v>
      </c>
      <c r="D7" s="68">
        <v>120</v>
      </c>
      <c r="E7" s="68">
        <v>60</v>
      </c>
      <c r="F7" s="68">
        <v>10</v>
      </c>
      <c r="H7" s="43" t="s">
        <v>187</v>
      </c>
    </row>
    <row r="9" spans="1:50" ht="15.75" thickBot="1">
      <c r="C9" s="44" t="s">
        <v>188</v>
      </c>
      <c r="D9" s="44" t="s">
        <v>189</v>
      </c>
      <c r="E9" s="44" t="s">
        <v>190</v>
      </c>
      <c r="F9" s="44" t="s">
        <v>191</v>
      </c>
    </row>
    <row r="10" spans="1:50">
      <c r="C10" t="str">
        <f>'Household values'!D54</f>
        <v>Nelson Mandela Metropolitan Municipality</v>
      </c>
      <c r="D10" s="37">
        <f>'Household values'!$F54*SUM('Drought type and outputs'!$D$7:$E$7)+ 'Household values'!$G54*'Drought type and outputs'!$F$7</f>
        <v>254280917.08147618</v>
      </c>
      <c r="E10" s="37">
        <f>INDEX('Business values'!$K$17:$Y$17, MATCH('Drought type and outputs'!$C10, 'Business values'!$K$7:$Y$7, 0))*$D$7+
INDEX('Business values'!$K$18:$Y$18, MATCH('Drought type and outputs'!$C10, 'Business values'!$K$7:$Y$7, 0))*$E$7+
INDEX('Business values'!$K$19:$Y$19, MATCH('Drought type and outputs'!$C10, 'Business values'!$K$7:$Y$7, 0))*$F$7</f>
        <v>1226819612.4403148</v>
      </c>
      <c r="F10" s="37">
        <f>(INDEX('Business values'!$K$9:$Y$9, MATCH('Drought type and outputs'!$C10, 'Business values'!$K$7:$Y$7, 0))*INDEX('Business values'!$K$12:$Y$12, MATCH('Drought type and outputs'!$C10, 'Business values'!$K$7:$Y$7, 0))*$D$7+
INDEX('Business values'!$K$9:$Y$9, MATCH('Drought type and outputs'!$C10, 'Business values'!$K$7:$Y$7, 0))*INDEX('Business values'!$K$13:$Y$13, MATCH('Drought type and outputs'!$C10, 'Business values'!$K$7:$Y$7, 0))*$E$7+
INDEX('Business values'!$K$9:$Y$9, MATCH('Drought type and outputs'!$C10, 'Business values'!$K$7:$Y$7, 0))*INDEX('Business values'!$K$14:$Y$14, MATCH('Drought type and outputs'!$C10, 'Business values'!$K$7:$Y$7, 0))*$F$7)/365</f>
        <v>1226819612.4403145</v>
      </c>
    </row>
    <row r="11" spans="1:50">
      <c r="C11" t="str">
        <f>'Household values'!D55</f>
        <v>City of Ekurhuleni</v>
      </c>
      <c r="D11" s="37">
        <f>'Household values'!$F55*SUM('Drought type and outputs'!$D$7:$E$7)+ 'Household values'!$G55*'Drought type and outputs'!$F$7</f>
        <v>2932748522.1203542</v>
      </c>
      <c r="E11" s="37">
        <f>INDEX('Business values'!$K$17:$Y$17, MATCH('Drought type and outputs'!$C11, 'Business values'!$K$7:$Y$7, 0))*$D$7+
INDEX('Business values'!$K$18:$Y$18, MATCH('Drought type and outputs'!$C11, 'Business values'!$K$7:$Y$7, 0))*$E$7+
INDEX('Business values'!$K$19:$Y$19, MATCH('Drought type and outputs'!$C11, 'Business values'!$K$7:$Y$7, 0))*$F$7</f>
        <v>2160110073.4043593</v>
      </c>
      <c r="F11" s="37">
        <f>(INDEX('Business values'!$K$9:$Y$9, MATCH('Drought type and outputs'!$C11, 'Business values'!$K$7:$Y$7, 0))*INDEX('Business values'!$K$12:$Y$12, MATCH('Drought type and outputs'!$C11, 'Business values'!$K$7:$Y$7, 0))*$D$7+
INDEX('Business values'!$K$9:$Y$9, MATCH('Drought type and outputs'!$C11, 'Business values'!$K$7:$Y$7, 0))*INDEX('Business values'!$K$13:$Y$13, MATCH('Drought type and outputs'!$C11, 'Business values'!$K$7:$Y$7, 0))*$E$7+
INDEX('Business values'!$K$9:$Y$9, MATCH('Drought type and outputs'!$C11, 'Business values'!$K$7:$Y$7, 0))*INDEX('Business values'!$K$14:$Y$14, MATCH('Drought type and outputs'!$C11, 'Business values'!$K$7:$Y$7, 0))*$F$7)/365</f>
        <v>2160110073.4043589</v>
      </c>
    </row>
    <row r="12" spans="1:50">
      <c r="C12" t="str">
        <f>'Household values'!D56</f>
        <v>City of Johannesburg Metropolitan Municipality</v>
      </c>
      <c r="D12" s="37">
        <f>'Household values'!$F56*SUM('Drought type and outputs'!$D$7:$E$7)+ 'Household values'!$G56*'Drought type and outputs'!$F$7</f>
        <v>4009635475.5021219</v>
      </c>
      <c r="E12" s="37">
        <f>INDEX('Business values'!$K$17:$Y$17, MATCH('Drought type and outputs'!$C12, 'Business values'!$K$7:$Y$7, 0))*$D$7+
INDEX('Business values'!$K$18:$Y$18, MATCH('Drought type and outputs'!$C12, 'Business values'!$K$7:$Y$7, 0))*$E$7+
INDEX('Business values'!$K$19:$Y$19, MATCH('Drought type and outputs'!$C12, 'Business values'!$K$7:$Y$7, 0))*$F$7</f>
        <v>5270549564.5892849</v>
      </c>
      <c r="F12" s="37">
        <f>(INDEX('Business values'!$K$9:$Y$9, MATCH('Drought type and outputs'!$C12, 'Business values'!$K$7:$Y$7, 0))*INDEX('Business values'!$K$12:$Y$12, MATCH('Drought type and outputs'!$C12, 'Business values'!$K$7:$Y$7, 0))*$D$7+
INDEX('Business values'!$K$9:$Y$9, MATCH('Drought type and outputs'!$C12, 'Business values'!$K$7:$Y$7, 0))*INDEX('Business values'!$K$13:$Y$13, MATCH('Drought type and outputs'!$C12, 'Business values'!$K$7:$Y$7, 0))*$E$7+
INDEX('Business values'!$K$9:$Y$9, MATCH('Drought type and outputs'!$C12, 'Business values'!$K$7:$Y$7, 0))*INDEX('Business values'!$K$14:$Y$14, MATCH('Drought type and outputs'!$C12, 'Business values'!$K$7:$Y$7, 0))*$F$7)/365</f>
        <v>5270549564.5892849</v>
      </c>
    </row>
    <row r="13" spans="1:50">
      <c r="C13" t="str">
        <f>'Household values'!D57</f>
        <v>City of Tshwane Metropolitan Municipality</v>
      </c>
      <c r="D13" s="37">
        <f>'Household values'!$F57*SUM('Drought type and outputs'!$D$7:$E$7)+ 'Household values'!$G57*'Drought type and outputs'!$F$7</f>
        <v>2714860659.6887727</v>
      </c>
      <c r="E13" s="37">
        <f>INDEX('Business values'!$K$17:$Y$17, MATCH('Drought type and outputs'!$C13, 'Business values'!$K$7:$Y$7, 0))*$D$7+
INDEX('Business values'!$K$18:$Y$18, MATCH('Drought type and outputs'!$C13, 'Business values'!$K$7:$Y$7, 0))*$E$7+
INDEX('Business values'!$K$19:$Y$19, MATCH('Drought type and outputs'!$C13, 'Business values'!$K$7:$Y$7, 0))*$F$7</f>
        <v>3004330826.2901402</v>
      </c>
      <c r="F13" s="37">
        <f>(INDEX('Business values'!$K$9:$Y$9, MATCH('Drought type and outputs'!$C13, 'Business values'!$K$7:$Y$7, 0))*INDEX('Business values'!$K$12:$Y$12, MATCH('Drought type and outputs'!$C13, 'Business values'!$K$7:$Y$7, 0))*$D$7+
INDEX('Business values'!$K$9:$Y$9, MATCH('Drought type and outputs'!$C13, 'Business values'!$K$7:$Y$7, 0))*INDEX('Business values'!$K$13:$Y$13, MATCH('Drought type and outputs'!$C13, 'Business values'!$K$7:$Y$7, 0))*$E$7+
INDEX('Business values'!$K$9:$Y$9, MATCH('Drought type and outputs'!$C13, 'Business values'!$K$7:$Y$7, 0))*INDEX('Business values'!$K$14:$Y$14, MATCH('Drought type and outputs'!$C13, 'Business values'!$K$7:$Y$7, 0))*$F$7)/365</f>
        <v>3004330826.2901402</v>
      </c>
    </row>
    <row r="14" spans="1:50">
      <c r="C14" t="str">
        <f>'Household values'!D58</f>
        <v>eThekwini Metropolitan Municipality</v>
      </c>
      <c r="D14" s="37">
        <f>'Household values'!$F58*SUM('Drought type and outputs'!$D$7:$E$7)+ 'Household values'!$G58*'Drought type and outputs'!$F$7</f>
        <v>1020286556.6515244</v>
      </c>
      <c r="E14" s="37">
        <f>INDEX('Business values'!$K$17:$Y$17, MATCH('Drought type and outputs'!$C14, 'Business values'!$K$7:$Y$7, 0))*$D$7+
INDEX('Business values'!$K$18:$Y$18, MATCH('Drought type and outputs'!$C14, 'Business values'!$K$7:$Y$7, 0))*$E$7+
INDEX('Business values'!$K$19:$Y$19, MATCH('Drought type and outputs'!$C14, 'Business values'!$K$7:$Y$7, 0))*$F$7</f>
        <v>3855936371.7108169</v>
      </c>
      <c r="F14" s="37">
        <f>(INDEX('Business values'!$K$9:$Y$9, MATCH('Drought type and outputs'!$C14, 'Business values'!$K$7:$Y$7, 0))*INDEX('Business values'!$K$12:$Y$12, MATCH('Drought type and outputs'!$C14, 'Business values'!$K$7:$Y$7, 0))*$D$7+
INDEX('Business values'!$K$9:$Y$9, MATCH('Drought type and outputs'!$C14, 'Business values'!$K$7:$Y$7, 0))*INDEX('Business values'!$K$13:$Y$13, MATCH('Drought type and outputs'!$C14, 'Business values'!$K$7:$Y$7, 0))*$E$7+
INDEX('Business values'!$K$9:$Y$9, MATCH('Drought type and outputs'!$C14, 'Business values'!$K$7:$Y$7, 0))*INDEX('Business values'!$K$14:$Y$14, MATCH('Drought type and outputs'!$C14, 'Business values'!$K$7:$Y$7, 0))*$F$7)/365</f>
        <v>3855936371.7108173</v>
      </c>
    </row>
    <row r="15" spans="1:50">
      <c r="C15" t="str">
        <f>'Household values'!D59</f>
        <v>Indicative Project A</v>
      </c>
      <c r="D15" s="37">
        <f>'Household values'!$F59*SUM('Drought type and outputs'!$D$7:$E$7)+ 'Household values'!$G59*'Drought type and outputs'!$F$7</f>
        <v>314409804.82013935</v>
      </c>
      <c r="E15" s="37" t="e">
        <f>INDEX('Business values'!$K$17:$Y$17, MATCH('Drought type and outputs'!$C15, 'Business values'!$K$7:$Y$7, 0))*$D$7+
INDEX('Business values'!$K$18:$Y$18, MATCH('Drought type and outputs'!$C15, 'Business values'!$K$7:$Y$7, 0))*$E$7+
INDEX('Business values'!$K$19:$Y$19, MATCH('Drought type and outputs'!$C15, 'Business values'!$K$7:$Y$7, 0))*$F$7</f>
        <v>#N/A</v>
      </c>
      <c r="F15" s="37" t="e">
        <f>(INDEX('Business values'!$K$9:$Y$9, MATCH('Drought type and outputs'!$C15, 'Business values'!$K$7:$Y$7, 0))*INDEX('Business values'!$K$12:$Y$12, MATCH('Drought type and outputs'!$C15, 'Business values'!$K$7:$Y$7, 0))*$D$7+
INDEX('Business values'!$K$9:$Y$9, MATCH('Drought type and outputs'!$C15, 'Business values'!$K$7:$Y$7, 0))*INDEX('Business values'!$K$13:$Y$13, MATCH('Drought type and outputs'!$C15, 'Business values'!$K$7:$Y$7, 0))*$E$7+
INDEX('Business values'!$K$9:$Y$9, MATCH('Drought type and outputs'!$C15, 'Business values'!$K$7:$Y$7, 0))*INDEX('Business values'!$K$14:$Y$14, MATCH('Drought type and outputs'!$C15, 'Business values'!$K$7:$Y$7, 0))*$F$7)/365</f>
        <v>#N/A</v>
      </c>
    </row>
    <row r="16" spans="1:50">
      <c r="C16" t="str">
        <f>'Household values'!D60</f>
        <v>City of Cape Town Metrolpolitan Municipality</v>
      </c>
      <c r="D16" s="37">
        <f>'Household values'!$F60*SUM('Drought type and outputs'!$D$7:$E$7)+ 'Household values'!$G60*'Drought type and outputs'!$F$7</f>
        <v>3719794737.7920156</v>
      </c>
      <c r="E16" s="37">
        <f>INDEX('Business values'!$K$17:$Y$17, MATCH('Drought type and outputs'!$C16, 'Business values'!$K$7:$Y$7, 0))*$D$7+
INDEX('Business values'!$K$18:$Y$18, MATCH('Drought type and outputs'!$C16, 'Business values'!$K$7:$Y$7, 0))*$E$7+
INDEX('Business values'!$K$19:$Y$19, MATCH('Drought type and outputs'!$C16, 'Business values'!$K$7:$Y$7, 0))*$F$7</f>
        <v>3723797947.513907</v>
      </c>
      <c r="F16" s="37">
        <f>(INDEX('Business values'!$K$9:$Y$9, MATCH('Drought type and outputs'!$C16, 'Business values'!$K$7:$Y$7, 0))*INDEX('Business values'!$K$12:$Y$12, MATCH('Drought type and outputs'!$C16, 'Business values'!$K$7:$Y$7, 0))*$D$7+
INDEX('Business values'!$K$9:$Y$9, MATCH('Drought type and outputs'!$C16, 'Business values'!$K$7:$Y$7, 0))*INDEX('Business values'!$K$13:$Y$13, MATCH('Drought type and outputs'!$C16, 'Business values'!$K$7:$Y$7, 0))*$E$7+
INDEX('Business values'!$K$9:$Y$9, MATCH('Drought type and outputs'!$C16, 'Business values'!$K$7:$Y$7, 0))*INDEX('Business values'!$K$14:$Y$14, MATCH('Drought type and outputs'!$C16, 'Business values'!$K$7:$Y$7, 0))*$F$7)/365</f>
        <v>3723797947.5139074</v>
      </c>
    </row>
    <row r="17" spans="2:50">
      <c r="C17" t="str">
        <f>'Household values'!D61</f>
        <v>Drakenstein Local Municipality</v>
      </c>
      <c r="D17" s="37">
        <f>'Household values'!$F61*SUM('Drought type and outputs'!$D$7:$E$7)+ 'Household values'!$G61*'Drought type and outputs'!$F$7</f>
        <v>188682159.74743122</v>
      </c>
      <c r="E17" s="37">
        <f>INDEX('Business values'!$K$17:$Y$17, MATCH('Drought type and outputs'!$C17, 'Business values'!$K$7:$Y$7, 0))*$D$7+
INDEX('Business values'!$K$18:$Y$18, MATCH('Drought type and outputs'!$C17, 'Business values'!$K$7:$Y$7, 0))*$E$7+
INDEX('Business values'!$K$19:$Y$19, MATCH('Drought type and outputs'!$C17, 'Business values'!$K$7:$Y$7, 0))*$F$7</f>
        <v>162837392.38857484</v>
      </c>
      <c r="F17" s="37">
        <f>(INDEX('Business values'!$K$9:$Y$9, MATCH('Drought type and outputs'!$C17, 'Business values'!$K$7:$Y$7, 0))*INDEX('Business values'!$K$12:$Y$12, MATCH('Drought type and outputs'!$C17, 'Business values'!$K$7:$Y$7, 0))*$D$7+
INDEX('Business values'!$K$9:$Y$9, MATCH('Drought type and outputs'!$C17, 'Business values'!$K$7:$Y$7, 0))*INDEX('Business values'!$K$13:$Y$13, MATCH('Drought type and outputs'!$C17, 'Business values'!$K$7:$Y$7, 0))*$E$7+
INDEX('Business values'!$K$9:$Y$9, MATCH('Drought type and outputs'!$C17, 'Business values'!$K$7:$Y$7, 0))*INDEX('Business values'!$K$14:$Y$14, MATCH('Drought type and outputs'!$C17, 'Business values'!$K$7:$Y$7, 0))*$F$7)/365</f>
        <v>162837392.38857484</v>
      </c>
    </row>
    <row r="18" spans="2:50">
      <c r="C18" t="str">
        <f>'Household values'!D62</f>
        <v>Indicative Project B</v>
      </c>
      <c r="D18" s="37">
        <f>'Household values'!$F62*SUM('Drought type and outputs'!$D$7:$E$7)+ 'Household values'!$G62*'Drought type and outputs'!$F$7</f>
        <v>204091320.88219327</v>
      </c>
      <c r="E18" s="37" t="e">
        <f>INDEX('Business values'!$K$17:$Y$17, MATCH('Drought type and outputs'!$C18, 'Business values'!$K$7:$Y$7, 0))*$D$7+
INDEX('Business values'!$K$18:$Y$18, MATCH('Drought type and outputs'!$C18, 'Business values'!$K$7:$Y$7, 0))*$E$7+
INDEX('Business values'!$K$19:$Y$19, MATCH('Drought type and outputs'!$C18, 'Business values'!$K$7:$Y$7, 0))*$F$7</f>
        <v>#N/A</v>
      </c>
      <c r="F18" s="37" t="e">
        <f>(INDEX('Business values'!$K$9:$Y$9, MATCH('Drought type and outputs'!$C18, 'Business values'!$K$7:$Y$7, 0))*INDEX('Business values'!$K$12:$Y$12, MATCH('Drought type and outputs'!$C18, 'Business values'!$K$7:$Y$7, 0))*$D$7+
INDEX('Business values'!$K$9:$Y$9, MATCH('Drought type and outputs'!$C18, 'Business values'!$K$7:$Y$7, 0))*INDEX('Business values'!$K$13:$Y$13, MATCH('Drought type and outputs'!$C18, 'Business values'!$K$7:$Y$7, 0))*$E$7+
INDEX('Business values'!$K$9:$Y$9, MATCH('Drought type and outputs'!$C18, 'Business values'!$K$7:$Y$7, 0))*INDEX('Business values'!$K$14:$Y$14, MATCH('Drought type and outputs'!$C18, 'Business values'!$K$7:$Y$7, 0))*$F$7)/365</f>
        <v>#N/A</v>
      </c>
    </row>
    <row r="19" spans="2:50">
      <c r="C19" t="str">
        <f>'Household values'!D63</f>
        <v>Mangaung Metropolitan Municipality</v>
      </c>
      <c r="D19" s="37">
        <f>'Household values'!$F63*SUM('Drought type and outputs'!$D$7:$E$7)+ 'Household values'!$G63*'Drought type and outputs'!$F$7</f>
        <v>844332471.69832087</v>
      </c>
      <c r="E19" s="37">
        <f>INDEX('Business values'!$K$17:$Y$17, MATCH('Drought type and outputs'!$C19, 'Business values'!$K$7:$Y$7, 0))*$D$7+
INDEX('Business values'!$K$18:$Y$18, MATCH('Drought type and outputs'!$C19, 'Business values'!$K$7:$Y$7, 0))*$E$7+
INDEX('Business values'!$K$19:$Y$19, MATCH('Drought type and outputs'!$C19, 'Business values'!$K$7:$Y$7, 0))*$F$7</f>
        <v>530664744.752424</v>
      </c>
      <c r="F19" s="37">
        <f>(INDEX('Business values'!$K$9:$Y$9, MATCH('Drought type and outputs'!$C19, 'Business values'!$K$7:$Y$7, 0))*INDEX('Business values'!$K$12:$Y$12, MATCH('Drought type and outputs'!$C19, 'Business values'!$K$7:$Y$7, 0))*$D$7+
INDEX('Business values'!$K$9:$Y$9, MATCH('Drought type and outputs'!$C19, 'Business values'!$K$7:$Y$7, 0))*INDEX('Business values'!$K$13:$Y$13, MATCH('Drought type and outputs'!$C19, 'Business values'!$K$7:$Y$7, 0))*$E$7+
INDEX('Business values'!$K$9:$Y$9, MATCH('Drought type and outputs'!$C19, 'Business values'!$K$7:$Y$7, 0))*INDEX('Business values'!$K$14:$Y$14, MATCH('Drought type and outputs'!$C19, 'Business values'!$K$7:$Y$7, 0))*$F$7)/365</f>
        <v>530664744.752424</v>
      </c>
    </row>
    <row r="20" spans="2:50">
      <c r="C20" t="str">
        <f>'Household values'!D64</f>
        <v>Municipality 11</v>
      </c>
      <c r="D20" s="37">
        <f>'Household values'!$F64*SUM('Drought type and outputs'!$D$7:$E$7)+ 'Household values'!$G64*'Drought type and outputs'!$F$7</f>
        <v>0</v>
      </c>
      <c r="E20" s="37">
        <f>INDEX('Business values'!$K$17:$Y$17, MATCH('Drought type and outputs'!$C20, 'Business values'!$K$7:$Y$7, 0))*$D$7+
INDEX('Business values'!$K$18:$Y$18, MATCH('Drought type and outputs'!$C20, 'Business values'!$K$7:$Y$7, 0))*$E$7+
INDEX('Business values'!$K$19:$Y$19, MATCH('Drought type and outputs'!$C20, 'Business values'!$K$7:$Y$7, 0))*$F$7</f>
        <v>0</v>
      </c>
      <c r="F20" s="37">
        <f>(INDEX('Business values'!$K$9:$Y$9, MATCH('Drought type and outputs'!$C20, 'Business values'!$K$7:$Y$7, 0))*INDEX('Business values'!$K$12:$Y$12, MATCH('Drought type and outputs'!$C20, 'Business values'!$K$7:$Y$7, 0))*$D$7+
INDEX('Business values'!$K$9:$Y$9, MATCH('Drought type and outputs'!$C20, 'Business values'!$K$7:$Y$7, 0))*INDEX('Business values'!$K$13:$Y$13, MATCH('Drought type and outputs'!$C20, 'Business values'!$K$7:$Y$7, 0))*$E$7+
INDEX('Business values'!$K$9:$Y$9, MATCH('Drought type and outputs'!$C20, 'Business values'!$K$7:$Y$7, 0))*INDEX('Business values'!$K$14:$Y$14, MATCH('Drought type and outputs'!$C20, 'Business values'!$K$7:$Y$7, 0))*$F$7)/365</f>
        <v>0</v>
      </c>
    </row>
    <row r="21" spans="2:50">
      <c r="C21" t="str">
        <f>'Household values'!D65</f>
        <v>Municipality 12</v>
      </c>
      <c r="D21" s="37">
        <f>'Household values'!$F65*SUM('Drought type and outputs'!$D$7:$E$7)+ 'Household values'!$G65*'Drought type and outputs'!$F$7</f>
        <v>0</v>
      </c>
      <c r="E21" s="37">
        <f>INDEX('Business values'!$K$17:$Y$17, MATCH('Drought type and outputs'!$C21, 'Business values'!$K$7:$Y$7, 0))*$D$7+
INDEX('Business values'!$K$18:$Y$18, MATCH('Drought type and outputs'!$C21, 'Business values'!$K$7:$Y$7, 0))*$E$7+
INDEX('Business values'!$K$19:$Y$19, MATCH('Drought type and outputs'!$C21, 'Business values'!$K$7:$Y$7, 0))*$F$7</f>
        <v>0</v>
      </c>
      <c r="F21" s="37">
        <f>(INDEX('Business values'!$K$9:$Y$9, MATCH('Drought type and outputs'!$C21, 'Business values'!$K$7:$Y$7, 0))*INDEX('Business values'!$K$12:$Y$12, MATCH('Drought type and outputs'!$C21, 'Business values'!$K$7:$Y$7, 0))*$D$7+
INDEX('Business values'!$K$9:$Y$9, MATCH('Drought type and outputs'!$C21, 'Business values'!$K$7:$Y$7, 0))*INDEX('Business values'!$K$13:$Y$13, MATCH('Drought type and outputs'!$C21, 'Business values'!$K$7:$Y$7, 0))*$E$7+
INDEX('Business values'!$K$9:$Y$9, MATCH('Drought type and outputs'!$C21, 'Business values'!$K$7:$Y$7, 0))*INDEX('Business values'!$K$14:$Y$14, MATCH('Drought type and outputs'!$C21, 'Business values'!$K$7:$Y$7, 0))*$F$7)/365</f>
        <v>0</v>
      </c>
    </row>
    <row r="22" spans="2:50">
      <c r="C22" t="str">
        <f>'Household values'!D66</f>
        <v>Municipality 13</v>
      </c>
      <c r="D22" s="37">
        <f>'Household values'!$F66*SUM('Drought type and outputs'!$D$7:$E$7)+ 'Household values'!$G66*'Drought type and outputs'!$F$7</f>
        <v>0</v>
      </c>
      <c r="E22" s="37">
        <f>INDEX('Business values'!$K$17:$Y$17, MATCH('Drought type and outputs'!$C22, 'Business values'!$K$7:$Y$7, 0))*$D$7+
INDEX('Business values'!$K$18:$Y$18, MATCH('Drought type and outputs'!$C22, 'Business values'!$K$7:$Y$7, 0))*$E$7+
INDEX('Business values'!$K$19:$Y$19, MATCH('Drought type and outputs'!$C22, 'Business values'!$K$7:$Y$7, 0))*$F$7</f>
        <v>0</v>
      </c>
      <c r="F22" s="37">
        <f>(INDEX('Business values'!$K$9:$Y$9, MATCH('Drought type and outputs'!$C22, 'Business values'!$K$7:$Y$7, 0))*INDEX('Business values'!$K$12:$Y$12, MATCH('Drought type and outputs'!$C22, 'Business values'!$K$7:$Y$7, 0))*$D$7+
INDEX('Business values'!$K$9:$Y$9, MATCH('Drought type and outputs'!$C22, 'Business values'!$K$7:$Y$7, 0))*INDEX('Business values'!$K$13:$Y$13, MATCH('Drought type and outputs'!$C22, 'Business values'!$K$7:$Y$7, 0))*$E$7+
INDEX('Business values'!$K$9:$Y$9, MATCH('Drought type and outputs'!$C22, 'Business values'!$K$7:$Y$7, 0))*INDEX('Business values'!$K$14:$Y$14, MATCH('Drought type and outputs'!$C22, 'Business values'!$K$7:$Y$7, 0))*$F$7)/365</f>
        <v>0</v>
      </c>
    </row>
    <row r="23" spans="2:50">
      <c r="C23" t="str">
        <f>'Household values'!D67</f>
        <v>Municipality 14</v>
      </c>
      <c r="D23" s="37">
        <f>'Household values'!$F67*SUM('Drought type and outputs'!$D$7:$E$7)+ 'Household values'!$G67*'Drought type and outputs'!$F$7</f>
        <v>0</v>
      </c>
      <c r="E23" s="37">
        <f>INDEX('Business values'!$K$17:$Y$17, MATCH('Drought type and outputs'!$C23, 'Business values'!$K$7:$Y$7, 0))*$D$7+
INDEX('Business values'!$K$18:$Y$18, MATCH('Drought type and outputs'!$C23, 'Business values'!$K$7:$Y$7, 0))*$E$7+
INDEX('Business values'!$K$19:$Y$19, MATCH('Drought type and outputs'!$C23, 'Business values'!$K$7:$Y$7, 0))*$F$7</f>
        <v>0</v>
      </c>
      <c r="F23" s="37">
        <f>(INDEX('Business values'!$K$9:$Y$9, MATCH('Drought type and outputs'!$C23, 'Business values'!$K$7:$Y$7, 0))*INDEX('Business values'!$K$12:$Y$12, MATCH('Drought type and outputs'!$C23, 'Business values'!$K$7:$Y$7, 0))*$D$7+
INDEX('Business values'!$K$9:$Y$9, MATCH('Drought type and outputs'!$C23, 'Business values'!$K$7:$Y$7, 0))*INDEX('Business values'!$K$13:$Y$13, MATCH('Drought type and outputs'!$C23, 'Business values'!$K$7:$Y$7, 0))*$E$7+
INDEX('Business values'!$K$9:$Y$9, MATCH('Drought type and outputs'!$C23, 'Business values'!$K$7:$Y$7, 0))*INDEX('Business values'!$K$14:$Y$14, MATCH('Drought type and outputs'!$C23, 'Business values'!$K$7:$Y$7, 0))*$F$7)/365</f>
        <v>0</v>
      </c>
    </row>
    <row r="24" spans="2:50" ht="15.75" thickBot="1">
      <c r="C24" s="48" t="str">
        <f>'Household values'!D68</f>
        <v>Municipality 15</v>
      </c>
      <c r="D24" s="69">
        <f>'Household values'!$F68*SUM('Drought type and outputs'!$D$7:$E$7)+ 'Household values'!$G68*'Drought type and outputs'!$F$7</f>
        <v>0</v>
      </c>
      <c r="E24" s="69">
        <f>INDEX('Business values'!$K$17:$Y$17, MATCH('Drought type and outputs'!$C24, 'Business values'!$K$7:$Y$7, 0))*$D$7+
INDEX('Business values'!$K$18:$Y$18, MATCH('Drought type and outputs'!$C24, 'Business values'!$K$7:$Y$7, 0))*$E$7+
INDEX('Business values'!$K$19:$Y$19, MATCH('Drought type and outputs'!$C24, 'Business values'!$K$7:$Y$7, 0))*$F$7</f>
        <v>0</v>
      </c>
      <c r="F24" s="69">
        <f>(INDEX('Business values'!$K$9:$Y$9, MATCH('Drought type and outputs'!$C24, 'Business values'!$K$7:$Y$7, 0))*INDEX('Business values'!$K$12:$Y$12, MATCH('Drought type and outputs'!$C24, 'Business values'!$K$7:$Y$7, 0))*$D$7+
INDEX('Business values'!$K$9:$Y$9, MATCH('Drought type and outputs'!$C24, 'Business values'!$K$7:$Y$7, 0))*INDEX('Business values'!$K$13:$Y$13, MATCH('Drought type and outputs'!$C24, 'Business values'!$K$7:$Y$7, 0))*$E$7+
INDEX('Business values'!$K$9:$Y$9, MATCH('Drought type and outputs'!$C24, 'Business values'!$K$7:$Y$7, 0))*INDEX('Business values'!$K$14:$Y$14, MATCH('Drought type and outputs'!$C24, 'Business values'!$K$7:$Y$7, 0))*$F$7)/365</f>
        <v>0</v>
      </c>
    </row>
    <row r="27" spans="2:50">
      <c r="B27" s="41" t="s">
        <v>192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</row>
    <row r="29" spans="2:50">
      <c r="C29" s="70"/>
      <c r="D29" s="70" t="s">
        <v>3</v>
      </c>
      <c r="E29" s="70">
        <v>2022</v>
      </c>
      <c r="F29" s="70">
        <v>2023</v>
      </c>
      <c r="G29" s="70">
        <v>2024</v>
      </c>
      <c r="H29" s="70">
        <v>2025</v>
      </c>
      <c r="I29" s="70">
        <v>2026</v>
      </c>
      <c r="J29" s="70">
        <v>2027</v>
      </c>
      <c r="K29" s="70">
        <v>2028</v>
      </c>
      <c r="L29" s="70">
        <v>2029</v>
      </c>
      <c r="M29" s="70">
        <v>2030</v>
      </c>
      <c r="N29" s="70">
        <v>2031</v>
      </c>
      <c r="O29" s="70">
        <v>2032</v>
      </c>
      <c r="P29" s="70">
        <v>2033</v>
      </c>
      <c r="Q29" s="70">
        <v>2034</v>
      </c>
      <c r="R29" s="70">
        <v>2035</v>
      </c>
      <c r="S29" s="70">
        <v>2036</v>
      </c>
      <c r="T29" s="70">
        <v>2037</v>
      </c>
      <c r="U29" s="70">
        <v>2038</v>
      </c>
      <c r="V29" s="70">
        <v>2039</v>
      </c>
      <c r="W29" s="70">
        <v>2040</v>
      </c>
      <c r="X29" s="70">
        <v>2041</v>
      </c>
      <c r="Y29" s="70">
        <v>2042</v>
      </c>
      <c r="Z29" s="70">
        <v>2043</v>
      </c>
      <c r="AA29" s="70">
        <v>2044</v>
      </c>
      <c r="AB29" s="70">
        <v>2045</v>
      </c>
      <c r="AC29" s="70">
        <v>2046</v>
      </c>
      <c r="AD29" s="70">
        <v>2047</v>
      </c>
      <c r="AE29" s="70">
        <v>2048</v>
      </c>
      <c r="AF29" s="70">
        <v>2049</v>
      </c>
      <c r="AG29" s="70">
        <v>2050</v>
      </c>
      <c r="AH29" s="70"/>
      <c r="AI29" s="70"/>
      <c r="AJ29" s="70"/>
      <c r="AK29" s="70"/>
      <c r="AL29" s="70"/>
      <c r="AM29" s="70"/>
      <c r="AN29" s="70"/>
      <c r="AO29" s="70"/>
      <c r="AP29" s="70"/>
      <c r="AQ29" s="70"/>
    </row>
    <row r="30" spans="2:50" ht="15.75" thickBot="1">
      <c r="C30" s="71" t="s">
        <v>193</v>
      </c>
      <c r="D30" s="71">
        <v>1</v>
      </c>
      <c r="E30" s="71">
        <f>D30+1</f>
        <v>2</v>
      </c>
      <c r="F30" s="71">
        <f t="shared" ref="F30:AQ30" si="0">E30+1</f>
        <v>3</v>
      </c>
      <c r="G30" s="71">
        <f t="shared" si="0"/>
        <v>4</v>
      </c>
      <c r="H30" s="71">
        <f t="shared" si="0"/>
        <v>5</v>
      </c>
      <c r="I30" s="71">
        <f t="shared" si="0"/>
        <v>6</v>
      </c>
      <c r="J30" s="71">
        <f t="shared" si="0"/>
        <v>7</v>
      </c>
      <c r="K30" s="71">
        <f t="shared" si="0"/>
        <v>8</v>
      </c>
      <c r="L30" s="71">
        <f t="shared" si="0"/>
        <v>9</v>
      </c>
      <c r="M30" s="71">
        <f t="shared" si="0"/>
        <v>10</v>
      </c>
      <c r="N30" s="71">
        <f t="shared" si="0"/>
        <v>11</v>
      </c>
      <c r="O30" s="71">
        <f t="shared" si="0"/>
        <v>12</v>
      </c>
      <c r="P30" s="71">
        <f t="shared" si="0"/>
        <v>13</v>
      </c>
      <c r="Q30" s="71">
        <f t="shared" si="0"/>
        <v>14</v>
      </c>
      <c r="R30" s="71">
        <f t="shared" si="0"/>
        <v>15</v>
      </c>
      <c r="S30" s="71">
        <f t="shared" si="0"/>
        <v>16</v>
      </c>
      <c r="T30" s="71">
        <f t="shared" si="0"/>
        <v>17</v>
      </c>
      <c r="U30" s="71">
        <f t="shared" si="0"/>
        <v>18</v>
      </c>
      <c r="V30" s="71">
        <f t="shared" si="0"/>
        <v>19</v>
      </c>
      <c r="W30" s="71">
        <f t="shared" si="0"/>
        <v>20</v>
      </c>
      <c r="X30" s="71">
        <f t="shared" si="0"/>
        <v>21</v>
      </c>
      <c r="Y30" s="71">
        <f t="shared" si="0"/>
        <v>22</v>
      </c>
      <c r="Z30" s="71">
        <f t="shared" si="0"/>
        <v>23</v>
      </c>
      <c r="AA30" s="71">
        <f t="shared" si="0"/>
        <v>24</v>
      </c>
      <c r="AB30" s="71">
        <f t="shared" si="0"/>
        <v>25</v>
      </c>
      <c r="AC30" s="71">
        <f t="shared" si="0"/>
        <v>26</v>
      </c>
      <c r="AD30" s="71">
        <f t="shared" si="0"/>
        <v>27</v>
      </c>
      <c r="AE30" s="71">
        <f t="shared" si="0"/>
        <v>28</v>
      </c>
      <c r="AF30" s="71">
        <f t="shared" si="0"/>
        <v>29</v>
      </c>
      <c r="AG30" s="71">
        <f t="shared" si="0"/>
        <v>30</v>
      </c>
      <c r="AH30" s="71">
        <f t="shared" si="0"/>
        <v>31</v>
      </c>
      <c r="AI30" s="71">
        <f t="shared" si="0"/>
        <v>32</v>
      </c>
      <c r="AJ30" s="71">
        <f t="shared" si="0"/>
        <v>33</v>
      </c>
      <c r="AK30" s="71">
        <f t="shared" si="0"/>
        <v>34</v>
      </c>
      <c r="AL30" s="71">
        <f t="shared" si="0"/>
        <v>35</v>
      </c>
      <c r="AM30" s="71">
        <f t="shared" si="0"/>
        <v>36</v>
      </c>
      <c r="AN30" s="71">
        <f t="shared" si="0"/>
        <v>37</v>
      </c>
      <c r="AO30" s="71">
        <f t="shared" si="0"/>
        <v>38</v>
      </c>
      <c r="AP30" s="71">
        <f t="shared" si="0"/>
        <v>39</v>
      </c>
      <c r="AQ30" s="71">
        <f t="shared" si="0"/>
        <v>40</v>
      </c>
    </row>
    <row r="31" spans="2:50">
      <c r="C31" t="str">
        <f>'Household values'!D54</f>
        <v>Nelson Mandela Metropolitan Municipality</v>
      </c>
      <c r="D31" s="72">
        <f>'Water Security Calculations'!H$9</f>
        <v>3.4643818976546892E-2</v>
      </c>
      <c r="E31" s="72">
        <f>'Water Security Calculations'!I$9</f>
        <v>4.7032397805080728E-2</v>
      </c>
      <c r="F31" s="72">
        <f>'Water Security Calculations'!J$9</f>
        <v>5.9261991910247391E-2</v>
      </c>
      <c r="G31" s="72">
        <f>'Water Security Calculations'!K$9</f>
        <v>7.1334641569839263E-2</v>
      </c>
      <c r="H31" s="72">
        <f>'Water Security Calculations'!L$9</f>
        <v>8.3252360878419696E-2</v>
      </c>
      <c r="I31" s="72">
        <f>'Water Security Calculations'!M$9</f>
        <v>9.5017138083336228E-2</v>
      </c>
      <c r="J31" s="72">
        <f>'Water Security Calculations'!N$9</f>
        <v>0.10663093591642259</v>
      </c>
      <c r="K31" s="72">
        <f>'Water Security Calculations'!O$9</f>
        <v>0.11809569192144365</v>
      </c>
      <c r="L31" s="72">
        <f>'Water Security Calculations'!P$9</f>
        <v>0.12941331877733819</v>
      </c>
      <c r="M31" s="72">
        <f>'Water Security Calculations'!Q$9</f>
        <v>0.14058570461731312</v>
      </c>
      <c r="N31" s="72">
        <f>'Water Security Calculations'!R$9</f>
        <v>0.15161471334384313</v>
      </c>
      <c r="O31" s="72">
        <f>'Water Security Calculations'!S$9</f>
        <v>0.16250218493962787</v>
      </c>
      <c r="P31" s="72">
        <f>'Water Security Calculations'!T$9</f>
        <v>0.17324993577455849</v>
      </c>
      <c r="Q31" s="72">
        <f>'Water Security Calculations'!U$9</f>
        <v>0.18385975890874473</v>
      </c>
      <c r="R31" s="72">
        <f>'Water Security Calculations'!V$9</f>
        <v>0.19433342439165313</v>
      </c>
      <c r="S31" s="72">
        <f>'Water Security Calculations'!W$9</f>
        <v>0.20467267955740687</v>
      </c>
      <c r="T31" s="72">
        <f>'Water Security Calculations'!X$9</f>
        <v>0.21487924931629498</v>
      </c>
      <c r="U31" s="72">
        <f>'Water Security Calculations'!Y$9</f>
        <v>0.22495483644254177</v>
      </c>
      <c r="V31" s="72">
        <f>'Water Security Calculations'!Z$9</f>
        <v>0.23490112185838274</v>
      </c>
      <c r="W31" s="72">
        <f>'Water Security Calculations'!AA$9</f>
        <v>0.24471976491449432</v>
      </c>
      <c r="X31" s="72">
        <f>'Water Security Calculations'!AB$9</f>
        <v>0.25441240366682549</v>
      </c>
      <c r="Y31" s="72">
        <f>'Water Security Calculations'!AC$9</f>
        <v>0.2639806551498769</v>
      </c>
      <c r="Z31" s="72">
        <f>'Water Security Calculations'!AD$9</f>
        <v>0.27342611564647268</v>
      </c>
      <c r="AA31" s="72">
        <f>'Water Security Calculations'!AE$9</f>
        <v>0.28275036095406969</v>
      </c>
      <c r="AB31" s="72">
        <f>'Water Security Calculations'!AF$9</f>
        <v>0.2919549466476502</v>
      </c>
      <c r="AC31" s="72">
        <f>'Water Security Calculations'!AG$9</f>
        <v>0.30104140833923998</v>
      </c>
      <c r="AD31" s="72">
        <f>'Water Security Calculations'!AH$9</f>
        <v>0.31001126193409667</v>
      </c>
      <c r="AE31" s="72">
        <f>'Water Security Calculations'!AI$9</f>
        <v>0.31886600388360975</v>
      </c>
      <c r="AF31" s="72">
        <f>'Water Security Calculations'!AJ$9</f>
        <v>0.32760711143495524</v>
      </c>
      <c r="AG31" s="72">
        <f>'Water Security Calculations'!AK$9</f>
        <v>0.33623604287754705</v>
      </c>
      <c r="AH31" s="72"/>
      <c r="AI31" s="72"/>
      <c r="AJ31" s="72"/>
      <c r="AK31" s="72"/>
      <c r="AL31" s="72"/>
      <c r="AM31" s="72"/>
      <c r="AN31" s="72"/>
      <c r="AO31" s="72"/>
      <c r="AP31" s="72"/>
      <c r="AQ31" s="72"/>
    </row>
    <row r="32" spans="2:50">
      <c r="C32" t="str">
        <f>'Household values'!D55</f>
        <v>City of Ekurhuleni</v>
      </c>
      <c r="D32" s="72">
        <f>'Water Security Calculations'!H$9</f>
        <v>3.4643818976546892E-2</v>
      </c>
      <c r="E32" s="72">
        <f>'Water Security Calculations'!I$9</f>
        <v>4.7032397805080728E-2</v>
      </c>
      <c r="F32" s="72">
        <f>'Water Security Calculations'!J$9</f>
        <v>5.9261991910247391E-2</v>
      </c>
      <c r="G32" s="72">
        <f>'Water Security Calculations'!K$9</f>
        <v>7.1334641569839263E-2</v>
      </c>
      <c r="H32" s="72">
        <f>'Water Security Calculations'!L$9</f>
        <v>8.3252360878419696E-2</v>
      </c>
      <c r="I32" s="72">
        <f>'Water Security Calculations'!M$9</f>
        <v>9.5017138083336228E-2</v>
      </c>
      <c r="J32" s="72">
        <f>'Water Security Calculations'!N$9</f>
        <v>0.10663093591642259</v>
      </c>
      <c r="K32" s="72">
        <f>'Water Security Calculations'!O$9</f>
        <v>0.11809569192144365</v>
      </c>
      <c r="L32" s="72">
        <f>'Water Security Calculations'!P$9</f>
        <v>0.12941331877733819</v>
      </c>
      <c r="M32" s="72">
        <f>'Water Security Calculations'!Q$9</f>
        <v>0.14058570461731312</v>
      </c>
      <c r="N32" s="72">
        <f>'Water Security Calculations'!R$9</f>
        <v>0.15161471334384313</v>
      </c>
      <c r="O32" s="72">
        <f>'Water Security Calculations'!S$9</f>
        <v>0.16250218493962787</v>
      </c>
      <c r="P32" s="72">
        <f>'Water Security Calculations'!T$9</f>
        <v>0.17324993577455849</v>
      </c>
      <c r="Q32" s="72">
        <f>'Water Security Calculations'!U$9</f>
        <v>0.18385975890874473</v>
      </c>
      <c r="R32" s="72">
        <f>'Water Security Calculations'!V$9</f>
        <v>0.19433342439165313</v>
      </c>
      <c r="S32" s="72">
        <f>'Water Security Calculations'!W$9</f>
        <v>0.20467267955740687</v>
      </c>
      <c r="T32" s="72">
        <f>'Water Security Calculations'!X$9</f>
        <v>0.21487924931629498</v>
      </c>
      <c r="U32" s="72">
        <f>'Water Security Calculations'!Y$9</f>
        <v>0.22495483644254177</v>
      </c>
      <c r="V32" s="72">
        <f>'Water Security Calculations'!Z$9</f>
        <v>0.23490112185838274</v>
      </c>
      <c r="W32" s="72">
        <f>'Water Security Calculations'!AA$9</f>
        <v>0.24471976491449432</v>
      </c>
      <c r="X32" s="72">
        <f>'Water Security Calculations'!AB$9</f>
        <v>0.25441240366682549</v>
      </c>
      <c r="Y32" s="72">
        <f>'Water Security Calculations'!AC$9</f>
        <v>0.2639806551498769</v>
      </c>
      <c r="Z32" s="72">
        <f>'Water Security Calculations'!AD$9</f>
        <v>0.27342611564647268</v>
      </c>
      <c r="AA32" s="72">
        <f>'Water Security Calculations'!AE$9</f>
        <v>0.28275036095406969</v>
      </c>
      <c r="AB32" s="72">
        <f>'Water Security Calculations'!AF$9</f>
        <v>0.2919549466476502</v>
      </c>
      <c r="AC32" s="72">
        <f>'Water Security Calculations'!AG$9</f>
        <v>0.30104140833923998</v>
      </c>
      <c r="AD32" s="72">
        <f>'Water Security Calculations'!AH$9</f>
        <v>0.31001126193409667</v>
      </c>
      <c r="AE32" s="72">
        <f>'Water Security Calculations'!AI$9</f>
        <v>0.31886600388360975</v>
      </c>
      <c r="AF32" s="72">
        <f>'Water Security Calculations'!AJ$9</f>
        <v>0.32760711143495524</v>
      </c>
      <c r="AG32" s="72">
        <f>'Water Security Calculations'!AK$9</f>
        <v>0.33623604287754705</v>
      </c>
      <c r="AH32" s="72"/>
      <c r="AI32" s="72"/>
      <c r="AJ32" s="72"/>
      <c r="AK32" s="72"/>
      <c r="AL32" s="72"/>
      <c r="AM32" s="72"/>
      <c r="AN32" s="72"/>
      <c r="AO32" s="72"/>
      <c r="AP32" s="72"/>
      <c r="AQ32" s="72"/>
    </row>
    <row r="33" spans="2:50">
      <c r="C33" t="str">
        <f>'Household values'!D56</f>
        <v>City of Johannesburg Metropolitan Municipality</v>
      </c>
      <c r="D33" s="72">
        <f>'Water Security Calculations'!H$9</f>
        <v>3.4643818976546892E-2</v>
      </c>
      <c r="E33" s="72">
        <f>'Water Security Calculations'!I$9</f>
        <v>4.7032397805080728E-2</v>
      </c>
      <c r="F33" s="72">
        <f>'Water Security Calculations'!J$9</f>
        <v>5.9261991910247391E-2</v>
      </c>
      <c r="G33" s="72">
        <f>'Water Security Calculations'!K$9</f>
        <v>7.1334641569839263E-2</v>
      </c>
      <c r="H33" s="72">
        <f>'Water Security Calculations'!L$9</f>
        <v>8.3252360878419696E-2</v>
      </c>
      <c r="I33" s="72">
        <f>'Water Security Calculations'!M$9</f>
        <v>9.5017138083336228E-2</v>
      </c>
      <c r="J33" s="72">
        <f>'Water Security Calculations'!N$9</f>
        <v>0.10663093591642259</v>
      </c>
      <c r="K33" s="72">
        <f>'Water Security Calculations'!O$9</f>
        <v>0.11809569192144365</v>
      </c>
      <c r="L33" s="72">
        <f>'Water Security Calculations'!P$9</f>
        <v>0.12941331877733819</v>
      </c>
      <c r="M33" s="72">
        <f>'Water Security Calculations'!Q$9</f>
        <v>0.14058570461731312</v>
      </c>
      <c r="N33" s="72">
        <f>'Water Security Calculations'!R$9</f>
        <v>0.15161471334384313</v>
      </c>
      <c r="O33" s="72">
        <f>'Water Security Calculations'!S$9</f>
        <v>0.16250218493962787</v>
      </c>
      <c r="P33" s="72">
        <f>'Water Security Calculations'!T$9</f>
        <v>0.17324993577455849</v>
      </c>
      <c r="Q33" s="72">
        <f>'Water Security Calculations'!U$9</f>
        <v>0.18385975890874473</v>
      </c>
      <c r="R33" s="72">
        <f>'Water Security Calculations'!V$9</f>
        <v>0.19433342439165313</v>
      </c>
      <c r="S33" s="72">
        <f>'Water Security Calculations'!W$9</f>
        <v>0.20467267955740687</v>
      </c>
      <c r="T33" s="72">
        <f>'Water Security Calculations'!X$9</f>
        <v>0.21487924931629498</v>
      </c>
      <c r="U33" s="72">
        <f>'Water Security Calculations'!Y$9</f>
        <v>0.22495483644254177</v>
      </c>
      <c r="V33" s="72">
        <f>'Water Security Calculations'!Z$9</f>
        <v>0.23490112185838274</v>
      </c>
      <c r="W33" s="72">
        <f>'Water Security Calculations'!AA$9</f>
        <v>0.24471976491449432</v>
      </c>
      <c r="X33" s="72">
        <f>'Water Security Calculations'!AB$9</f>
        <v>0.25441240366682549</v>
      </c>
      <c r="Y33" s="72">
        <f>'Water Security Calculations'!AC$9</f>
        <v>0.2639806551498769</v>
      </c>
      <c r="Z33" s="72">
        <f>'Water Security Calculations'!AD$9</f>
        <v>0.27342611564647268</v>
      </c>
      <c r="AA33" s="72">
        <f>'Water Security Calculations'!AE$9</f>
        <v>0.28275036095406969</v>
      </c>
      <c r="AB33" s="72">
        <f>'Water Security Calculations'!AF$9</f>
        <v>0.2919549466476502</v>
      </c>
      <c r="AC33" s="72">
        <f>'Water Security Calculations'!AG$9</f>
        <v>0.30104140833923998</v>
      </c>
      <c r="AD33" s="72">
        <f>'Water Security Calculations'!AH$9</f>
        <v>0.31001126193409667</v>
      </c>
      <c r="AE33" s="72">
        <f>'Water Security Calculations'!AI$9</f>
        <v>0.31886600388360975</v>
      </c>
      <c r="AF33" s="72">
        <f>'Water Security Calculations'!AJ$9</f>
        <v>0.32760711143495524</v>
      </c>
      <c r="AG33" s="72">
        <f>'Water Security Calculations'!AK$9</f>
        <v>0.33623604287754705</v>
      </c>
      <c r="AH33" s="72"/>
      <c r="AI33" s="72"/>
      <c r="AJ33" s="72"/>
      <c r="AK33" s="72"/>
      <c r="AL33" s="72"/>
      <c r="AM33" s="72"/>
      <c r="AN33" s="72"/>
      <c r="AO33" s="72"/>
      <c r="AP33" s="72"/>
      <c r="AQ33" s="72"/>
    </row>
    <row r="34" spans="2:50">
      <c r="C34" t="str">
        <f>'Household values'!D57</f>
        <v>City of Tshwane Metropolitan Municipality</v>
      </c>
      <c r="D34" s="72">
        <f>'Water Security Calculations'!H$9</f>
        <v>3.4643818976546892E-2</v>
      </c>
      <c r="E34" s="72">
        <f>'Water Security Calculations'!I$9</f>
        <v>4.7032397805080728E-2</v>
      </c>
      <c r="F34" s="72">
        <f>'Water Security Calculations'!J$9</f>
        <v>5.9261991910247391E-2</v>
      </c>
      <c r="G34" s="72">
        <f>'Water Security Calculations'!K$9</f>
        <v>7.1334641569839263E-2</v>
      </c>
      <c r="H34" s="72">
        <f>'Water Security Calculations'!L$9</f>
        <v>8.3252360878419696E-2</v>
      </c>
      <c r="I34" s="72">
        <f>'Water Security Calculations'!M$9</f>
        <v>9.5017138083336228E-2</v>
      </c>
      <c r="J34" s="72">
        <f>'Water Security Calculations'!N$9</f>
        <v>0.10663093591642259</v>
      </c>
      <c r="K34" s="72">
        <f>'Water Security Calculations'!O$9</f>
        <v>0.11809569192144365</v>
      </c>
      <c r="L34" s="72">
        <f>'Water Security Calculations'!P$9</f>
        <v>0.12941331877733819</v>
      </c>
      <c r="M34" s="72">
        <f>'Water Security Calculations'!Q$9</f>
        <v>0.14058570461731312</v>
      </c>
      <c r="N34" s="72">
        <f>'Water Security Calculations'!R$9</f>
        <v>0.15161471334384313</v>
      </c>
      <c r="O34" s="72">
        <f>'Water Security Calculations'!S$9</f>
        <v>0.16250218493962787</v>
      </c>
      <c r="P34" s="72">
        <f>'Water Security Calculations'!T$9</f>
        <v>0.17324993577455849</v>
      </c>
      <c r="Q34" s="72">
        <f>'Water Security Calculations'!U$9</f>
        <v>0.18385975890874473</v>
      </c>
      <c r="R34" s="72">
        <f>'Water Security Calculations'!V$9</f>
        <v>0.19433342439165313</v>
      </c>
      <c r="S34" s="72">
        <f>'Water Security Calculations'!W$9</f>
        <v>0.20467267955740687</v>
      </c>
      <c r="T34" s="72">
        <f>'Water Security Calculations'!X$9</f>
        <v>0.21487924931629498</v>
      </c>
      <c r="U34" s="72">
        <f>'Water Security Calculations'!Y$9</f>
        <v>0.22495483644254177</v>
      </c>
      <c r="V34" s="72">
        <f>'Water Security Calculations'!Z$9</f>
        <v>0.23490112185838274</v>
      </c>
      <c r="W34" s="72">
        <f>'Water Security Calculations'!AA$9</f>
        <v>0.24471976491449432</v>
      </c>
      <c r="X34" s="72">
        <f>'Water Security Calculations'!AB$9</f>
        <v>0.25441240366682549</v>
      </c>
      <c r="Y34" s="72">
        <f>'Water Security Calculations'!AC$9</f>
        <v>0.2639806551498769</v>
      </c>
      <c r="Z34" s="72">
        <f>'Water Security Calculations'!AD$9</f>
        <v>0.27342611564647268</v>
      </c>
      <c r="AA34" s="72">
        <f>'Water Security Calculations'!AE$9</f>
        <v>0.28275036095406969</v>
      </c>
      <c r="AB34" s="72">
        <f>'Water Security Calculations'!AF$9</f>
        <v>0.2919549466476502</v>
      </c>
      <c r="AC34" s="72">
        <f>'Water Security Calculations'!AG$9</f>
        <v>0.30104140833923998</v>
      </c>
      <c r="AD34" s="72">
        <f>'Water Security Calculations'!AH$9</f>
        <v>0.31001126193409667</v>
      </c>
      <c r="AE34" s="72">
        <f>'Water Security Calculations'!AI$9</f>
        <v>0.31886600388360975</v>
      </c>
      <c r="AF34" s="72">
        <f>'Water Security Calculations'!AJ$9</f>
        <v>0.32760711143495524</v>
      </c>
      <c r="AG34" s="72">
        <f>'Water Security Calculations'!AK$9</f>
        <v>0.33623604287754705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</row>
    <row r="35" spans="2:50">
      <c r="C35" t="str">
        <f>'Household values'!D58</f>
        <v>eThekwini Metropolitan Municipality</v>
      </c>
      <c r="D35" s="72">
        <f>'Water Security Calculations'!H$9</f>
        <v>3.4643818976546892E-2</v>
      </c>
      <c r="E35" s="72">
        <f>'Water Security Calculations'!I$9</f>
        <v>4.7032397805080728E-2</v>
      </c>
      <c r="F35" s="72">
        <f>'Water Security Calculations'!J$9</f>
        <v>5.9261991910247391E-2</v>
      </c>
      <c r="G35" s="72">
        <f>'Water Security Calculations'!K$9</f>
        <v>7.1334641569839263E-2</v>
      </c>
      <c r="H35" s="72">
        <f>'Water Security Calculations'!L$9</f>
        <v>8.3252360878419696E-2</v>
      </c>
      <c r="I35" s="72">
        <f>'Water Security Calculations'!M$9</f>
        <v>9.5017138083336228E-2</v>
      </c>
      <c r="J35" s="72">
        <f>'Water Security Calculations'!N$9</f>
        <v>0.10663093591642259</v>
      </c>
      <c r="K35" s="72">
        <f>'Water Security Calculations'!O$9</f>
        <v>0.11809569192144365</v>
      </c>
      <c r="L35" s="72">
        <f>'Water Security Calculations'!P$9</f>
        <v>0.12941331877733819</v>
      </c>
      <c r="M35" s="72">
        <f>'Water Security Calculations'!Q$9</f>
        <v>0.14058570461731312</v>
      </c>
      <c r="N35" s="72">
        <f>'Water Security Calculations'!R$9</f>
        <v>0.15161471334384313</v>
      </c>
      <c r="O35" s="72">
        <f>'Water Security Calculations'!S$9</f>
        <v>0.16250218493962787</v>
      </c>
      <c r="P35" s="72">
        <f>'Water Security Calculations'!T$9</f>
        <v>0.17324993577455849</v>
      </c>
      <c r="Q35" s="72">
        <f>'Water Security Calculations'!U$9</f>
        <v>0.18385975890874473</v>
      </c>
      <c r="R35" s="72">
        <f>'Water Security Calculations'!V$9</f>
        <v>0.19433342439165313</v>
      </c>
      <c r="S35" s="72">
        <f>'Water Security Calculations'!W$9</f>
        <v>0.20467267955740687</v>
      </c>
      <c r="T35" s="72">
        <f>'Water Security Calculations'!X$9</f>
        <v>0.21487924931629498</v>
      </c>
      <c r="U35" s="72">
        <f>'Water Security Calculations'!Y$9</f>
        <v>0.22495483644254177</v>
      </c>
      <c r="V35" s="72">
        <f>'Water Security Calculations'!Z$9</f>
        <v>0.23490112185838274</v>
      </c>
      <c r="W35" s="72">
        <f>'Water Security Calculations'!AA$9</f>
        <v>0.24471976491449432</v>
      </c>
      <c r="X35" s="72">
        <f>'Water Security Calculations'!AB$9</f>
        <v>0.25441240366682549</v>
      </c>
      <c r="Y35" s="72">
        <f>'Water Security Calculations'!AC$9</f>
        <v>0.2639806551498769</v>
      </c>
      <c r="Z35" s="72">
        <f>'Water Security Calculations'!AD$9</f>
        <v>0.27342611564647268</v>
      </c>
      <c r="AA35" s="72">
        <f>'Water Security Calculations'!AE$9</f>
        <v>0.28275036095406969</v>
      </c>
      <c r="AB35" s="72">
        <f>'Water Security Calculations'!AF$9</f>
        <v>0.2919549466476502</v>
      </c>
      <c r="AC35" s="72">
        <f>'Water Security Calculations'!AG$9</f>
        <v>0.30104140833923998</v>
      </c>
      <c r="AD35" s="72">
        <f>'Water Security Calculations'!AH$9</f>
        <v>0.31001126193409667</v>
      </c>
      <c r="AE35" s="72">
        <f>'Water Security Calculations'!AI$9</f>
        <v>0.31886600388360975</v>
      </c>
      <c r="AF35" s="72">
        <f>'Water Security Calculations'!AJ$9</f>
        <v>0.32760711143495524</v>
      </c>
      <c r="AG35" s="72">
        <f>'Water Security Calculations'!AK$9</f>
        <v>0.33623604287754705</v>
      </c>
      <c r="AH35" s="72"/>
      <c r="AI35" s="72"/>
      <c r="AJ35" s="72"/>
      <c r="AK35" s="72"/>
      <c r="AL35" s="72"/>
      <c r="AM35" s="72"/>
      <c r="AN35" s="72"/>
      <c r="AO35" s="72"/>
      <c r="AP35" s="72"/>
      <c r="AQ35" s="72"/>
    </row>
    <row r="36" spans="2:50">
      <c r="C36" t="str">
        <f>'Household values'!D59</f>
        <v>Indicative Project A</v>
      </c>
      <c r="D36" s="72">
        <f>'Water Security Calculations'!H$9</f>
        <v>3.4643818976546892E-2</v>
      </c>
      <c r="E36" s="72">
        <f>'Water Security Calculations'!I$9</f>
        <v>4.7032397805080728E-2</v>
      </c>
      <c r="F36" s="72">
        <f>'Water Security Calculations'!J$9</f>
        <v>5.9261991910247391E-2</v>
      </c>
      <c r="G36" s="72">
        <f>'Water Security Calculations'!K$9</f>
        <v>7.1334641569839263E-2</v>
      </c>
      <c r="H36" s="72">
        <f>'Water Security Calculations'!L$9</f>
        <v>8.3252360878419696E-2</v>
      </c>
      <c r="I36" s="72">
        <f>'Water Security Calculations'!M$9</f>
        <v>9.5017138083336228E-2</v>
      </c>
      <c r="J36" s="72">
        <f>'Water Security Calculations'!N$9</f>
        <v>0.10663093591642259</v>
      </c>
      <c r="K36" s="72">
        <f>'Water Security Calculations'!O$9</f>
        <v>0.11809569192144365</v>
      </c>
      <c r="L36" s="72">
        <f>'Water Security Calculations'!P$9</f>
        <v>0.12941331877733819</v>
      </c>
      <c r="M36" s="72">
        <f>'Water Security Calculations'!Q$9</f>
        <v>0.14058570461731312</v>
      </c>
      <c r="N36" s="72">
        <f>'Water Security Calculations'!R$9</f>
        <v>0.15161471334384313</v>
      </c>
      <c r="O36" s="72">
        <f>'Water Security Calculations'!S$9</f>
        <v>0.16250218493962787</v>
      </c>
      <c r="P36" s="72">
        <f>'Water Security Calculations'!T$9</f>
        <v>0.17324993577455849</v>
      </c>
      <c r="Q36" s="72">
        <f>'Water Security Calculations'!U$9</f>
        <v>0.18385975890874473</v>
      </c>
      <c r="R36" s="72">
        <f>'Water Security Calculations'!V$9</f>
        <v>0.19433342439165313</v>
      </c>
      <c r="S36" s="72">
        <f>'Water Security Calculations'!W$9</f>
        <v>0.20467267955740687</v>
      </c>
      <c r="T36" s="72">
        <f>'Water Security Calculations'!X$9</f>
        <v>0.21487924931629498</v>
      </c>
      <c r="U36" s="72">
        <f>'Water Security Calculations'!Y$9</f>
        <v>0.22495483644254177</v>
      </c>
      <c r="V36" s="72">
        <f>'Water Security Calculations'!Z$9</f>
        <v>0.23490112185838274</v>
      </c>
      <c r="W36" s="72">
        <f>'Water Security Calculations'!AA$9</f>
        <v>0.24471976491449432</v>
      </c>
      <c r="X36" s="72">
        <f>'Water Security Calculations'!AB$9</f>
        <v>0.25441240366682549</v>
      </c>
      <c r="Y36" s="72">
        <f>'Water Security Calculations'!AC$9</f>
        <v>0.2639806551498769</v>
      </c>
      <c r="Z36" s="72">
        <f>'Water Security Calculations'!AD$9</f>
        <v>0.27342611564647268</v>
      </c>
      <c r="AA36" s="72">
        <f>'Water Security Calculations'!AE$9</f>
        <v>0.28275036095406969</v>
      </c>
      <c r="AB36" s="72">
        <f>'Water Security Calculations'!AF$9</f>
        <v>0.2919549466476502</v>
      </c>
      <c r="AC36" s="72">
        <f>'Water Security Calculations'!AG$9</f>
        <v>0.30104140833923998</v>
      </c>
      <c r="AD36" s="72">
        <f>'Water Security Calculations'!AH$9</f>
        <v>0.31001126193409667</v>
      </c>
      <c r="AE36" s="72">
        <f>'Water Security Calculations'!AI$9</f>
        <v>0.31886600388360975</v>
      </c>
      <c r="AF36" s="72">
        <f>'Water Security Calculations'!AJ$9</f>
        <v>0.32760711143495524</v>
      </c>
      <c r="AG36" s="72">
        <f>'Water Security Calculations'!AK$9</f>
        <v>0.33623604287754705</v>
      </c>
      <c r="AH36" s="72"/>
      <c r="AI36" s="72"/>
      <c r="AJ36" s="72"/>
      <c r="AK36" s="72"/>
      <c r="AL36" s="72"/>
      <c r="AM36" s="72"/>
      <c r="AN36" s="72"/>
      <c r="AO36" s="72"/>
      <c r="AP36" s="72"/>
      <c r="AQ36" s="72"/>
    </row>
    <row r="37" spans="2:50">
      <c r="C37" t="str">
        <f>'Household values'!D60</f>
        <v>City of Cape Town Metrolpolitan Municipality</v>
      </c>
      <c r="D37" s="72">
        <f>'Water Security Calculations'!H$9</f>
        <v>3.4643818976546892E-2</v>
      </c>
      <c r="E37" s="72">
        <f>'Water Security Calculations'!I$9</f>
        <v>4.7032397805080728E-2</v>
      </c>
      <c r="F37" s="72">
        <f>'Water Security Calculations'!J$9</f>
        <v>5.9261991910247391E-2</v>
      </c>
      <c r="G37" s="72">
        <f>'Water Security Calculations'!K$9</f>
        <v>7.1334641569839263E-2</v>
      </c>
      <c r="H37" s="72">
        <f>'Water Security Calculations'!L$9</f>
        <v>8.3252360878419696E-2</v>
      </c>
      <c r="I37" s="72">
        <f>'Water Security Calculations'!M$9</f>
        <v>9.5017138083336228E-2</v>
      </c>
      <c r="J37" s="72">
        <f>'Water Security Calculations'!N$9</f>
        <v>0.10663093591642259</v>
      </c>
      <c r="K37" s="72">
        <f>'Water Security Calculations'!O$9</f>
        <v>0.11809569192144365</v>
      </c>
      <c r="L37" s="72">
        <f>'Water Security Calculations'!P$9</f>
        <v>0.12941331877733819</v>
      </c>
      <c r="M37" s="72">
        <f>'Water Security Calculations'!Q$9</f>
        <v>0.14058570461731312</v>
      </c>
      <c r="N37" s="72">
        <f>'Water Security Calculations'!R$9</f>
        <v>0.15161471334384313</v>
      </c>
      <c r="O37" s="72">
        <f>'Water Security Calculations'!S$9</f>
        <v>0.16250218493962787</v>
      </c>
      <c r="P37" s="72">
        <f>'Water Security Calculations'!T$9</f>
        <v>0.17324993577455849</v>
      </c>
      <c r="Q37" s="72">
        <f>'Water Security Calculations'!U$9</f>
        <v>0.18385975890874473</v>
      </c>
      <c r="R37" s="72">
        <f>'Water Security Calculations'!V$9</f>
        <v>0.19433342439165313</v>
      </c>
      <c r="S37" s="72">
        <f>'Water Security Calculations'!W$9</f>
        <v>0.20467267955740687</v>
      </c>
      <c r="T37" s="72">
        <f>'Water Security Calculations'!X$9</f>
        <v>0.21487924931629498</v>
      </c>
      <c r="U37" s="72">
        <f>'Water Security Calculations'!Y$9</f>
        <v>0.22495483644254177</v>
      </c>
      <c r="V37" s="72">
        <f>'Water Security Calculations'!Z$9</f>
        <v>0.23490112185838274</v>
      </c>
      <c r="W37" s="72">
        <f>'Water Security Calculations'!AA$9</f>
        <v>0.24471976491449432</v>
      </c>
      <c r="X37" s="72">
        <f>'Water Security Calculations'!AB$9</f>
        <v>0.25441240366682549</v>
      </c>
      <c r="Y37" s="72">
        <f>'Water Security Calculations'!AC$9</f>
        <v>0.2639806551498769</v>
      </c>
      <c r="Z37" s="72">
        <f>'Water Security Calculations'!AD$9</f>
        <v>0.27342611564647268</v>
      </c>
      <c r="AA37" s="72">
        <f>'Water Security Calculations'!AE$9</f>
        <v>0.28275036095406969</v>
      </c>
      <c r="AB37" s="72">
        <f>'Water Security Calculations'!AF$9</f>
        <v>0.2919549466476502</v>
      </c>
      <c r="AC37" s="72">
        <f>'Water Security Calculations'!AG$9</f>
        <v>0.30104140833923998</v>
      </c>
      <c r="AD37" s="72">
        <f>'Water Security Calculations'!AH$9</f>
        <v>0.31001126193409667</v>
      </c>
      <c r="AE37" s="72">
        <f>'Water Security Calculations'!AI$9</f>
        <v>0.31886600388360975</v>
      </c>
      <c r="AF37" s="72">
        <f>'Water Security Calculations'!AJ$9</f>
        <v>0.32760711143495524</v>
      </c>
      <c r="AG37" s="72">
        <f>'Water Security Calculations'!AK$9</f>
        <v>0.33623604287754705</v>
      </c>
      <c r="AH37" s="72"/>
      <c r="AI37" s="72"/>
      <c r="AJ37" s="72"/>
      <c r="AK37" s="72"/>
      <c r="AL37" s="72"/>
      <c r="AM37" s="72"/>
      <c r="AN37" s="72"/>
      <c r="AO37" s="72"/>
      <c r="AP37" s="72"/>
      <c r="AQ37" s="72"/>
    </row>
    <row r="38" spans="2:50">
      <c r="C38" t="str">
        <f>'Household values'!D61</f>
        <v>Drakenstein Local Municipality</v>
      </c>
      <c r="D38" s="72">
        <f>'Water Security Calculations'!H$9</f>
        <v>3.4643818976546892E-2</v>
      </c>
      <c r="E38" s="72">
        <f>'Water Security Calculations'!I$9</f>
        <v>4.7032397805080728E-2</v>
      </c>
      <c r="F38" s="72">
        <f>'Water Security Calculations'!J$9</f>
        <v>5.9261991910247391E-2</v>
      </c>
      <c r="G38" s="72">
        <f>'Water Security Calculations'!K$9</f>
        <v>7.1334641569839263E-2</v>
      </c>
      <c r="H38" s="72">
        <f>'Water Security Calculations'!L$9</f>
        <v>8.3252360878419696E-2</v>
      </c>
      <c r="I38" s="72">
        <f>'Water Security Calculations'!M$9</f>
        <v>9.5017138083336228E-2</v>
      </c>
      <c r="J38" s="72">
        <f>'Water Security Calculations'!N$9</f>
        <v>0.10663093591642259</v>
      </c>
      <c r="K38" s="72">
        <f>'Water Security Calculations'!O$9</f>
        <v>0.11809569192144365</v>
      </c>
      <c r="L38" s="72">
        <f>'Water Security Calculations'!P$9</f>
        <v>0.12941331877733819</v>
      </c>
      <c r="M38" s="72">
        <f>'Water Security Calculations'!Q$9</f>
        <v>0.14058570461731312</v>
      </c>
      <c r="N38" s="72">
        <f>'Water Security Calculations'!R$9</f>
        <v>0.15161471334384313</v>
      </c>
      <c r="O38" s="72">
        <f>'Water Security Calculations'!S$9</f>
        <v>0.16250218493962787</v>
      </c>
      <c r="P38" s="72">
        <f>'Water Security Calculations'!T$9</f>
        <v>0.17324993577455849</v>
      </c>
      <c r="Q38" s="72">
        <f>'Water Security Calculations'!U$9</f>
        <v>0.18385975890874473</v>
      </c>
      <c r="R38" s="72">
        <f>'Water Security Calculations'!V$9</f>
        <v>0.19433342439165313</v>
      </c>
      <c r="S38" s="72">
        <f>'Water Security Calculations'!W$9</f>
        <v>0.20467267955740687</v>
      </c>
      <c r="T38" s="72">
        <f>'Water Security Calculations'!X$9</f>
        <v>0.21487924931629498</v>
      </c>
      <c r="U38" s="72">
        <f>'Water Security Calculations'!Y$9</f>
        <v>0.22495483644254177</v>
      </c>
      <c r="V38" s="72">
        <f>'Water Security Calculations'!Z$9</f>
        <v>0.23490112185838274</v>
      </c>
      <c r="W38" s="72">
        <f>'Water Security Calculations'!AA$9</f>
        <v>0.24471976491449432</v>
      </c>
      <c r="X38" s="72">
        <f>'Water Security Calculations'!AB$9</f>
        <v>0.25441240366682549</v>
      </c>
      <c r="Y38" s="72">
        <f>'Water Security Calculations'!AC$9</f>
        <v>0.2639806551498769</v>
      </c>
      <c r="Z38" s="72">
        <f>'Water Security Calculations'!AD$9</f>
        <v>0.27342611564647268</v>
      </c>
      <c r="AA38" s="72">
        <f>'Water Security Calculations'!AE$9</f>
        <v>0.28275036095406969</v>
      </c>
      <c r="AB38" s="72">
        <f>'Water Security Calculations'!AF$9</f>
        <v>0.2919549466476502</v>
      </c>
      <c r="AC38" s="72">
        <f>'Water Security Calculations'!AG$9</f>
        <v>0.30104140833923998</v>
      </c>
      <c r="AD38" s="72">
        <f>'Water Security Calculations'!AH$9</f>
        <v>0.31001126193409667</v>
      </c>
      <c r="AE38" s="72">
        <f>'Water Security Calculations'!AI$9</f>
        <v>0.31886600388360975</v>
      </c>
      <c r="AF38" s="72">
        <f>'Water Security Calculations'!AJ$9</f>
        <v>0.32760711143495524</v>
      </c>
      <c r="AG38" s="72">
        <f>'Water Security Calculations'!AK$9</f>
        <v>0.33623604287754705</v>
      </c>
      <c r="AH38" s="72"/>
      <c r="AI38" s="72"/>
      <c r="AJ38" s="72"/>
      <c r="AK38" s="72"/>
      <c r="AL38" s="72"/>
      <c r="AM38" s="72"/>
      <c r="AN38" s="72"/>
      <c r="AO38" s="72"/>
      <c r="AP38" s="72"/>
      <c r="AQ38" s="72"/>
    </row>
    <row r="39" spans="2:50">
      <c r="C39" t="str">
        <f>'Household values'!D62</f>
        <v>Indicative Project B</v>
      </c>
      <c r="D39" s="72">
        <f>'Water Security Calculations'!H$9</f>
        <v>3.4643818976546892E-2</v>
      </c>
      <c r="E39" s="72">
        <f>'Water Security Calculations'!I$9</f>
        <v>4.7032397805080728E-2</v>
      </c>
      <c r="F39" s="72">
        <f>'Water Security Calculations'!J$9</f>
        <v>5.9261991910247391E-2</v>
      </c>
      <c r="G39" s="72">
        <f>'Water Security Calculations'!K$9</f>
        <v>7.1334641569839263E-2</v>
      </c>
      <c r="H39" s="72">
        <f>'Water Security Calculations'!L$9</f>
        <v>8.3252360878419696E-2</v>
      </c>
      <c r="I39" s="72">
        <f>'Water Security Calculations'!M$9</f>
        <v>9.5017138083336228E-2</v>
      </c>
      <c r="J39" s="72">
        <f>'Water Security Calculations'!N$9</f>
        <v>0.10663093591642259</v>
      </c>
      <c r="K39" s="72">
        <f>'Water Security Calculations'!O$9</f>
        <v>0.11809569192144365</v>
      </c>
      <c r="L39" s="72">
        <f>'Water Security Calculations'!P$9</f>
        <v>0.12941331877733819</v>
      </c>
      <c r="M39" s="72">
        <f>'Water Security Calculations'!Q$9</f>
        <v>0.14058570461731312</v>
      </c>
      <c r="N39" s="72">
        <f>'Water Security Calculations'!R$9</f>
        <v>0.15161471334384313</v>
      </c>
      <c r="O39" s="72">
        <f>'Water Security Calculations'!S$9</f>
        <v>0.16250218493962787</v>
      </c>
      <c r="P39" s="72">
        <f>'Water Security Calculations'!T$9</f>
        <v>0.17324993577455849</v>
      </c>
      <c r="Q39" s="72">
        <f>'Water Security Calculations'!U$9</f>
        <v>0.18385975890874473</v>
      </c>
      <c r="R39" s="72">
        <f>'Water Security Calculations'!V$9</f>
        <v>0.19433342439165313</v>
      </c>
      <c r="S39" s="72">
        <f>'Water Security Calculations'!W$9</f>
        <v>0.20467267955740687</v>
      </c>
      <c r="T39" s="72">
        <f>'Water Security Calculations'!X$9</f>
        <v>0.21487924931629498</v>
      </c>
      <c r="U39" s="72">
        <f>'Water Security Calculations'!Y$9</f>
        <v>0.22495483644254177</v>
      </c>
      <c r="V39" s="72">
        <f>'Water Security Calculations'!Z$9</f>
        <v>0.23490112185838274</v>
      </c>
      <c r="W39" s="72">
        <f>'Water Security Calculations'!AA$9</f>
        <v>0.24471976491449432</v>
      </c>
      <c r="X39" s="72">
        <f>'Water Security Calculations'!AB$9</f>
        <v>0.25441240366682549</v>
      </c>
      <c r="Y39" s="72">
        <f>'Water Security Calculations'!AC$9</f>
        <v>0.2639806551498769</v>
      </c>
      <c r="Z39" s="72">
        <f>'Water Security Calculations'!AD$9</f>
        <v>0.27342611564647268</v>
      </c>
      <c r="AA39" s="72">
        <f>'Water Security Calculations'!AE$9</f>
        <v>0.28275036095406969</v>
      </c>
      <c r="AB39" s="72">
        <f>'Water Security Calculations'!AF$9</f>
        <v>0.2919549466476502</v>
      </c>
      <c r="AC39" s="72">
        <f>'Water Security Calculations'!AG$9</f>
        <v>0.30104140833923998</v>
      </c>
      <c r="AD39" s="72">
        <f>'Water Security Calculations'!AH$9</f>
        <v>0.31001126193409667</v>
      </c>
      <c r="AE39" s="72">
        <f>'Water Security Calculations'!AI$9</f>
        <v>0.31886600388360975</v>
      </c>
      <c r="AF39" s="72">
        <f>'Water Security Calculations'!AJ$9</f>
        <v>0.32760711143495524</v>
      </c>
      <c r="AG39" s="72">
        <f>'Water Security Calculations'!AK$9</f>
        <v>0.33623604287754705</v>
      </c>
      <c r="AH39" s="72"/>
      <c r="AI39" s="72"/>
      <c r="AJ39" s="72"/>
      <c r="AK39" s="72"/>
      <c r="AL39" s="72"/>
      <c r="AM39" s="72"/>
      <c r="AN39" s="72"/>
      <c r="AO39" s="72"/>
      <c r="AP39" s="72"/>
      <c r="AQ39" s="72"/>
    </row>
    <row r="40" spans="2:50">
      <c r="C40" t="str">
        <f>'Household values'!D63</f>
        <v>Mangaung Metropolitan Municipality</v>
      </c>
      <c r="D40" s="72">
        <f>'Water Security Calculations'!H$9</f>
        <v>3.4643818976546892E-2</v>
      </c>
      <c r="E40" s="72">
        <f>'Water Security Calculations'!I$9</f>
        <v>4.7032397805080728E-2</v>
      </c>
      <c r="F40" s="72">
        <f>'Water Security Calculations'!J$9</f>
        <v>5.9261991910247391E-2</v>
      </c>
      <c r="G40" s="72">
        <f>'Water Security Calculations'!K$9</f>
        <v>7.1334641569839263E-2</v>
      </c>
      <c r="H40" s="72">
        <f>'Water Security Calculations'!L$9</f>
        <v>8.3252360878419696E-2</v>
      </c>
      <c r="I40" s="72">
        <f>'Water Security Calculations'!M$9</f>
        <v>9.5017138083336228E-2</v>
      </c>
      <c r="J40" s="72">
        <f>'Water Security Calculations'!N$9</f>
        <v>0.10663093591642259</v>
      </c>
      <c r="K40" s="72">
        <f>'Water Security Calculations'!O$9</f>
        <v>0.11809569192144365</v>
      </c>
      <c r="L40" s="72">
        <f>'Water Security Calculations'!P$9</f>
        <v>0.12941331877733819</v>
      </c>
      <c r="M40" s="72">
        <f>'Water Security Calculations'!Q$9</f>
        <v>0.14058570461731312</v>
      </c>
      <c r="N40" s="72">
        <f>'Water Security Calculations'!R$9</f>
        <v>0.15161471334384313</v>
      </c>
      <c r="O40" s="72">
        <f>'Water Security Calculations'!S$9</f>
        <v>0.16250218493962787</v>
      </c>
      <c r="P40" s="72">
        <f>'Water Security Calculations'!T$9</f>
        <v>0.17324993577455849</v>
      </c>
      <c r="Q40" s="72">
        <f>'Water Security Calculations'!U$9</f>
        <v>0.18385975890874473</v>
      </c>
      <c r="R40" s="72">
        <f>'Water Security Calculations'!V$9</f>
        <v>0.19433342439165313</v>
      </c>
      <c r="S40" s="72">
        <f>'Water Security Calculations'!W$9</f>
        <v>0.20467267955740687</v>
      </c>
      <c r="T40" s="72">
        <f>'Water Security Calculations'!X$9</f>
        <v>0.21487924931629498</v>
      </c>
      <c r="U40" s="72">
        <f>'Water Security Calculations'!Y$9</f>
        <v>0.22495483644254177</v>
      </c>
      <c r="V40" s="72">
        <f>'Water Security Calculations'!Z$9</f>
        <v>0.23490112185838274</v>
      </c>
      <c r="W40" s="72">
        <f>'Water Security Calculations'!AA$9</f>
        <v>0.24471976491449432</v>
      </c>
      <c r="X40" s="72">
        <f>'Water Security Calculations'!AB$9</f>
        <v>0.25441240366682549</v>
      </c>
      <c r="Y40" s="72">
        <f>'Water Security Calculations'!AC$9</f>
        <v>0.2639806551498769</v>
      </c>
      <c r="Z40" s="72">
        <f>'Water Security Calculations'!AD$9</f>
        <v>0.27342611564647268</v>
      </c>
      <c r="AA40" s="72">
        <f>'Water Security Calculations'!AE$9</f>
        <v>0.28275036095406969</v>
      </c>
      <c r="AB40" s="72">
        <f>'Water Security Calculations'!AF$9</f>
        <v>0.2919549466476502</v>
      </c>
      <c r="AC40" s="72">
        <f>'Water Security Calculations'!AG$9</f>
        <v>0.30104140833923998</v>
      </c>
      <c r="AD40" s="72">
        <f>'Water Security Calculations'!AH$9</f>
        <v>0.31001126193409667</v>
      </c>
      <c r="AE40" s="72">
        <f>'Water Security Calculations'!AI$9</f>
        <v>0.31886600388360975</v>
      </c>
      <c r="AF40" s="72">
        <f>'Water Security Calculations'!AJ$9</f>
        <v>0.32760711143495524</v>
      </c>
      <c r="AG40" s="72">
        <f>'Water Security Calculations'!AK$9</f>
        <v>0.33623604287754705</v>
      </c>
      <c r="AH40" s="72"/>
      <c r="AI40" s="72"/>
      <c r="AJ40" s="72"/>
      <c r="AK40" s="72"/>
      <c r="AL40" s="72"/>
      <c r="AM40" s="72"/>
      <c r="AN40" s="72"/>
      <c r="AO40" s="72"/>
      <c r="AP40" s="72"/>
      <c r="AQ40" s="72"/>
    </row>
    <row r="41" spans="2:50">
      <c r="C41" t="str">
        <f>'Household values'!D64</f>
        <v>Municipality 11</v>
      </c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</row>
    <row r="42" spans="2:50">
      <c r="C42" t="str">
        <f>'Household values'!D65</f>
        <v>Municipality 12</v>
      </c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</row>
    <row r="43" spans="2:50">
      <c r="C43" t="str">
        <f>'Household values'!D66</f>
        <v>Municipality 13</v>
      </c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</row>
    <row r="44" spans="2:50">
      <c r="C44" t="str">
        <f>'Household values'!D67</f>
        <v>Municipality 14</v>
      </c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</row>
    <row r="45" spans="2:50" ht="15.75" thickBot="1">
      <c r="C45" s="48" t="str">
        <f>'Household values'!D68</f>
        <v>Municipality 15</v>
      </c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</row>
    <row r="48" spans="2:50">
      <c r="B48" s="41" t="s">
        <v>194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</row>
    <row r="50" spans="3:43">
      <c r="C50" s="70"/>
      <c r="D50" s="70" t="s">
        <v>3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</row>
    <row r="51" spans="3:43" ht="15.75" thickBot="1">
      <c r="C51" s="71" t="s">
        <v>193</v>
      </c>
      <c r="D51" s="71">
        <v>1</v>
      </c>
      <c r="E51" s="71">
        <f>D51+1</f>
        <v>2</v>
      </c>
      <c r="F51" s="71">
        <f t="shared" ref="F51:AQ51" si="1">E51+1</f>
        <v>3</v>
      </c>
      <c r="G51" s="71">
        <f t="shared" si="1"/>
        <v>4</v>
      </c>
      <c r="H51" s="71">
        <f t="shared" si="1"/>
        <v>5</v>
      </c>
      <c r="I51" s="71">
        <f t="shared" si="1"/>
        <v>6</v>
      </c>
      <c r="J51" s="71">
        <f t="shared" si="1"/>
        <v>7</v>
      </c>
      <c r="K51" s="71">
        <f t="shared" si="1"/>
        <v>8</v>
      </c>
      <c r="L51" s="71">
        <f t="shared" si="1"/>
        <v>9</v>
      </c>
      <c r="M51" s="71">
        <f t="shared" si="1"/>
        <v>10</v>
      </c>
      <c r="N51" s="71">
        <f t="shared" si="1"/>
        <v>11</v>
      </c>
      <c r="O51" s="71">
        <f t="shared" si="1"/>
        <v>12</v>
      </c>
      <c r="P51" s="71">
        <f t="shared" si="1"/>
        <v>13</v>
      </c>
      <c r="Q51" s="71">
        <f t="shared" si="1"/>
        <v>14</v>
      </c>
      <c r="R51" s="71">
        <f t="shared" si="1"/>
        <v>15</v>
      </c>
      <c r="S51" s="71">
        <f t="shared" si="1"/>
        <v>16</v>
      </c>
      <c r="T51" s="71">
        <f t="shared" si="1"/>
        <v>17</v>
      </c>
      <c r="U51" s="71">
        <f t="shared" si="1"/>
        <v>18</v>
      </c>
      <c r="V51" s="71">
        <f t="shared" si="1"/>
        <v>19</v>
      </c>
      <c r="W51" s="71">
        <f t="shared" si="1"/>
        <v>20</v>
      </c>
      <c r="X51" s="71">
        <f t="shared" si="1"/>
        <v>21</v>
      </c>
      <c r="Y51" s="71">
        <f t="shared" si="1"/>
        <v>22</v>
      </c>
      <c r="Z51" s="71">
        <f t="shared" si="1"/>
        <v>23</v>
      </c>
      <c r="AA51" s="71">
        <f t="shared" si="1"/>
        <v>24</v>
      </c>
      <c r="AB51" s="71">
        <f t="shared" si="1"/>
        <v>25</v>
      </c>
      <c r="AC51" s="71">
        <f t="shared" si="1"/>
        <v>26</v>
      </c>
      <c r="AD51" s="71">
        <f t="shared" si="1"/>
        <v>27</v>
      </c>
      <c r="AE51" s="71">
        <f t="shared" si="1"/>
        <v>28</v>
      </c>
      <c r="AF51" s="71">
        <f t="shared" si="1"/>
        <v>29</v>
      </c>
      <c r="AG51" s="71">
        <f t="shared" si="1"/>
        <v>30</v>
      </c>
      <c r="AH51" s="71">
        <f t="shared" si="1"/>
        <v>31</v>
      </c>
      <c r="AI51" s="71">
        <f t="shared" si="1"/>
        <v>32</v>
      </c>
      <c r="AJ51" s="71">
        <f t="shared" si="1"/>
        <v>33</v>
      </c>
      <c r="AK51" s="71">
        <f t="shared" si="1"/>
        <v>34</v>
      </c>
      <c r="AL51" s="71">
        <f t="shared" si="1"/>
        <v>35</v>
      </c>
      <c r="AM51" s="71">
        <f t="shared" si="1"/>
        <v>36</v>
      </c>
      <c r="AN51" s="71">
        <f t="shared" si="1"/>
        <v>37</v>
      </c>
      <c r="AO51" s="71">
        <f t="shared" si="1"/>
        <v>38</v>
      </c>
      <c r="AP51" s="71">
        <f t="shared" si="1"/>
        <v>39</v>
      </c>
      <c r="AQ51" s="71">
        <f t="shared" si="1"/>
        <v>40</v>
      </c>
    </row>
    <row r="52" spans="3:43">
      <c r="C52" t="str">
        <f>'Household values'!D54</f>
        <v>Nelson Mandela Metropolitan Municipality</v>
      </c>
      <c r="D52" s="72">
        <f>'Water Security Calculations'!H$13</f>
        <v>3.4643818976546892E-2</v>
      </c>
      <c r="E52" s="72">
        <f>'Water Security Calculations'!I$13</f>
        <v>4.7032397805080728E-2</v>
      </c>
      <c r="F52" s="72">
        <f>'Water Security Calculations'!J$13</f>
        <v>5.9261991910247391E-2</v>
      </c>
      <c r="G52" s="72">
        <f>'Water Security Calculations'!K$13</f>
        <v>7.1334641569839263E-2</v>
      </c>
      <c r="H52" s="72">
        <f>'Water Security Calculations'!L$13</f>
        <v>8.3252360878419696E-2</v>
      </c>
      <c r="I52" s="72">
        <f>'Water Security Calculations'!M$13</f>
        <v>9.3778890841076712E-2</v>
      </c>
      <c r="J52" s="72">
        <f>'Water Security Calculations'!N$13</f>
        <v>0.10311666067309</v>
      </c>
      <c r="K52" s="72">
        <f>'Water Security Calculations'!O$13</f>
        <v>0.11311817859340489</v>
      </c>
      <c r="L52" s="72">
        <f>'Water Security Calculations'!P$13</f>
        <v>0.12167061953243052</v>
      </c>
      <c r="M52" s="72">
        <f>'Water Security Calculations'!Q$13</f>
        <v>0.12750384128682524</v>
      </c>
      <c r="N52" s="72">
        <f>'Water Security Calculations'!R$13</f>
        <v>0.13870073177376618</v>
      </c>
      <c r="O52" s="72">
        <f>'Water Security Calculations'!S$13</f>
        <v>0.14975393067499121</v>
      </c>
      <c r="P52" s="72">
        <f>'Water Security Calculations'!T$13</f>
        <v>0.16066528200887564</v>
      </c>
      <c r="Q52" s="72">
        <f>'Water Security Calculations'!U$13</f>
        <v>0.17143660612919609</v>
      </c>
      <c r="R52" s="72">
        <f>'Water Security Calculations'!V$13</f>
        <v>0.18206970002882128</v>
      </c>
      <c r="S52" s="72">
        <f>'Water Security Calculations'!W$13</f>
        <v>0.1925663376395077</v>
      </c>
      <c r="T52" s="72">
        <f>'Water Security Calculations'!X$13</f>
        <v>0.20292827012784564</v>
      </c>
      <c r="U52" s="72">
        <f>'Water Security Calculations'!Y$13</f>
        <v>0.21315722618740918</v>
      </c>
      <c r="V52" s="72">
        <f>'Water Security Calculations'!Z$13</f>
        <v>0.22325491232715611</v>
      </c>
      <c r="W52" s="72">
        <f>'Water Security Calculations'!AA$13</f>
        <v>0.23322301315612637</v>
      </c>
      <c r="X52" s="72">
        <f>'Water Security Calculations'!AB$13</f>
        <v>0.24408334555233857</v>
      </c>
      <c r="Y52" s="72">
        <f>'Water Security Calculations'!AC$13</f>
        <v>0.25378415158177536</v>
      </c>
      <c r="Z52" s="72">
        <f>'Water Security Calculations'!AD$13</f>
        <v>0.26460313838378624</v>
      </c>
      <c r="AA52" s="72">
        <f>'Water Security Calculations'!AE$13</f>
        <v>0.27637138875241385</v>
      </c>
      <c r="AB52" s="72">
        <f>'Water Security Calculations'!AF$13</f>
        <v>0.29013847267421189</v>
      </c>
      <c r="AC52" s="72">
        <f>'Water Security Calculations'!AG$13</f>
        <v>0.29924824548293361</v>
      </c>
      <c r="AD52" s="72">
        <f>'Water Security Calculations'!AH$13</f>
        <v>0.31001126193409667</v>
      </c>
      <c r="AE52" s="72">
        <f>'Water Security Calculations'!AI$13</f>
        <v>0.31886600388360975</v>
      </c>
      <c r="AF52" s="72">
        <f>'Water Security Calculations'!AJ$13</f>
        <v>0.32760711143495524</v>
      </c>
      <c r="AG52" s="72">
        <f>'Water Security Calculations'!AK$13</f>
        <v>0.33623604287754705</v>
      </c>
      <c r="AH52" s="72"/>
      <c r="AI52" s="72"/>
      <c r="AJ52" s="72"/>
      <c r="AK52" s="72"/>
      <c r="AL52" s="72"/>
      <c r="AM52" s="72"/>
      <c r="AN52" s="72"/>
      <c r="AO52" s="72"/>
      <c r="AP52" s="72"/>
      <c r="AQ52" s="72"/>
    </row>
    <row r="53" spans="3:43">
      <c r="C53" t="str">
        <f>'Household values'!D55</f>
        <v>City of Ekurhuleni</v>
      </c>
      <c r="D53" s="72">
        <f>'Water Security Calculations'!H$13</f>
        <v>3.4643818976546892E-2</v>
      </c>
      <c r="E53" s="72">
        <f>'Water Security Calculations'!I$13</f>
        <v>4.7032397805080728E-2</v>
      </c>
      <c r="F53" s="72">
        <f>'Water Security Calculations'!J$13</f>
        <v>5.9261991910247391E-2</v>
      </c>
      <c r="G53" s="72">
        <f>'Water Security Calculations'!K$13</f>
        <v>7.1334641569839263E-2</v>
      </c>
      <c r="H53" s="72">
        <f>'Water Security Calculations'!L$13</f>
        <v>8.3252360878419696E-2</v>
      </c>
      <c r="I53" s="72">
        <f>'Water Security Calculations'!M$13</f>
        <v>9.3778890841076712E-2</v>
      </c>
      <c r="J53" s="72">
        <f>'Water Security Calculations'!N$13</f>
        <v>0.10311666067309</v>
      </c>
      <c r="K53" s="72">
        <f>'Water Security Calculations'!O$13</f>
        <v>0.11311817859340489</v>
      </c>
      <c r="L53" s="72">
        <f>'Water Security Calculations'!P$13</f>
        <v>0.12167061953243052</v>
      </c>
      <c r="M53" s="72">
        <f>'Water Security Calculations'!Q$13</f>
        <v>0.12750384128682524</v>
      </c>
      <c r="N53" s="72">
        <f>'Water Security Calculations'!R$13</f>
        <v>0.13870073177376618</v>
      </c>
      <c r="O53" s="72">
        <f>'Water Security Calculations'!S$13</f>
        <v>0.14975393067499121</v>
      </c>
      <c r="P53" s="72">
        <f>'Water Security Calculations'!T$13</f>
        <v>0.16066528200887564</v>
      </c>
      <c r="Q53" s="72">
        <f>'Water Security Calculations'!U$13</f>
        <v>0.17143660612919609</v>
      </c>
      <c r="R53" s="72">
        <f>'Water Security Calculations'!V$13</f>
        <v>0.18206970002882128</v>
      </c>
      <c r="S53" s="72">
        <f>'Water Security Calculations'!W$13</f>
        <v>0.1925663376395077</v>
      </c>
      <c r="T53" s="72">
        <f>'Water Security Calculations'!X$13</f>
        <v>0.20292827012784564</v>
      </c>
      <c r="U53" s="72">
        <f>'Water Security Calculations'!Y$13</f>
        <v>0.21315722618740918</v>
      </c>
      <c r="V53" s="72">
        <f>'Water Security Calculations'!Z$13</f>
        <v>0.22325491232715611</v>
      </c>
      <c r="W53" s="72">
        <f>'Water Security Calculations'!AA$13</f>
        <v>0.23322301315612637</v>
      </c>
      <c r="X53" s="72">
        <f>'Water Security Calculations'!AB$13</f>
        <v>0.24408334555233857</v>
      </c>
      <c r="Y53" s="72">
        <f>'Water Security Calculations'!AC$13</f>
        <v>0.25378415158177536</v>
      </c>
      <c r="Z53" s="72">
        <f>'Water Security Calculations'!AD$13</f>
        <v>0.26460313838378624</v>
      </c>
      <c r="AA53" s="72">
        <f>'Water Security Calculations'!AE$13</f>
        <v>0.27637138875241385</v>
      </c>
      <c r="AB53" s="72">
        <f>'Water Security Calculations'!AF$13</f>
        <v>0.29013847267421189</v>
      </c>
      <c r="AC53" s="72">
        <f>'Water Security Calculations'!AG$13</f>
        <v>0.29924824548293361</v>
      </c>
      <c r="AD53" s="72">
        <f>'Water Security Calculations'!AH$13</f>
        <v>0.31001126193409667</v>
      </c>
      <c r="AE53" s="72">
        <f>'Water Security Calculations'!AI$13</f>
        <v>0.31886600388360975</v>
      </c>
      <c r="AF53" s="72">
        <f>'Water Security Calculations'!AJ$13</f>
        <v>0.32760711143495524</v>
      </c>
      <c r="AG53" s="72">
        <f>'Water Security Calculations'!AK$13</f>
        <v>0.33623604287754705</v>
      </c>
      <c r="AH53" s="72"/>
      <c r="AI53" s="72"/>
      <c r="AJ53" s="72"/>
      <c r="AK53" s="72"/>
      <c r="AL53" s="72"/>
      <c r="AM53" s="72"/>
      <c r="AN53" s="72"/>
      <c r="AO53" s="72"/>
      <c r="AP53" s="72"/>
      <c r="AQ53" s="72"/>
    </row>
    <row r="54" spans="3:43">
      <c r="C54" t="str">
        <f>'Household values'!D56</f>
        <v>City of Johannesburg Metropolitan Municipality</v>
      </c>
      <c r="D54" s="72">
        <f>'Water Security Calculations'!H$13</f>
        <v>3.4643818976546892E-2</v>
      </c>
      <c r="E54" s="72">
        <f>'Water Security Calculations'!I$13</f>
        <v>4.7032397805080728E-2</v>
      </c>
      <c r="F54" s="72">
        <f>'Water Security Calculations'!J$13</f>
        <v>5.9261991910247391E-2</v>
      </c>
      <c r="G54" s="72">
        <f>'Water Security Calculations'!K$13</f>
        <v>7.1334641569839263E-2</v>
      </c>
      <c r="H54" s="72">
        <f>'Water Security Calculations'!L$13</f>
        <v>8.3252360878419696E-2</v>
      </c>
      <c r="I54" s="72">
        <f>'Water Security Calculations'!M$13</f>
        <v>9.3778890841076712E-2</v>
      </c>
      <c r="J54" s="72">
        <f>'Water Security Calculations'!N$13</f>
        <v>0.10311666067309</v>
      </c>
      <c r="K54" s="72">
        <f>'Water Security Calculations'!O$13</f>
        <v>0.11311817859340489</v>
      </c>
      <c r="L54" s="72">
        <f>'Water Security Calculations'!P$13</f>
        <v>0.12167061953243052</v>
      </c>
      <c r="M54" s="72">
        <f>'Water Security Calculations'!Q$13</f>
        <v>0.12750384128682524</v>
      </c>
      <c r="N54" s="72">
        <f>'Water Security Calculations'!R$13</f>
        <v>0.13870073177376618</v>
      </c>
      <c r="O54" s="72">
        <f>'Water Security Calculations'!S$13</f>
        <v>0.14975393067499121</v>
      </c>
      <c r="P54" s="72">
        <f>'Water Security Calculations'!T$13</f>
        <v>0.16066528200887564</v>
      </c>
      <c r="Q54" s="72">
        <f>'Water Security Calculations'!U$13</f>
        <v>0.17143660612919609</v>
      </c>
      <c r="R54" s="72">
        <f>'Water Security Calculations'!V$13</f>
        <v>0.18206970002882128</v>
      </c>
      <c r="S54" s="72">
        <f>'Water Security Calculations'!W$13</f>
        <v>0.1925663376395077</v>
      </c>
      <c r="T54" s="72">
        <f>'Water Security Calculations'!X$13</f>
        <v>0.20292827012784564</v>
      </c>
      <c r="U54" s="72">
        <f>'Water Security Calculations'!Y$13</f>
        <v>0.21315722618740918</v>
      </c>
      <c r="V54" s="72">
        <f>'Water Security Calculations'!Z$13</f>
        <v>0.22325491232715611</v>
      </c>
      <c r="W54" s="72">
        <f>'Water Security Calculations'!AA$13</f>
        <v>0.23322301315612637</v>
      </c>
      <c r="X54" s="72">
        <f>'Water Security Calculations'!AB$13</f>
        <v>0.24408334555233857</v>
      </c>
      <c r="Y54" s="72">
        <f>'Water Security Calculations'!AC$13</f>
        <v>0.25378415158177536</v>
      </c>
      <c r="Z54" s="72">
        <f>'Water Security Calculations'!AD$13</f>
        <v>0.26460313838378624</v>
      </c>
      <c r="AA54" s="72">
        <f>'Water Security Calculations'!AE$13</f>
        <v>0.27637138875241385</v>
      </c>
      <c r="AB54" s="72">
        <f>'Water Security Calculations'!AF$13</f>
        <v>0.29013847267421189</v>
      </c>
      <c r="AC54" s="72">
        <f>'Water Security Calculations'!AG$13</f>
        <v>0.29924824548293361</v>
      </c>
      <c r="AD54" s="72">
        <f>'Water Security Calculations'!AH$13</f>
        <v>0.31001126193409667</v>
      </c>
      <c r="AE54" s="72">
        <f>'Water Security Calculations'!AI$13</f>
        <v>0.31886600388360975</v>
      </c>
      <c r="AF54" s="72">
        <f>'Water Security Calculations'!AJ$13</f>
        <v>0.32760711143495524</v>
      </c>
      <c r="AG54" s="72">
        <f>'Water Security Calculations'!AK$13</f>
        <v>0.33623604287754705</v>
      </c>
      <c r="AH54" s="72"/>
      <c r="AI54" s="72"/>
      <c r="AJ54" s="72"/>
      <c r="AK54" s="72"/>
      <c r="AL54" s="72"/>
      <c r="AM54" s="72"/>
      <c r="AN54" s="72"/>
      <c r="AO54" s="72"/>
      <c r="AP54" s="72"/>
      <c r="AQ54" s="72"/>
    </row>
    <row r="55" spans="3:43">
      <c r="C55" t="str">
        <f>'Household values'!D57</f>
        <v>City of Tshwane Metropolitan Municipality</v>
      </c>
      <c r="D55" s="72">
        <f>'Water Security Calculations'!H$13</f>
        <v>3.4643818976546892E-2</v>
      </c>
      <c r="E55" s="72">
        <f>'Water Security Calculations'!I$13</f>
        <v>4.7032397805080728E-2</v>
      </c>
      <c r="F55" s="72">
        <f>'Water Security Calculations'!J$13</f>
        <v>5.9261991910247391E-2</v>
      </c>
      <c r="G55" s="72">
        <f>'Water Security Calculations'!K$13</f>
        <v>7.1334641569839263E-2</v>
      </c>
      <c r="H55" s="72">
        <f>'Water Security Calculations'!L$13</f>
        <v>8.3252360878419696E-2</v>
      </c>
      <c r="I55" s="72">
        <f>'Water Security Calculations'!M$13</f>
        <v>9.3778890841076712E-2</v>
      </c>
      <c r="J55" s="72">
        <f>'Water Security Calculations'!N$13</f>
        <v>0.10311666067309</v>
      </c>
      <c r="K55" s="72">
        <f>'Water Security Calculations'!O$13</f>
        <v>0.11311817859340489</v>
      </c>
      <c r="L55" s="72">
        <f>'Water Security Calculations'!P$13</f>
        <v>0.12167061953243052</v>
      </c>
      <c r="M55" s="72">
        <f>'Water Security Calculations'!Q$13</f>
        <v>0.12750384128682524</v>
      </c>
      <c r="N55" s="72">
        <f>'Water Security Calculations'!R$13</f>
        <v>0.13870073177376618</v>
      </c>
      <c r="O55" s="72">
        <f>'Water Security Calculations'!S$13</f>
        <v>0.14975393067499121</v>
      </c>
      <c r="P55" s="72">
        <f>'Water Security Calculations'!T$13</f>
        <v>0.16066528200887564</v>
      </c>
      <c r="Q55" s="72">
        <f>'Water Security Calculations'!U$13</f>
        <v>0.17143660612919609</v>
      </c>
      <c r="R55" s="72">
        <f>'Water Security Calculations'!V$13</f>
        <v>0.18206970002882128</v>
      </c>
      <c r="S55" s="72">
        <f>'Water Security Calculations'!W$13</f>
        <v>0.1925663376395077</v>
      </c>
      <c r="T55" s="72">
        <f>'Water Security Calculations'!X$13</f>
        <v>0.20292827012784564</v>
      </c>
      <c r="U55" s="72">
        <f>'Water Security Calculations'!Y$13</f>
        <v>0.21315722618740918</v>
      </c>
      <c r="V55" s="72">
        <f>'Water Security Calculations'!Z$13</f>
        <v>0.22325491232715611</v>
      </c>
      <c r="W55" s="72">
        <f>'Water Security Calculations'!AA$13</f>
        <v>0.23322301315612637</v>
      </c>
      <c r="X55" s="72">
        <f>'Water Security Calculations'!AB$13</f>
        <v>0.24408334555233857</v>
      </c>
      <c r="Y55" s="72">
        <f>'Water Security Calculations'!AC$13</f>
        <v>0.25378415158177536</v>
      </c>
      <c r="Z55" s="72">
        <f>'Water Security Calculations'!AD$13</f>
        <v>0.26460313838378624</v>
      </c>
      <c r="AA55" s="72">
        <f>'Water Security Calculations'!AE$13</f>
        <v>0.27637138875241385</v>
      </c>
      <c r="AB55" s="72">
        <f>'Water Security Calculations'!AF$13</f>
        <v>0.29013847267421189</v>
      </c>
      <c r="AC55" s="72">
        <f>'Water Security Calculations'!AG$13</f>
        <v>0.29924824548293361</v>
      </c>
      <c r="AD55" s="72">
        <f>'Water Security Calculations'!AH$13</f>
        <v>0.31001126193409667</v>
      </c>
      <c r="AE55" s="72">
        <f>'Water Security Calculations'!AI$13</f>
        <v>0.31886600388360975</v>
      </c>
      <c r="AF55" s="72">
        <f>'Water Security Calculations'!AJ$13</f>
        <v>0.32760711143495524</v>
      </c>
      <c r="AG55" s="72">
        <f>'Water Security Calculations'!AK$13</f>
        <v>0.33623604287754705</v>
      </c>
      <c r="AH55" s="72"/>
      <c r="AI55" s="72"/>
      <c r="AJ55" s="72"/>
      <c r="AK55" s="72"/>
      <c r="AL55" s="72"/>
      <c r="AM55" s="72"/>
      <c r="AN55" s="72"/>
      <c r="AO55" s="72"/>
      <c r="AP55" s="72"/>
      <c r="AQ55" s="72"/>
    </row>
    <row r="56" spans="3:43">
      <c r="C56" t="str">
        <f>'Household values'!D58</f>
        <v>eThekwini Metropolitan Municipality</v>
      </c>
      <c r="D56" s="72">
        <f>'Water Security Calculations'!H$13</f>
        <v>3.4643818976546892E-2</v>
      </c>
      <c r="E56" s="72">
        <f>'Water Security Calculations'!I$13</f>
        <v>4.7032397805080728E-2</v>
      </c>
      <c r="F56" s="72">
        <f>'Water Security Calculations'!J$13</f>
        <v>5.9261991910247391E-2</v>
      </c>
      <c r="G56" s="72">
        <f>'Water Security Calculations'!K$13</f>
        <v>7.1334641569839263E-2</v>
      </c>
      <c r="H56" s="72">
        <f>'Water Security Calculations'!L$13</f>
        <v>8.3252360878419696E-2</v>
      </c>
      <c r="I56" s="72">
        <f>'Water Security Calculations'!M$13</f>
        <v>9.3778890841076712E-2</v>
      </c>
      <c r="J56" s="72">
        <f>'Water Security Calculations'!N$13</f>
        <v>0.10311666067309</v>
      </c>
      <c r="K56" s="72">
        <f>'Water Security Calculations'!O$13</f>
        <v>0.11311817859340489</v>
      </c>
      <c r="L56" s="72">
        <f>'Water Security Calculations'!P$13</f>
        <v>0.12167061953243052</v>
      </c>
      <c r="M56" s="72">
        <f>'Water Security Calculations'!Q$13</f>
        <v>0.12750384128682524</v>
      </c>
      <c r="N56" s="72">
        <f>'Water Security Calculations'!R$13</f>
        <v>0.13870073177376618</v>
      </c>
      <c r="O56" s="72">
        <f>'Water Security Calculations'!S$13</f>
        <v>0.14975393067499121</v>
      </c>
      <c r="P56" s="72">
        <f>'Water Security Calculations'!T$13</f>
        <v>0.16066528200887564</v>
      </c>
      <c r="Q56" s="72">
        <f>'Water Security Calculations'!U$13</f>
        <v>0.17143660612919609</v>
      </c>
      <c r="R56" s="72">
        <f>'Water Security Calculations'!V$13</f>
        <v>0.18206970002882128</v>
      </c>
      <c r="S56" s="72">
        <f>'Water Security Calculations'!W$13</f>
        <v>0.1925663376395077</v>
      </c>
      <c r="T56" s="72">
        <f>'Water Security Calculations'!X$13</f>
        <v>0.20292827012784564</v>
      </c>
      <c r="U56" s="72">
        <f>'Water Security Calculations'!Y$13</f>
        <v>0.21315722618740918</v>
      </c>
      <c r="V56" s="72">
        <f>'Water Security Calculations'!Z$13</f>
        <v>0.22325491232715611</v>
      </c>
      <c r="W56" s="72">
        <f>'Water Security Calculations'!AA$13</f>
        <v>0.23322301315612637</v>
      </c>
      <c r="X56" s="72">
        <f>'Water Security Calculations'!AB$13</f>
        <v>0.24408334555233857</v>
      </c>
      <c r="Y56" s="72">
        <f>'Water Security Calculations'!AC$13</f>
        <v>0.25378415158177536</v>
      </c>
      <c r="Z56" s="72">
        <f>'Water Security Calculations'!AD$13</f>
        <v>0.26460313838378624</v>
      </c>
      <c r="AA56" s="72">
        <f>'Water Security Calculations'!AE$13</f>
        <v>0.27637138875241385</v>
      </c>
      <c r="AB56" s="72">
        <f>'Water Security Calculations'!AF$13</f>
        <v>0.29013847267421189</v>
      </c>
      <c r="AC56" s="72">
        <f>'Water Security Calculations'!AG$13</f>
        <v>0.29924824548293361</v>
      </c>
      <c r="AD56" s="72">
        <f>'Water Security Calculations'!AH$13</f>
        <v>0.31001126193409667</v>
      </c>
      <c r="AE56" s="72">
        <f>'Water Security Calculations'!AI$13</f>
        <v>0.31886600388360975</v>
      </c>
      <c r="AF56" s="72">
        <f>'Water Security Calculations'!AJ$13</f>
        <v>0.32760711143495524</v>
      </c>
      <c r="AG56" s="72">
        <f>'Water Security Calculations'!AK$13</f>
        <v>0.33623604287754705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</row>
    <row r="57" spans="3:43">
      <c r="C57" t="str">
        <f>'Household values'!D59</f>
        <v>Indicative Project A</v>
      </c>
      <c r="D57" s="72">
        <f>'Water Security Calculations'!H$13</f>
        <v>3.4643818976546892E-2</v>
      </c>
      <c r="E57" s="72">
        <f>'Water Security Calculations'!I$13</f>
        <v>4.7032397805080728E-2</v>
      </c>
      <c r="F57" s="72">
        <f>'Water Security Calculations'!J$13</f>
        <v>5.9261991910247391E-2</v>
      </c>
      <c r="G57" s="72">
        <f>'Water Security Calculations'!K$13</f>
        <v>7.1334641569839263E-2</v>
      </c>
      <c r="H57" s="72">
        <f>'Water Security Calculations'!L$13</f>
        <v>8.3252360878419696E-2</v>
      </c>
      <c r="I57" s="72">
        <f>'Water Security Calculations'!M$13</f>
        <v>9.3778890841076712E-2</v>
      </c>
      <c r="J57" s="72">
        <f>'Water Security Calculations'!N$13</f>
        <v>0.10311666067309</v>
      </c>
      <c r="K57" s="72">
        <f>'Water Security Calculations'!O$13</f>
        <v>0.11311817859340489</v>
      </c>
      <c r="L57" s="72">
        <f>'Water Security Calculations'!P$13</f>
        <v>0.12167061953243052</v>
      </c>
      <c r="M57" s="72">
        <f>'Water Security Calculations'!Q$13</f>
        <v>0.12750384128682524</v>
      </c>
      <c r="N57" s="72">
        <f>'Water Security Calculations'!R$13</f>
        <v>0.13870073177376618</v>
      </c>
      <c r="O57" s="72">
        <f>'Water Security Calculations'!S$13</f>
        <v>0.14975393067499121</v>
      </c>
      <c r="P57" s="72">
        <f>'Water Security Calculations'!T$13</f>
        <v>0.16066528200887564</v>
      </c>
      <c r="Q57" s="72">
        <f>'Water Security Calculations'!U$13</f>
        <v>0.17143660612919609</v>
      </c>
      <c r="R57" s="72">
        <f>'Water Security Calculations'!V$13</f>
        <v>0.18206970002882128</v>
      </c>
      <c r="S57" s="72">
        <f>'Water Security Calculations'!W$13</f>
        <v>0.1925663376395077</v>
      </c>
      <c r="T57" s="72">
        <f>'Water Security Calculations'!X$13</f>
        <v>0.20292827012784564</v>
      </c>
      <c r="U57" s="72">
        <f>'Water Security Calculations'!Y$13</f>
        <v>0.21315722618740918</v>
      </c>
      <c r="V57" s="72">
        <f>'Water Security Calculations'!Z$13</f>
        <v>0.22325491232715611</v>
      </c>
      <c r="W57" s="72">
        <f>'Water Security Calculations'!AA$13</f>
        <v>0.23322301315612637</v>
      </c>
      <c r="X57" s="72">
        <f>'Water Security Calculations'!AB$13</f>
        <v>0.24408334555233857</v>
      </c>
      <c r="Y57" s="72">
        <f>'Water Security Calculations'!AC$13</f>
        <v>0.25378415158177536</v>
      </c>
      <c r="Z57" s="72">
        <f>'Water Security Calculations'!AD$13</f>
        <v>0.26460313838378624</v>
      </c>
      <c r="AA57" s="72">
        <f>'Water Security Calculations'!AE$13</f>
        <v>0.27637138875241385</v>
      </c>
      <c r="AB57" s="72">
        <f>'Water Security Calculations'!AF$13</f>
        <v>0.29013847267421189</v>
      </c>
      <c r="AC57" s="72">
        <f>'Water Security Calculations'!AG$13</f>
        <v>0.29924824548293361</v>
      </c>
      <c r="AD57" s="72">
        <f>'Water Security Calculations'!AH$13</f>
        <v>0.31001126193409667</v>
      </c>
      <c r="AE57" s="72">
        <f>'Water Security Calculations'!AI$13</f>
        <v>0.31886600388360975</v>
      </c>
      <c r="AF57" s="72">
        <f>'Water Security Calculations'!AJ$13</f>
        <v>0.32760711143495524</v>
      </c>
      <c r="AG57" s="72">
        <f>'Water Security Calculations'!AK$13</f>
        <v>0.33623604287754705</v>
      </c>
      <c r="AH57" s="72"/>
      <c r="AI57" s="72"/>
      <c r="AJ57" s="72"/>
      <c r="AK57" s="72"/>
      <c r="AL57" s="72"/>
      <c r="AM57" s="72"/>
      <c r="AN57" s="72"/>
      <c r="AO57" s="72"/>
      <c r="AP57" s="72"/>
      <c r="AQ57" s="72"/>
    </row>
    <row r="58" spans="3:43">
      <c r="C58" t="str">
        <f>'Household values'!D60</f>
        <v>City of Cape Town Metrolpolitan Municipality</v>
      </c>
      <c r="D58" s="72">
        <f>'Water Security Calculations'!H$13</f>
        <v>3.4643818976546892E-2</v>
      </c>
      <c r="E58" s="72">
        <f>'Water Security Calculations'!I$13</f>
        <v>4.7032397805080728E-2</v>
      </c>
      <c r="F58" s="72">
        <f>'Water Security Calculations'!J$13</f>
        <v>5.9261991910247391E-2</v>
      </c>
      <c r="G58" s="72">
        <f>'Water Security Calculations'!K$13</f>
        <v>7.1334641569839263E-2</v>
      </c>
      <c r="H58" s="72">
        <f>'Water Security Calculations'!L$13</f>
        <v>8.3252360878419696E-2</v>
      </c>
      <c r="I58" s="72">
        <f>'Water Security Calculations'!M$13</f>
        <v>9.3778890841076712E-2</v>
      </c>
      <c r="J58" s="72">
        <f>'Water Security Calculations'!N$13</f>
        <v>0.10311666067309</v>
      </c>
      <c r="K58" s="72">
        <f>'Water Security Calculations'!O$13</f>
        <v>0.11311817859340489</v>
      </c>
      <c r="L58" s="72">
        <f>'Water Security Calculations'!P$13</f>
        <v>0.12167061953243052</v>
      </c>
      <c r="M58" s="72">
        <f>'Water Security Calculations'!Q$13</f>
        <v>0.12750384128682524</v>
      </c>
      <c r="N58" s="72">
        <f>'Water Security Calculations'!R$13</f>
        <v>0.13870073177376618</v>
      </c>
      <c r="O58" s="72">
        <f>'Water Security Calculations'!S$13</f>
        <v>0.14975393067499121</v>
      </c>
      <c r="P58" s="72">
        <f>'Water Security Calculations'!T$13</f>
        <v>0.16066528200887564</v>
      </c>
      <c r="Q58" s="72">
        <f>'Water Security Calculations'!U$13</f>
        <v>0.17143660612919609</v>
      </c>
      <c r="R58" s="72">
        <f>'Water Security Calculations'!V$13</f>
        <v>0.18206970002882128</v>
      </c>
      <c r="S58" s="72">
        <f>'Water Security Calculations'!W$13</f>
        <v>0.1925663376395077</v>
      </c>
      <c r="T58" s="72">
        <f>'Water Security Calculations'!X$13</f>
        <v>0.20292827012784564</v>
      </c>
      <c r="U58" s="72">
        <f>'Water Security Calculations'!Y$13</f>
        <v>0.21315722618740918</v>
      </c>
      <c r="V58" s="72">
        <f>'Water Security Calculations'!Z$13</f>
        <v>0.22325491232715611</v>
      </c>
      <c r="W58" s="72">
        <f>'Water Security Calculations'!AA$13</f>
        <v>0.23322301315612637</v>
      </c>
      <c r="X58" s="72">
        <f>'Water Security Calculations'!AB$13</f>
        <v>0.24408334555233857</v>
      </c>
      <c r="Y58" s="72">
        <f>'Water Security Calculations'!AC$13</f>
        <v>0.25378415158177536</v>
      </c>
      <c r="Z58" s="72">
        <f>'Water Security Calculations'!AD$13</f>
        <v>0.26460313838378624</v>
      </c>
      <c r="AA58" s="72">
        <f>'Water Security Calculations'!AE$13</f>
        <v>0.27637138875241385</v>
      </c>
      <c r="AB58" s="72">
        <f>'Water Security Calculations'!AF$13</f>
        <v>0.29013847267421189</v>
      </c>
      <c r="AC58" s="72">
        <f>'Water Security Calculations'!AG$13</f>
        <v>0.29924824548293361</v>
      </c>
      <c r="AD58" s="72">
        <f>'Water Security Calculations'!AH$13</f>
        <v>0.31001126193409667</v>
      </c>
      <c r="AE58" s="72">
        <f>'Water Security Calculations'!AI$13</f>
        <v>0.31886600388360975</v>
      </c>
      <c r="AF58" s="72">
        <f>'Water Security Calculations'!AJ$13</f>
        <v>0.32760711143495524</v>
      </c>
      <c r="AG58" s="72">
        <f>'Water Security Calculations'!AK$13</f>
        <v>0.33623604287754705</v>
      </c>
      <c r="AH58" s="72"/>
      <c r="AI58" s="72"/>
      <c r="AJ58" s="72"/>
      <c r="AK58" s="72"/>
      <c r="AL58" s="72"/>
      <c r="AM58" s="72"/>
      <c r="AN58" s="72"/>
      <c r="AO58" s="72"/>
      <c r="AP58" s="72"/>
      <c r="AQ58" s="72"/>
    </row>
    <row r="59" spans="3:43">
      <c r="C59" t="str">
        <f>'Household values'!D61</f>
        <v>Drakenstein Local Municipality</v>
      </c>
      <c r="D59" s="72">
        <f>'Water Security Calculations'!H$13</f>
        <v>3.4643818976546892E-2</v>
      </c>
      <c r="E59" s="72">
        <f>'Water Security Calculations'!I$13</f>
        <v>4.7032397805080728E-2</v>
      </c>
      <c r="F59" s="72">
        <f>'Water Security Calculations'!J$13</f>
        <v>5.9261991910247391E-2</v>
      </c>
      <c r="G59" s="72">
        <f>'Water Security Calculations'!K$13</f>
        <v>7.1334641569839263E-2</v>
      </c>
      <c r="H59" s="72">
        <f>'Water Security Calculations'!L$13</f>
        <v>8.3252360878419696E-2</v>
      </c>
      <c r="I59" s="72">
        <f>'Water Security Calculations'!M$13</f>
        <v>9.3778890841076712E-2</v>
      </c>
      <c r="J59" s="72">
        <f>'Water Security Calculations'!N$13</f>
        <v>0.10311666067309</v>
      </c>
      <c r="K59" s="72">
        <f>'Water Security Calculations'!O$13</f>
        <v>0.11311817859340489</v>
      </c>
      <c r="L59" s="72">
        <f>'Water Security Calculations'!P$13</f>
        <v>0.12167061953243052</v>
      </c>
      <c r="M59" s="72">
        <f>'Water Security Calculations'!Q$13</f>
        <v>0.12750384128682524</v>
      </c>
      <c r="N59" s="72">
        <f>'Water Security Calculations'!R$13</f>
        <v>0.13870073177376618</v>
      </c>
      <c r="O59" s="72">
        <f>'Water Security Calculations'!S$13</f>
        <v>0.14975393067499121</v>
      </c>
      <c r="P59" s="72">
        <f>'Water Security Calculations'!T$13</f>
        <v>0.16066528200887564</v>
      </c>
      <c r="Q59" s="72">
        <f>'Water Security Calculations'!U$13</f>
        <v>0.17143660612919609</v>
      </c>
      <c r="R59" s="72">
        <f>'Water Security Calculations'!V$13</f>
        <v>0.18206970002882128</v>
      </c>
      <c r="S59" s="72">
        <f>'Water Security Calculations'!W$13</f>
        <v>0.1925663376395077</v>
      </c>
      <c r="T59" s="72">
        <f>'Water Security Calculations'!X$13</f>
        <v>0.20292827012784564</v>
      </c>
      <c r="U59" s="72">
        <f>'Water Security Calculations'!Y$13</f>
        <v>0.21315722618740918</v>
      </c>
      <c r="V59" s="72">
        <f>'Water Security Calculations'!Z$13</f>
        <v>0.22325491232715611</v>
      </c>
      <c r="W59" s="72">
        <f>'Water Security Calculations'!AA$13</f>
        <v>0.23322301315612637</v>
      </c>
      <c r="X59" s="72">
        <f>'Water Security Calculations'!AB$13</f>
        <v>0.24408334555233857</v>
      </c>
      <c r="Y59" s="72">
        <f>'Water Security Calculations'!AC$13</f>
        <v>0.25378415158177536</v>
      </c>
      <c r="Z59" s="72">
        <f>'Water Security Calculations'!AD$13</f>
        <v>0.26460313838378624</v>
      </c>
      <c r="AA59" s="72">
        <f>'Water Security Calculations'!AE$13</f>
        <v>0.27637138875241385</v>
      </c>
      <c r="AB59" s="72">
        <f>'Water Security Calculations'!AF$13</f>
        <v>0.29013847267421189</v>
      </c>
      <c r="AC59" s="72">
        <f>'Water Security Calculations'!AG$13</f>
        <v>0.29924824548293361</v>
      </c>
      <c r="AD59" s="72">
        <f>'Water Security Calculations'!AH$13</f>
        <v>0.31001126193409667</v>
      </c>
      <c r="AE59" s="72">
        <f>'Water Security Calculations'!AI$13</f>
        <v>0.31886600388360975</v>
      </c>
      <c r="AF59" s="72">
        <f>'Water Security Calculations'!AJ$13</f>
        <v>0.32760711143495524</v>
      </c>
      <c r="AG59" s="72">
        <f>'Water Security Calculations'!AK$13</f>
        <v>0.33623604287754705</v>
      </c>
      <c r="AH59" s="72"/>
      <c r="AI59" s="72"/>
      <c r="AJ59" s="72"/>
      <c r="AK59" s="72"/>
      <c r="AL59" s="72"/>
      <c r="AM59" s="72"/>
      <c r="AN59" s="72"/>
      <c r="AO59" s="72"/>
      <c r="AP59" s="72"/>
      <c r="AQ59" s="72"/>
    </row>
    <row r="60" spans="3:43">
      <c r="C60" t="str">
        <f>'Household values'!D62</f>
        <v>Indicative Project B</v>
      </c>
      <c r="D60" s="72">
        <f>'Water Security Calculations'!H$13</f>
        <v>3.4643818976546892E-2</v>
      </c>
      <c r="E60" s="72">
        <f>'Water Security Calculations'!I$13</f>
        <v>4.7032397805080728E-2</v>
      </c>
      <c r="F60" s="72">
        <f>'Water Security Calculations'!J$13</f>
        <v>5.9261991910247391E-2</v>
      </c>
      <c r="G60" s="72">
        <f>'Water Security Calculations'!K$13</f>
        <v>7.1334641569839263E-2</v>
      </c>
      <c r="H60" s="72">
        <f>'Water Security Calculations'!L$13</f>
        <v>8.3252360878419696E-2</v>
      </c>
      <c r="I60" s="72">
        <f>'Water Security Calculations'!M$13</f>
        <v>9.3778890841076712E-2</v>
      </c>
      <c r="J60" s="72">
        <f>'Water Security Calculations'!N$13</f>
        <v>0.10311666067309</v>
      </c>
      <c r="K60" s="72">
        <f>'Water Security Calculations'!O$13</f>
        <v>0.11311817859340489</v>
      </c>
      <c r="L60" s="72">
        <f>'Water Security Calculations'!P$13</f>
        <v>0.12167061953243052</v>
      </c>
      <c r="M60" s="72">
        <f>'Water Security Calculations'!Q$13</f>
        <v>0.12750384128682524</v>
      </c>
      <c r="N60" s="72">
        <f>'Water Security Calculations'!R$13</f>
        <v>0.13870073177376618</v>
      </c>
      <c r="O60" s="72">
        <f>'Water Security Calculations'!S$13</f>
        <v>0.14975393067499121</v>
      </c>
      <c r="P60" s="72">
        <f>'Water Security Calculations'!T$13</f>
        <v>0.16066528200887564</v>
      </c>
      <c r="Q60" s="72">
        <f>'Water Security Calculations'!U$13</f>
        <v>0.17143660612919609</v>
      </c>
      <c r="R60" s="72">
        <f>'Water Security Calculations'!V$13</f>
        <v>0.18206970002882128</v>
      </c>
      <c r="S60" s="72">
        <f>'Water Security Calculations'!W$13</f>
        <v>0.1925663376395077</v>
      </c>
      <c r="T60" s="72">
        <f>'Water Security Calculations'!X$13</f>
        <v>0.20292827012784564</v>
      </c>
      <c r="U60" s="72">
        <f>'Water Security Calculations'!Y$13</f>
        <v>0.21315722618740918</v>
      </c>
      <c r="V60" s="72">
        <f>'Water Security Calculations'!Z$13</f>
        <v>0.22325491232715611</v>
      </c>
      <c r="W60" s="72">
        <f>'Water Security Calculations'!AA$13</f>
        <v>0.23322301315612637</v>
      </c>
      <c r="X60" s="72">
        <f>'Water Security Calculations'!AB$13</f>
        <v>0.24408334555233857</v>
      </c>
      <c r="Y60" s="72">
        <f>'Water Security Calculations'!AC$13</f>
        <v>0.25378415158177536</v>
      </c>
      <c r="Z60" s="72">
        <f>'Water Security Calculations'!AD$13</f>
        <v>0.26460313838378624</v>
      </c>
      <c r="AA60" s="72">
        <f>'Water Security Calculations'!AE$13</f>
        <v>0.27637138875241385</v>
      </c>
      <c r="AB60" s="72">
        <f>'Water Security Calculations'!AF$13</f>
        <v>0.29013847267421189</v>
      </c>
      <c r="AC60" s="72">
        <f>'Water Security Calculations'!AG$13</f>
        <v>0.29924824548293361</v>
      </c>
      <c r="AD60" s="72">
        <f>'Water Security Calculations'!AH$13</f>
        <v>0.31001126193409667</v>
      </c>
      <c r="AE60" s="72">
        <f>'Water Security Calculations'!AI$13</f>
        <v>0.31886600388360975</v>
      </c>
      <c r="AF60" s="72">
        <f>'Water Security Calculations'!AJ$13</f>
        <v>0.32760711143495524</v>
      </c>
      <c r="AG60" s="72">
        <f>'Water Security Calculations'!AK$13</f>
        <v>0.33623604287754705</v>
      </c>
      <c r="AH60" s="72"/>
      <c r="AI60" s="72"/>
      <c r="AJ60" s="72"/>
      <c r="AK60" s="72"/>
      <c r="AL60" s="72"/>
      <c r="AM60" s="72"/>
      <c r="AN60" s="72"/>
      <c r="AO60" s="72"/>
      <c r="AP60" s="72"/>
      <c r="AQ60" s="72"/>
    </row>
    <row r="61" spans="3:43">
      <c r="C61" t="str">
        <f>'Household values'!D63</f>
        <v>Mangaung Metropolitan Municipality</v>
      </c>
      <c r="D61" s="72">
        <f>'Water Security Calculations'!H$13</f>
        <v>3.4643818976546892E-2</v>
      </c>
      <c r="E61" s="72">
        <f>'Water Security Calculations'!I$13</f>
        <v>4.7032397805080728E-2</v>
      </c>
      <c r="F61" s="72">
        <f>'Water Security Calculations'!J$13</f>
        <v>5.9261991910247391E-2</v>
      </c>
      <c r="G61" s="72">
        <f>'Water Security Calculations'!K$13</f>
        <v>7.1334641569839263E-2</v>
      </c>
      <c r="H61" s="72">
        <f>'Water Security Calculations'!L$13</f>
        <v>8.3252360878419696E-2</v>
      </c>
      <c r="I61" s="72">
        <f>'Water Security Calculations'!M$13</f>
        <v>9.3778890841076712E-2</v>
      </c>
      <c r="J61" s="72">
        <f>'Water Security Calculations'!N$13</f>
        <v>0.10311666067309</v>
      </c>
      <c r="K61" s="72">
        <f>'Water Security Calculations'!O$13</f>
        <v>0.11311817859340489</v>
      </c>
      <c r="L61" s="72">
        <f>'Water Security Calculations'!P$13</f>
        <v>0.12167061953243052</v>
      </c>
      <c r="M61" s="72">
        <f>'Water Security Calculations'!Q$13</f>
        <v>0.12750384128682524</v>
      </c>
      <c r="N61" s="72">
        <f>'Water Security Calculations'!R$13</f>
        <v>0.13870073177376618</v>
      </c>
      <c r="O61" s="72">
        <f>'Water Security Calculations'!S$13</f>
        <v>0.14975393067499121</v>
      </c>
      <c r="P61" s="72">
        <f>'Water Security Calculations'!T$13</f>
        <v>0.16066528200887564</v>
      </c>
      <c r="Q61" s="72">
        <f>'Water Security Calculations'!U$13</f>
        <v>0.17143660612919609</v>
      </c>
      <c r="R61" s="72">
        <f>'Water Security Calculations'!V$13</f>
        <v>0.18206970002882128</v>
      </c>
      <c r="S61" s="72">
        <f>'Water Security Calculations'!W$13</f>
        <v>0.1925663376395077</v>
      </c>
      <c r="T61" s="72">
        <f>'Water Security Calculations'!X$13</f>
        <v>0.20292827012784564</v>
      </c>
      <c r="U61" s="72">
        <f>'Water Security Calculations'!Y$13</f>
        <v>0.21315722618740918</v>
      </c>
      <c r="V61" s="72">
        <f>'Water Security Calculations'!Z$13</f>
        <v>0.22325491232715611</v>
      </c>
      <c r="W61" s="72">
        <f>'Water Security Calculations'!AA$13</f>
        <v>0.23322301315612637</v>
      </c>
      <c r="X61" s="72">
        <f>'Water Security Calculations'!AB$13</f>
        <v>0.24408334555233857</v>
      </c>
      <c r="Y61" s="72">
        <f>'Water Security Calculations'!AC$13</f>
        <v>0.25378415158177536</v>
      </c>
      <c r="Z61" s="72">
        <f>'Water Security Calculations'!AD$13</f>
        <v>0.26460313838378624</v>
      </c>
      <c r="AA61" s="72">
        <f>'Water Security Calculations'!AE$13</f>
        <v>0.27637138875241385</v>
      </c>
      <c r="AB61" s="72">
        <f>'Water Security Calculations'!AF$13</f>
        <v>0.29013847267421189</v>
      </c>
      <c r="AC61" s="72">
        <f>'Water Security Calculations'!AG$13</f>
        <v>0.29924824548293361</v>
      </c>
      <c r="AD61" s="72">
        <f>'Water Security Calculations'!AH$13</f>
        <v>0.31001126193409667</v>
      </c>
      <c r="AE61" s="72">
        <f>'Water Security Calculations'!AI$13</f>
        <v>0.31886600388360975</v>
      </c>
      <c r="AF61" s="72">
        <f>'Water Security Calculations'!AJ$13</f>
        <v>0.32760711143495524</v>
      </c>
      <c r="AG61" s="72">
        <f>'Water Security Calculations'!AK$13</f>
        <v>0.33623604287754705</v>
      </c>
      <c r="AH61" s="72"/>
      <c r="AI61" s="72"/>
      <c r="AJ61" s="72"/>
      <c r="AK61" s="72"/>
      <c r="AL61" s="72"/>
      <c r="AM61" s="72"/>
      <c r="AN61" s="72"/>
      <c r="AO61" s="72"/>
      <c r="AP61" s="72"/>
      <c r="AQ61" s="72"/>
    </row>
    <row r="62" spans="3:43">
      <c r="C62" t="str">
        <f>'Household values'!D64</f>
        <v>Municipality 11</v>
      </c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</row>
    <row r="63" spans="3:43">
      <c r="C63" t="str">
        <f>'Household values'!D65</f>
        <v>Municipality 12</v>
      </c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</row>
    <row r="64" spans="3:43">
      <c r="C64" t="str">
        <f>'Household values'!D66</f>
        <v>Municipality 13</v>
      </c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</row>
    <row r="65" spans="2:50">
      <c r="C65" t="str">
        <f>'Household values'!D67</f>
        <v>Municipality 14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</row>
    <row r="66" spans="2:50" ht="15.75" thickBot="1">
      <c r="C66" s="48" t="str">
        <f>'Household values'!D68</f>
        <v>Municipality 15</v>
      </c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</row>
    <row r="69" spans="2:50">
      <c r="B69" s="41" t="s">
        <v>195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</row>
    <row r="70" spans="2:50" ht="15.75" thickBot="1"/>
    <row r="71" spans="2:50" ht="15.75" thickBot="1">
      <c r="C71" s="74" t="s">
        <v>196</v>
      </c>
      <c r="D71" s="75">
        <v>0.25</v>
      </c>
    </row>
    <row r="73" spans="2:50">
      <c r="C73" s="70"/>
      <c r="D73" s="70" t="s">
        <v>3</v>
      </c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</row>
    <row r="74" spans="2:50" ht="15.75" thickBot="1">
      <c r="C74" s="71" t="s">
        <v>193</v>
      </c>
      <c r="D74" s="71">
        <v>1</v>
      </c>
      <c r="E74" s="71">
        <f>D74+1</f>
        <v>2</v>
      </c>
      <c r="F74" s="71">
        <f t="shared" ref="F74:AQ74" si="2">E74+1</f>
        <v>3</v>
      </c>
      <c r="G74" s="71">
        <f t="shared" si="2"/>
        <v>4</v>
      </c>
      <c r="H74" s="71">
        <f t="shared" si="2"/>
        <v>5</v>
      </c>
      <c r="I74" s="71">
        <f t="shared" si="2"/>
        <v>6</v>
      </c>
      <c r="J74" s="71">
        <f t="shared" si="2"/>
        <v>7</v>
      </c>
      <c r="K74" s="71">
        <f t="shared" si="2"/>
        <v>8</v>
      </c>
      <c r="L74" s="71">
        <f t="shared" si="2"/>
        <v>9</v>
      </c>
      <c r="M74" s="71">
        <f t="shared" si="2"/>
        <v>10</v>
      </c>
      <c r="N74" s="71">
        <f t="shared" si="2"/>
        <v>11</v>
      </c>
      <c r="O74" s="71">
        <f t="shared" si="2"/>
        <v>12</v>
      </c>
      <c r="P74" s="71">
        <f t="shared" si="2"/>
        <v>13</v>
      </c>
      <c r="Q74" s="71">
        <f t="shared" si="2"/>
        <v>14</v>
      </c>
      <c r="R74" s="71">
        <f t="shared" si="2"/>
        <v>15</v>
      </c>
      <c r="S74" s="71">
        <f t="shared" si="2"/>
        <v>16</v>
      </c>
      <c r="T74" s="71">
        <f t="shared" si="2"/>
        <v>17</v>
      </c>
      <c r="U74" s="71">
        <f t="shared" si="2"/>
        <v>18</v>
      </c>
      <c r="V74" s="71">
        <f t="shared" si="2"/>
        <v>19</v>
      </c>
      <c r="W74" s="71">
        <f t="shared" si="2"/>
        <v>20</v>
      </c>
      <c r="X74" s="71">
        <f t="shared" si="2"/>
        <v>21</v>
      </c>
      <c r="Y74" s="71">
        <f t="shared" si="2"/>
        <v>22</v>
      </c>
      <c r="Z74" s="71">
        <f t="shared" si="2"/>
        <v>23</v>
      </c>
      <c r="AA74" s="71">
        <f t="shared" si="2"/>
        <v>24</v>
      </c>
      <c r="AB74" s="71">
        <f t="shared" si="2"/>
        <v>25</v>
      </c>
      <c r="AC74" s="71">
        <f t="shared" si="2"/>
        <v>26</v>
      </c>
      <c r="AD74" s="71">
        <f t="shared" si="2"/>
        <v>27</v>
      </c>
      <c r="AE74" s="71">
        <f t="shared" si="2"/>
        <v>28</v>
      </c>
      <c r="AF74" s="71">
        <f t="shared" si="2"/>
        <v>29</v>
      </c>
      <c r="AG74" s="71">
        <f t="shared" si="2"/>
        <v>30</v>
      </c>
      <c r="AH74" s="71">
        <f t="shared" si="2"/>
        <v>31</v>
      </c>
      <c r="AI74" s="71">
        <f t="shared" si="2"/>
        <v>32</v>
      </c>
      <c r="AJ74" s="71">
        <f t="shared" si="2"/>
        <v>33</v>
      </c>
      <c r="AK74" s="71">
        <f t="shared" si="2"/>
        <v>34</v>
      </c>
      <c r="AL74" s="71">
        <f t="shared" si="2"/>
        <v>35</v>
      </c>
      <c r="AM74" s="71">
        <f t="shared" si="2"/>
        <v>36</v>
      </c>
      <c r="AN74" s="71">
        <f t="shared" si="2"/>
        <v>37</v>
      </c>
      <c r="AO74" s="71">
        <f t="shared" si="2"/>
        <v>38</v>
      </c>
      <c r="AP74" s="71">
        <f t="shared" si="2"/>
        <v>39</v>
      </c>
      <c r="AQ74" s="71">
        <f t="shared" si="2"/>
        <v>40</v>
      </c>
    </row>
    <row r="75" spans="2:50">
      <c r="C75" t="str">
        <f>'Household values'!D54</f>
        <v>Nelson Mandela Metropolitan Municipality</v>
      </c>
      <c r="D75" s="76">
        <f>D31-D52</f>
        <v>0</v>
      </c>
      <c r="E75" s="76">
        <f t="shared" ref="E75:AG81" si="3">E31-E52</f>
        <v>0</v>
      </c>
      <c r="F75" s="76">
        <f t="shared" si="3"/>
        <v>0</v>
      </c>
      <c r="G75" s="76">
        <f t="shared" si="3"/>
        <v>0</v>
      </c>
      <c r="H75" s="76">
        <f t="shared" si="3"/>
        <v>0</v>
      </c>
      <c r="I75" s="76">
        <f t="shared" si="3"/>
        <v>1.2382472422595159E-3</v>
      </c>
      <c r="J75" s="76">
        <f t="shared" si="3"/>
        <v>3.5142752433325875E-3</v>
      </c>
      <c r="K75" s="76">
        <f t="shared" si="3"/>
        <v>4.9775133280387518E-3</v>
      </c>
      <c r="L75" s="76">
        <f t="shared" si="3"/>
        <v>7.7426992449076693E-3</v>
      </c>
      <c r="M75" s="76">
        <f t="shared" si="3"/>
        <v>1.3081863330487886E-2</v>
      </c>
      <c r="N75" s="76">
        <f t="shared" si="3"/>
        <v>1.2913981570076949E-2</v>
      </c>
      <c r="O75" s="76">
        <f t="shared" si="3"/>
        <v>1.274825426463666E-2</v>
      </c>
      <c r="P75" s="76">
        <f t="shared" si="3"/>
        <v>1.2584653765682852E-2</v>
      </c>
      <c r="Q75" s="76">
        <f t="shared" si="3"/>
        <v>1.2423152779548641E-2</v>
      </c>
      <c r="R75" s="76">
        <f t="shared" si="3"/>
        <v>1.2263724362831852E-2</v>
      </c>
      <c r="S75" s="76">
        <f t="shared" si="3"/>
        <v>1.2106341917899166E-2</v>
      </c>
      <c r="T75" s="76">
        <f t="shared" si="3"/>
        <v>1.195097918844934E-2</v>
      </c>
      <c r="U75" s="76">
        <f t="shared" si="3"/>
        <v>1.1797610255132596E-2</v>
      </c>
      <c r="V75" s="76">
        <f t="shared" si="3"/>
        <v>1.1646209531226637E-2</v>
      </c>
      <c r="W75" s="76">
        <f t="shared" si="3"/>
        <v>1.1496751758367951E-2</v>
      </c>
      <c r="X75" s="76">
        <f t="shared" si="3"/>
        <v>1.0329058114486922E-2</v>
      </c>
      <c r="Y75" s="76">
        <f t="shared" si="3"/>
        <v>1.0196503568101534E-2</v>
      </c>
      <c r="Z75" s="76">
        <f t="shared" si="3"/>
        <v>8.8229772626864378E-3</v>
      </c>
      <c r="AA75" s="76">
        <f t="shared" si="3"/>
        <v>6.3789722016558414E-3</v>
      </c>
      <c r="AB75" s="76">
        <f t="shared" si="3"/>
        <v>1.8164739734383151E-3</v>
      </c>
      <c r="AC75" s="76">
        <f t="shared" si="3"/>
        <v>1.793162856306374E-3</v>
      </c>
      <c r="AD75" s="76">
        <f t="shared" si="3"/>
        <v>0</v>
      </c>
      <c r="AE75" s="76">
        <f t="shared" si="3"/>
        <v>0</v>
      </c>
      <c r="AF75" s="76">
        <f t="shared" si="3"/>
        <v>0</v>
      </c>
      <c r="AG75" s="76">
        <f t="shared" si="3"/>
        <v>0</v>
      </c>
      <c r="AH75" s="76"/>
      <c r="AI75" s="76"/>
      <c r="AJ75" s="76"/>
      <c r="AK75" s="76"/>
      <c r="AL75" s="76"/>
      <c r="AM75" s="76"/>
      <c r="AN75" s="76"/>
      <c r="AO75" s="76"/>
      <c r="AP75" s="76"/>
      <c r="AQ75" s="76"/>
    </row>
    <row r="76" spans="2:50">
      <c r="C76" t="str">
        <f>'Household values'!D55</f>
        <v>City of Ekurhuleni</v>
      </c>
      <c r="D76" s="76">
        <f t="shared" ref="D76:S82" si="4">D32-D53</f>
        <v>0</v>
      </c>
      <c r="E76" s="76">
        <f t="shared" si="4"/>
        <v>0</v>
      </c>
      <c r="F76" s="76">
        <f t="shared" si="4"/>
        <v>0</v>
      </c>
      <c r="G76" s="76">
        <f t="shared" si="4"/>
        <v>0</v>
      </c>
      <c r="H76" s="76">
        <f t="shared" si="4"/>
        <v>0</v>
      </c>
      <c r="I76" s="76">
        <f t="shared" si="4"/>
        <v>1.2382472422595159E-3</v>
      </c>
      <c r="J76" s="76">
        <f t="shared" si="4"/>
        <v>3.5142752433325875E-3</v>
      </c>
      <c r="K76" s="76">
        <f t="shared" si="4"/>
        <v>4.9775133280387518E-3</v>
      </c>
      <c r="L76" s="76">
        <f t="shared" si="4"/>
        <v>7.7426992449076693E-3</v>
      </c>
      <c r="M76" s="76">
        <f t="shared" si="4"/>
        <v>1.3081863330487886E-2</v>
      </c>
      <c r="N76" s="76">
        <f t="shared" si="4"/>
        <v>1.2913981570076949E-2</v>
      </c>
      <c r="O76" s="76">
        <f t="shared" si="4"/>
        <v>1.274825426463666E-2</v>
      </c>
      <c r="P76" s="76">
        <f t="shared" si="4"/>
        <v>1.2584653765682852E-2</v>
      </c>
      <c r="Q76" s="76">
        <f t="shared" si="4"/>
        <v>1.2423152779548641E-2</v>
      </c>
      <c r="R76" s="76">
        <f t="shared" si="4"/>
        <v>1.2263724362831852E-2</v>
      </c>
      <c r="S76" s="76">
        <f t="shared" si="4"/>
        <v>1.2106341917899166E-2</v>
      </c>
      <c r="T76" s="76">
        <f t="shared" si="3"/>
        <v>1.195097918844934E-2</v>
      </c>
      <c r="U76" s="76">
        <f t="shared" si="3"/>
        <v>1.1797610255132596E-2</v>
      </c>
      <c r="V76" s="76">
        <f t="shared" si="3"/>
        <v>1.1646209531226637E-2</v>
      </c>
      <c r="W76" s="76">
        <f t="shared" si="3"/>
        <v>1.1496751758367951E-2</v>
      </c>
      <c r="X76" s="76">
        <f t="shared" si="3"/>
        <v>1.0329058114486922E-2</v>
      </c>
      <c r="Y76" s="76">
        <f t="shared" si="3"/>
        <v>1.0196503568101534E-2</v>
      </c>
      <c r="Z76" s="76">
        <f t="shared" si="3"/>
        <v>8.8229772626864378E-3</v>
      </c>
      <c r="AA76" s="76">
        <f t="shared" si="3"/>
        <v>6.3789722016558414E-3</v>
      </c>
      <c r="AB76" s="76">
        <f t="shared" si="3"/>
        <v>1.8164739734383151E-3</v>
      </c>
      <c r="AC76" s="76">
        <f t="shared" si="3"/>
        <v>1.793162856306374E-3</v>
      </c>
      <c r="AD76" s="76">
        <f t="shared" si="3"/>
        <v>0</v>
      </c>
      <c r="AE76" s="76">
        <f t="shared" si="3"/>
        <v>0</v>
      </c>
      <c r="AF76" s="76">
        <f t="shared" si="3"/>
        <v>0</v>
      </c>
      <c r="AG76" s="76">
        <f t="shared" si="3"/>
        <v>0</v>
      </c>
      <c r="AH76" s="76"/>
      <c r="AI76" s="76"/>
      <c r="AJ76" s="76"/>
      <c r="AK76" s="76"/>
      <c r="AL76" s="76"/>
      <c r="AM76" s="76"/>
      <c r="AN76" s="76"/>
      <c r="AO76" s="76"/>
      <c r="AP76" s="76"/>
      <c r="AQ76" s="76"/>
    </row>
    <row r="77" spans="2:50">
      <c r="C77" t="str">
        <f>'Household values'!D56</f>
        <v>City of Johannesburg Metropolitan Municipality</v>
      </c>
      <c r="D77" s="76">
        <f t="shared" si="4"/>
        <v>0</v>
      </c>
      <c r="E77" s="76">
        <f t="shared" si="3"/>
        <v>0</v>
      </c>
      <c r="F77" s="76">
        <f t="shared" si="3"/>
        <v>0</v>
      </c>
      <c r="G77" s="76">
        <f t="shared" si="3"/>
        <v>0</v>
      </c>
      <c r="H77" s="76">
        <f t="shared" si="3"/>
        <v>0</v>
      </c>
      <c r="I77" s="76">
        <f t="shared" si="3"/>
        <v>1.2382472422595159E-3</v>
      </c>
      <c r="J77" s="76">
        <f t="shared" si="3"/>
        <v>3.5142752433325875E-3</v>
      </c>
      <c r="K77" s="76">
        <f t="shared" si="3"/>
        <v>4.9775133280387518E-3</v>
      </c>
      <c r="L77" s="76">
        <f t="shared" si="3"/>
        <v>7.7426992449076693E-3</v>
      </c>
      <c r="M77" s="76">
        <f t="shared" si="3"/>
        <v>1.3081863330487886E-2</v>
      </c>
      <c r="N77" s="76">
        <f t="shared" si="3"/>
        <v>1.2913981570076949E-2</v>
      </c>
      <c r="O77" s="76">
        <f t="shared" si="3"/>
        <v>1.274825426463666E-2</v>
      </c>
      <c r="P77" s="76">
        <f t="shared" si="3"/>
        <v>1.2584653765682852E-2</v>
      </c>
      <c r="Q77" s="76">
        <f t="shared" si="3"/>
        <v>1.2423152779548641E-2</v>
      </c>
      <c r="R77" s="76">
        <f t="shared" si="3"/>
        <v>1.2263724362831852E-2</v>
      </c>
      <c r="S77" s="76">
        <f t="shared" si="3"/>
        <v>1.2106341917899166E-2</v>
      </c>
      <c r="T77" s="76">
        <f t="shared" si="3"/>
        <v>1.195097918844934E-2</v>
      </c>
      <c r="U77" s="76">
        <f t="shared" si="3"/>
        <v>1.1797610255132596E-2</v>
      </c>
      <c r="V77" s="76">
        <f t="shared" si="3"/>
        <v>1.1646209531226637E-2</v>
      </c>
      <c r="W77" s="76">
        <f t="shared" si="3"/>
        <v>1.1496751758367951E-2</v>
      </c>
      <c r="X77" s="76">
        <f t="shared" si="3"/>
        <v>1.0329058114486922E-2</v>
      </c>
      <c r="Y77" s="76">
        <f t="shared" si="3"/>
        <v>1.0196503568101534E-2</v>
      </c>
      <c r="Z77" s="76">
        <f t="shared" si="3"/>
        <v>8.8229772626864378E-3</v>
      </c>
      <c r="AA77" s="76">
        <f t="shared" si="3"/>
        <v>6.3789722016558414E-3</v>
      </c>
      <c r="AB77" s="76">
        <f t="shared" si="3"/>
        <v>1.8164739734383151E-3</v>
      </c>
      <c r="AC77" s="76">
        <f t="shared" si="3"/>
        <v>1.793162856306374E-3</v>
      </c>
      <c r="AD77" s="76">
        <f t="shared" si="3"/>
        <v>0</v>
      </c>
      <c r="AE77" s="76">
        <f t="shared" si="3"/>
        <v>0</v>
      </c>
      <c r="AF77" s="76">
        <f t="shared" si="3"/>
        <v>0</v>
      </c>
      <c r="AG77" s="76">
        <f t="shared" si="3"/>
        <v>0</v>
      </c>
      <c r="AH77" s="76"/>
      <c r="AI77" s="76"/>
      <c r="AJ77" s="76"/>
      <c r="AK77" s="76"/>
      <c r="AL77" s="76"/>
      <c r="AM77" s="76"/>
      <c r="AN77" s="76"/>
      <c r="AO77" s="76"/>
      <c r="AP77" s="76"/>
      <c r="AQ77" s="76"/>
    </row>
    <row r="78" spans="2:50">
      <c r="C78" t="str">
        <f>'Household values'!D57</f>
        <v>City of Tshwane Metropolitan Municipality</v>
      </c>
      <c r="D78" s="76">
        <f t="shared" si="4"/>
        <v>0</v>
      </c>
      <c r="E78" s="76">
        <f t="shared" si="3"/>
        <v>0</v>
      </c>
      <c r="F78" s="76">
        <f t="shared" si="3"/>
        <v>0</v>
      </c>
      <c r="G78" s="76">
        <f t="shared" si="3"/>
        <v>0</v>
      </c>
      <c r="H78" s="76">
        <f t="shared" si="3"/>
        <v>0</v>
      </c>
      <c r="I78" s="76">
        <f t="shared" si="3"/>
        <v>1.2382472422595159E-3</v>
      </c>
      <c r="J78" s="76">
        <f t="shared" si="3"/>
        <v>3.5142752433325875E-3</v>
      </c>
      <c r="K78" s="76">
        <f t="shared" si="3"/>
        <v>4.9775133280387518E-3</v>
      </c>
      <c r="L78" s="76">
        <f t="shared" si="3"/>
        <v>7.7426992449076693E-3</v>
      </c>
      <c r="M78" s="76">
        <f t="shared" si="3"/>
        <v>1.3081863330487886E-2</v>
      </c>
      <c r="N78" s="76">
        <f t="shared" si="3"/>
        <v>1.2913981570076949E-2</v>
      </c>
      <c r="O78" s="76">
        <f t="shared" si="3"/>
        <v>1.274825426463666E-2</v>
      </c>
      <c r="P78" s="76">
        <f t="shared" si="3"/>
        <v>1.2584653765682852E-2</v>
      </c>
      <c r="Q78" s="76">
        <f t="shared" si="3"/>
        <v>1.2423152779548641E-2</v>
      </c>
      <c r="R78" s="76">
        <f t="shared" si="3"/>
        <v>1.2263724362831852E-2</v>
      </c>
      <c r="S78" s="76">
        <f t="shared" si="3"/>
        <v>1.2106341917899166E-2</v>
      </c>
      <c r="T78" s="76">
        <f t="shared" si="3"/>
        <v>1.195097918844934E-2</v>
      </c>
      <c r="U78" s="76">
        <f t="shared" si="3"/>
        <v>1.1797610255132596E-2</v>
      </c>
      <c r="V78" s="76">
        <f t="shared" si="3"/>
        <v>1.1646209531226637E-2</v>
      </c>
      <c r="W78" s="76">
        <f t="shared" si="3"/>
        <v>1.1496751758367951E-2</v>
      </c>
      <c r="X78" s="76">
        <f t="shared" si="3"/>
        <v>1.0329058114486922E-2</v>
      </c>
      <c r="Y78" s="76">
        <f t="shared" si="3"/>
        <v>1.0196503568101534E-2</v>
      </c>
      <c r="Z78" s="76">
        <f t="shared" si="3"/>
        <v>8.8229772626864378E-3</v>
      </c>
      <c r="AA78" s="76">
        <f t="shared" si="3"/>
        <v>6.3789722016558414E-3</v>
      </c>
      <c r="AB78" s="76">
        <f t="shared" si="3"/>
        <v>1.8164739734383151E-3</v>
      </c>
      <c r="AC78" s="76">
        <f t="shared" si="3"/>
        <v>1.793162856306374E-3</v>
      </c>
      <c r="AD78" s="76">
        <f t="shared" si="3"/>
        <v>0</v>
      </c>
      <c r="AE78" s="76">
        <f t="shared" si="3"/>
        <v>0</v>
      </c>
      <c r="AF78" s="76">
        <f t="shared" si="3"/>
        <v>0</v>
      </c>
      <c r="AG78" s="76">
        <f t="shared" si="3"/>
        <v>0</v>
      </c>
      <c r="AH78" s="76"/>
      <c r="AI78" s="76"/>
      <c r="AJ78" s="76"/>
      <c r="AK78" s="76"/>
      <c r="AL78" s="76"/>
      <c r="AM78" s="76"/>
      <c r="AN78" s="76"/>
      <c r="AO78" s="76"/>
      <c r="AP78" s="76"/>
      <c r="AQ78" s="76"/>
    </row>
    <row r="79" spans="2:50">
      <c r="C79" t="str">
        <f>'Household values'!D58</f>
        <v>eThekwini Metropolitan Municipality</v>
      </c>
      <c r="D79" s="76">
        <f t="shared" si="4"/>
        <v>0</v>
      </c>
      <c r="E79" s="76">
        <f t="shared" si="3"/>
        <v>0</v>
      </c>
      <c r="F79" s="76">
        <f t="shared" si="3"/>
        <v>0</v>
      </c>
      <c r="G79" s="76">
        <f t="shared" si="3"/>
        <v>0</v>
      </c>
      <c r="H79" s="76">
        <f t="shared" si="3"/>
        <v>0</v>
      </c>
      <c r="I79" s="76">
        <f t="shared" si="3"/>
        <v>1.2382472422595159E-3</v>
      </c>
      <c r="J79" s="76">
        <f t="shared" si="3"/>
        <v>3.5142752433325875E-3</v>
      </c>
      <c r="K79" s="76">
        <f t="shared" si="3"/>
        <v>4.9775133280387518E-3</v>
      </c>
      <c r="L79" s="76">
        <f t="shared" si="3"/>
        <v>7.7426992449076693E-3</v>
      </c>
      <c r="M79" s="76">
        <f t="shared" si="3"/>
        <v>1.3081863330487886E-2</v>
      </c>
      <c r="N79" s="76">
        <f t="shared" si="3"/>
        <v>1.2913981570076949E-2</v>
      </c>
      <c r="O79" s="76">
        <f t="shared" si="3"/>
        <v>1.274825426463666E-2</v>
      </c>
      <c r="P79" s="76">
        <f t="shared" si="3"/>
        <v>1.2584653765682852E-2</v>
      </c>
      <c r="Q79" s="76">
        <f t="shared" si="3"/>
        <v>1.2423152779548641E-2</v>
      </c>
      <c r="R79" s="76">
        <f t="shared" si="3"/>
        <v>1.2263724362831852E-2</v>
      </c>
      <c r="S79" s="76">
        <f t="shared" si="3"/>
        <v>1.2106341917899166E-2</v>
      </c>
      <c r="T79" s="76">
        <f t="shared" si="3"/>
        <v>1.195097918844934E-2</v>
      </c>
      <c r="U79" s="76">
        <f t="shared" si="3"/>
        <v>1.1797610255132596E-2</v>
      </c>
      <c r="V79" s="76">
        <f t="shared" si="3"/>
        <v>1.1646209531226637E-2</v>
      </c>
      <c r="W79" s="76">
        <f t="shared" si="3"/>
        <v>1.1496751758367951E-2</v>
      </c>
      <c r="X79" s="76">
        <f t="shared" si="3"/>
        <v>1.0329058114486922E-2</v>
      </c>
      <c r="Y79" s="76">
        <f t="shared" si="3"/>
        <v>1.0196503568101534E-2</v>
      </c>
      <c r="Z79" s="76">
        <f t="shared" si="3"/>
        <v>8.8229772626864378E-3</v>
      </c>
      <c r="AA79" s="76">
        <f t="shared" si="3"/>
        <v>6.3789722016558414E-3</v>
      </c>
      <c r="AB79" s="76">
        <f t="shared" si="3"/>
        <v>1.8164739734383151E-3</v>
      </c>
      <c r="AC79" s="76">
        <f t="shared" si="3"/>
        <v>1.793162856306374E-3</v>
      </c>
      <c r="AD79" s="76">
        <f t="shared" si="3"/>
        <v>0</v>
      </c>
      <c r="AE79" s="76">
        <f t="shared" si="3"/>
        <v>0</v>
      </c>
      <c r="AF79" s="76">
        <f t="shared" si="3"/>
        <v>0</v>
      </c>
      <c r="AG79" s="76">
        <f t="shared" si="3"/>
        <v>0</v>
      </c>
      <c r="AH79" s="76"/>
      <c r="AI79" s="76"/>
      <c r="AJ79" s="76"/>
      <c r="AK79" s="76"/>
      <c r="AL79" s="76"/>
      <c r="AM79" s="76"/>
      <c r="AN79" s="76"/>
      <c r="AO79" s="76"/>
      <c r="AP79" s="76"/>
      <c r="AQ79" s="76"/>
    </row>
    <row r="80" spans="2:50">
      <c r="C80" t="str">
        <f>'Household values'!D59</f>
        <v>Indicative Project A</v>
      </c>
      <c r="D80" s="76">
        <f t="shared" si="4"/>
        <v>0</v>
      </c>
      <c r="E80" s="76">
        <f t="shared" si="3"/>
        <v>0</v>
      </c>
      <c r="F80" s="76">
        <f t="shared" si="3"/>
        <v>0</v>
      </c>
      <c r="G80" s="76">
        <f t="shared" si="3"/>
        <v>0</v>
      </c>
      <c r="H80" s="76">
        <f t="shared" si="3"/>
        <v>0</v>
      </c>
      <c r="I80" s="76">
        <f t="shared" si="3"/>
        <v>1.2382472422595159E-3</v>
      </c>
      <c r="J80" s="76">
        <f t="shared" si="3"/>
        <v>3.5142752433325875E-3</v>
      </c>
      <c r="K80" s="76">
        <f t="shared" si="3"/>
        <v>4.9775133280387518E-3</v>
      </c>
      <c r="L80" s="76">
        <f t="shared" si="3"/>
        <v>7.7426992449076693E-3</v>
      </c>
      <c r="M80" s="76">
        <f t="shared" si="3"/>
        <v>1.3081863330487886E-2</v>
      </c>
      <c r="N80" s="76">
        <f t="shared" si="3"/>
        <v>1.2913981570076949E-2</v>
      </c>
      <c r="O80" s="76">
        <f t="shared" si="3"/>
        <v>1.274825426463666E-2</v>
      </c>
      <c r="P80" s="76">
        <f t="shared" si="3"/>
        <v>1.2584653765682852E-2</v>
      </c>
      <c r="Q80" s="76">
        <f t="shared" si="3"/>
        <v>1.2423152779548641E-2</v>
      </c>
      <c r="R80" s="76">
        <f t="shared" si="3"/>
        <v>1.2263724362831852E-2</v>
      </c>
      <c r="S80" s="76">
        <f t="shared" si="3"/>
        <v>1.2106341917899166E-2</v>
      </c>
      <c r="T80" s="76">
        <f t="shared" si="3"/>
        <v>1.195097918844934E-2</v>
      </c>
      <c r="U80" s="76">
        <f t="shared" si="3"/>
        <v>1.1797610255132596E-2</v>
      </c>
      <c r="V80" s="76">
        <f t="shared" si="3"/>
        <v>1.1646209531226637E-2</v>
      </c>
      <c r="W80" s="76">
        <f t="shared" si="3"/>
        <v>1.1496751758367951E-2</v>
      </c>
      <c r="X80" s="76">
        <f t="shared" si="3"/>
        <v>1.0329058114486922E-2</v>
      </c>
      <c r="Y80" s="76">
        <f t="shared" si="3"/>
        <v>1.0196503568101534E-2</v>
      </c>
      <c r="Z80" s="76">
        <f t="shared" si="3"/>
        <v>8.8229772626864378E-3</v>
      </c>
      <c r="AA80" s="76">
        <f t="shared" si="3"/>
        <v>6.3789722016558414E-3</v>
      </c>
      <c r="AB80" s="76">
        <f t="shared" si="3"/>
        <v>1.8164739734383151E-3</v>
      </c>
      <c r="AC80" s="76">
        <f t="shared" si="3"/>
        <v>1.793162856306374E-3</v>
      </c>
      <c r="AD80" s="76">
        <f t="shared" si="3"/>
        <v>0</v>
      </c>
      <c r="AE80" s="76">
        <f t="shared" si="3"/>
        <v>0</v>
      </c>
      <c r="AF80" s="76">
        <f t="shared" si="3"/>
        <v>0</v>
      </c>
      <c r="AG80" s="76">
        <f t="shared" si="3"/>
        <v>0</v>
      </c>
      <c r="AH80" s="76"/>
      <c r="AI80" s="76"/>
      <c r="AJ80" s="76"/>
      <c r="AK80" s="76"/>
      <c r="AL80" s="76"/>
      <c r="AM80" s="76"/>
      <c r="AN80" s="76"/>
      <c r="AO80" s="76"/>
      <c r="AP80" s="76"/>
      <c r="AQ80" s="76"/>
    </row>
    <row r="81" spans="2:50">
      <c r="C81" t="str">
        <f>'Household values'!D60</f>
        <v>City of Cape Town Metrolpolitan Municipality</v>
      </c>
      <c r="D81" s="76">
        <f t="shared" si="4"/>
        <v>0</v>
      </c>
      <c r="E81" s="76">
        <f t="shared" si="3"/>
        <v>0</v>
      </c>
      <c r="F81" s="76">
        <f t="shared" si="3"/>
        <v>0</v>
      </c>
      <c r="G81" s="76">
        <f t="shared" si="3"/>
        <v>0</v>
      </c>
      <c r="H81" s="76">
        <f t="shared" si="3"/>
        <v>0</v>
      </c>
      <c r="I81" s="76">
        <f t="shared" si="3"/>
        <v>1.2382472422595159E-3</v>
      </c>
      <c r="J81" s="76">
        <f t="shared" si="3"/>
        <v>3.5142752433325875E-3</v>
      </c>
      <c r="K81" s="76">
        <f t="shared" si="3"/>
        <v>4.9775133280387518E-3</v>
      </c>
      <c r="L81" s="76">
        <f t="shared" si="3"/>
        <v>7.7426992449076693E-3</v>
      </c>
      <c r="M81" s="76">
        <f t="shared" si="3"/>
        <v>1.3081863330487886E-2</v>
      </c>
      <c r="N81" s="76">
        <f t="shared" si="3"/>
        <v>1.2913981570076949E-2</v>
      </c>
      <c r="O81" s="76">
        <f t="shared" si="3"/>
        <v>1.274825426463666E-2</v>
      </c>
      <c r="P81" s="76">
        <f t="shared" si="3"/>
        <v>1.2584653765682852E-2</v>
      </c>
      <c r="Q81" s="76">
        <f t="shared" si="3"/>
        <v>1.2423152779548641E-2</v>
      </c>
      <c r="R81" s="76">
        <f t="shared" si="3"/>
        <v>1.2263724362831852E-2</v>
      </c>
      <c r="S81" s="76">
        <f t="shared" si="3"/>
        <v>1.2106341917899166E-2</v>
      </c>
      <c r="T81" s="76">
        <f t="shared" si="3"/>
        <v>1.195097918844934E-2</v>
      </c>
      <c r="U81" s="76">
        <f t="shared" si="3"/>
        <v>1.1797610255132596E-2</v>
      </c>
      <c r="V81" s="76">
        <f t="shared" si="3"/>
        <v>1.1646209531226637E-2</v>
      </c>
      <c r="W81" s="76">
        <f t="shared" si="3"/>
        <v>1.1496751758367951E-2</v>
      </c>
      <c r="X81" s="76">
        <f t="shared" si="3"/>
        <v>1.0329058114486922E-2</v>
      </c>
      <c r="Y81" s="76">
        <f t="shared" si="3"/>
        <v>1.0196503568101534E-2</v>
      </c>
      <c r="Z81" s="76">
        <f t="shared" si="3"/>
        <v>8.8229772626864378E-3</v>
      </c>
      <c r="AA81" s="76">
        <f t="shared" si="3"/>
        <v>6.3789722016558414E-3</v>
      </c>
      <c r="AB81" s="76">
        <f t="shared" si="3"/>
        <v>1.8164739734383151E-3</v>
      </c>
      <c r="AC81" s="76">
        <f t="shared" si="3"/>
        <v>1.793162856306374E-3</v>
      </c>
      <c r="AD81" s="76">
        <f t="shared" si="3"/>
        <v>0</v>
      </c>
      <c r="AE81" s="76">
        <f t="shared" si="3"/>
        <v>0</v>
      </c>
      <c r="AF81" s="76">
        <f t="shared" si="3"/>
        <v>0</v>
      </c>
      <c r="AG81" s="76">
        <f t="shared" si="3"/>
        <v>0</v>
      </c>
      <c r="AH81" s="76"/>
      <c r="AI81" s="76"/>
      <c r="AJ81" s="76"/>
      <c r="AK81" s="76"/>
      <c r="AL81" s="76"/>
      <c r="AM81" s="76"/>
      <c r="AN81" s="76"/>
      <c r="AO81" s="76"/>
      <c r="AP81" s="76"/>
      <c r="AQ81" s="76"/>
    </row>
    <row r="82" spans="2:50">
      <c r="C82" t="str">
        <f>'Household values'!D61</f>
        <v>Drakenstein Local Municipality</v>
      </c>
      <c r="D82" s="76">
        <f t="shared" si="4"/>
        <v>0</v>
      </c>
      <c r="E82" s="76">
        <f t="shared" ref="E82:AG82" si="5">E38-E59</f>
        <v>0</v>
      </c>
      <c r="F82" s="76">
        <f t="shared" si="5"/>
        <v>0</v>
      </c>
      <c r="G82" s="76">
        <f t="shared" si="5"/>
        <v>0</v>
      </c>
      <c r="H82" s="76">
        <f t="shared" si="5"/>
        <v>0</v>
      </c>
      <c r="I82" s="76">
        <f t="shared" si="5"/>
        <v>1.2382472422595159E-3</v>
      </c>
      <c r="J82" s="76">
        <f t="shared" si="5"/>
        <v>3.5142752433325875E-3</v>
      </c>
      <c r="K82" s="76">
        <f t="shared" si="5"/>
        <v>4.9775133280387518E-3</v>
      </c>
      <c r="L82" s="76">
        <f t="shared" si="5"/>
        <v>7.7426992449076693E-3</v>
      </c>
      <c r="M82" s="76">
        <f t="shared" si="5"/>
        <v>1.3081863330487886E-2</v>
      </c>
      <c r="N82" s="76">
        <f t="shared" si="5"/>
        <v>1.2913981570076949E-2</v>
      </c>
      <c r="O82" s="76">
        <f t="shared" si="5"/>
        <v>1.274825426463666E-2</v>
      </c>
      <c r="P82" s="76">
        <f t="shared" si="5"/>
        <v>1.2584653765682852E-2</v>
      </c>
      <c r="Q82" s="76">
        <f t="shared" si="5"/>
        <v>1.2423152779548641E-2</v>
      </c>
      <c r="R82" s="76">
        <f t="shared" si="5"/>
        <v>1.2263724362831852E-2</v>
      </c>
      <c r="S82" s="76">
        <f t="shared" si="5"/>
        <v>1.2106341917899166E-2</v>
      </c>
      <c r="T82" s="76">
        <f t="shared" si="5"/>
        <v>1.195097918844934E-2</v>
      </c>
      <c r="U82" s="76">
        <f t="shared" si="5"/>
        <v>1.1797610255132596E-2</v>
      </c>
      <c r="V82" s="76">
        <f t="shared" si="5"/>
        <v>1.1646209531226637E-2</v>
      </c>
      <c r="W82" s="76">
        <f t="shared" si="5"/>
        <v>1.1496751758367951E-2</v>
      </c>
      <c r="X82" s="76">
        <f t="shared" si="5"/>
        <v>1.0329058114486922E-2</v>
      </c>
      <c r="Y82" s="76">
        <f t="shared" si="5"/>
        <v>1.0196503568101534E-2</v>
      </c>
      <c r="Z82" s="76">
        <f t="shared" si="5"/>
        <v>8.8229772626864378E-3</v>
      </c>
      <c r="AA82" s="76">
        <f t="shared" si="5"/>
        <v>6.3789722016558414E-3</v>
      </c>
      <c r="AB82" s="76">
        <f t="shared" si="5"/>
        <v>1.8164739734383151E-3</v>
      </c>
      <c r="AC82" s="76">
        <f t="shared" si="5"/>
        <v>1.793162856306374E-3</v>
      </c>
      <c r="AD82" s="76">
        <f t="shared" si="5"/>
        <v>0</v>
      </c>
      <c r="AE82" s="76">
        <f t="shared" si="5"/>
        <v>0</v>
      </c>
      <c r="AF82" s="76">
        <f t="shared" si="5"/>
        <v>0</v>
      </c>
      <c r="AG82" s="76">
        <f t="shared" si="5"/>
        <v>0</v>
      </c>
      <c r="AH82" s="76"/>
      <c r="AI82" s="76"/>
      <c r="AJ82" s="76"/>
      <c r="AK82" s="76"/>
      <c r="AL82" s="76"/>
      <c r="AM82" s="76"/>
      <c r="AN82" s="76"/>
      <c r="AO82" s="76"/>
      <c r="AP82" s="76"/>
      <c r="AQ82" s="76"/>
    </row>
    <row r="83" spans="2:50">
      <c r="C83" t="str">
        <f>'Household values'!D62</f>
        <v>Indicative Project B</v>
      </c>
      <c r="D83" s="76">
        <f t="shared" ref="D83" si="6">D39-D60</f>
        <v>0</v>
      </c>
      <c r="E83" s="76">
        <f t="shared" ref="E83:AG83" si="7">E39-E60</f>
        <v>0</v>
      </c>
      <c r="F83" s="76">
        <f t="shared" si="7"/>
        <v>0</v>
      </c>
      <c r="G83" s="76">
        <f t="shared" si="7"/>
        <v>0</v>
      </c>
      <c r="H83" s="76">
        <f t="shared" si="7"/>
        <v>0</v>
      </c>
      <c r="I83" s="76">
        <f t="shared" si="7"/>
        <v>1.2382472422595159E-3</v>
      </c>
      <c r="J83" s="76">
        <f t="shared" si="7"/>
        <v>3.5142752433325875E-3</v>
      </c>
      <c r="K83" s="76">
        <f t="shared" si="7"/>
        <v>4.9775133280387518E-3</v>
      </c>
      <c r="L83" s="76">
        <f t="shared" si="7"/>
        <v>7.7426992449076693E-3</v>
      </c>
      <c r="M83" s="76">
        <f t="shared" si="7"/>
        <v>1.3081863330487886E-2</v>
      </c>
      <c r="N83" s="76">
        <f t="shared" si="7"/>
        <v>1.2913981570076949E-2</v>
      </c>
      <c r="O83" s="76">
        <f t="shared" si="7"/>
        <v>1.274825426463666E-2</v>
      </c>
      <c r="P83" s="76">
        <f t="shared" si="7"/>
        <v>1.2584653765682852E-2</v>
      </c>
      <c r="Q83" s="76">
        <f t="shared" si="7"/>
        <v>1.2423152779548641E-2</v>
      </c>
      <c r="R83" s="76">
        <f t="shared" si="7"/>
        <v>1.2263724362831852E-2</v>
      </c>
      <c r="S83" s="76">
        <f t="shared" si="7"/>
        <v>1.2106341917899166E-2</v>
      </c>
      <c r="T83" s="76">
        <f t="shared" si="7"/>
        <v>1.195097918844934E-2</v>
      </c>
      <c r="U83" s="76">
        <f t="shared" si="7"/>
        <v>1.1797610255132596E-2</v>
      </c>
      <c r="V83" s="76">
        <f t="shared" si="7"/>
        <v>1.1646209531226637E-2</v>
      </c>
      <c r="W83" s="76">
        <f t="shared" si="7"/>
        <v>1.1496751758367951E-2</v>
      </c>
      <c r="X83" s="76">
        <f t="shared" si="7"/>
        <v>1.0329058114486922E-2</v>
      </c>
      <c r="Y83" s="76">
        <f t="shared" si="7"/>
        <v>1.0196503568101534E-2</v>
      </c>
      <c r="Z83" s="76">
        <f t="shared" si="7"/>
        <v>8.8229772626864378E-3</v>
      </c>
      <c r="AA83" s="76">
        <f t="shared" si="7"/>
        <v>6.3789722016558414E-3</v>
      </c>
      <c r="AB83" s="76">
        <f t="shared" si="7"/>
        <v>1.8164739734383151E-3</v>
      </c>
      <c r="AC83" s="76">
        <f t="shared" si="7"/>
        <v>1.793162856306374E-3</v>
      </c>
      <c r="AD83" s="76">
        <f t="shared" si="7"/>
        <v>0</v>
      </c>
      <c r="AE83" s="76">
        <f t="shared" si="7"/>
        <v>0</v>
      </c>
      <c r="AF83" s="76">
        <f t="shared" si="7"/>
        <v>0</v>
      </c>
      <c r="AG83" s="76">
        <f t="shared" si="7"/>
        <v>0</v>
      </c>
      <c r="AH83" s="76"/>
      <c r="AI83" s="76"/>
      <c r="AJ83" s="76"/>
      <c r="AK83" s="76"/>
      <c r="AL83" s="76"/>
      <c r="AM83" s="76"/>
      <c r="AN83" s="76"/>
      <c r="AO83" s="76"/>
      <c r="AP83" s="76"/>
      <c r="AQ83" s="76"/>
    </row>
    <row r="84" spans="2:50">
      <c r="C84" t="str">
        <f>'Household values'!D63</f>
        <v>Mangaung Metropolitan Municipality</v>
      </c>
      <c r="D84" s="76">
        <f t="shared" ref="D84" si="8">D40-D61</f>
        <v>0</v>
      </c>
      <c r="E84" s="76">
        <f t="shared" ref="E84:AG84" si="9">E40-E61</f>
        <v>0</v>
      </c>
      <c r="F84" s="76">
        <f t="shared" si="9"/>
        <v>0</v>
      </c>
      <c r="G84" s="76">
        <f t="shared" si="9"/>
        <v>0</v>
      </c>
      <c r="H84" s="76">
        <f t="shared" si="9"/>
        <v>0</v>
      </c>
      <c r="I84" s="76">
        <f t="shared" si="9"/>
        <v>1.2382472422595159E-3</v>
      </c>
      <c r="J84" s="76">
        <f t="shared" si="9"/>
        <v>3.5142752433325875E-3</v>
      </c>
      <c r="K84" s="76">
        <f t="shared" si="9"/>
        <v>4.9775133280387518E-3</v>
      </c>
      <c r="L84" s="76">
        <f t="shared" si="9"/>
        <v>7.7426992449076693E-3</v>
      </c>
      <c r="M84" s="76">
        <f t="shared" si="9"/>
        <v>1.3081863330487886E-2</v>
      </c>
      <c r="N84" s="76">
        <f t="shared" si="9"/>
        <v>1.2913981570076949E-2</v>
      </c>
      <c r="O84" s="76">
        <f t="shared" si="9"/>
        <v>1.274825426463666E-2</v>
      </c>
      <c r="P84" s="76">
        <f t="shared" si="9"/>
        <v>1.2584653765682852E-2</v>
      </c>
      <c r="Q84" s="76">
        <f t="shared" si="9"/>
        <v>1.2423152779548641E-2</v>
      </c>
      <c r="R84" s="76">
        <f t="shared" si="9"/>
        <v>1.2263724362831852E-2</v>
      </c>
      <c r="S84" s="76">
        <f t="shared" si="9"/>
        <v>1.2106341917899166E-2</v>
      </c>
      <c r="T84" s="76">
        <f t="shared" si="9"/>
        <v>1.195097918844934E-2</v>
      </c>
      <c r="U84" s="76">
        <f t="shared" si="9"/>
        <v>1.1797610255132596E-2</v>
      </c>
      <c r="V84" s="76">
        <f t="shared" si="9"/>
        <v>1.1646209531226637E-2</v>
      </c>
      <c r="W84" s="76">
        <f t="shared" si="9"/>
        <v>1.1496751758367951E-2</v>
      </c>
      <c r="X84" s="76">
        <f t="shared" si="9"/>
        <v>1.0329058114486922E-2</v>
      </c>
      <c r="Y84" s="76">
        <f t="shared" si="9"/>
        <v>1.0196503568101534E-2</v>
      </c>
      <c r="Z84" s="76">
        <f t="shared" si="9"/>
        <v>8.8229772626864378E-3</v>
      </c>
      <c r="AA84" s="76">
        <f t="shared" si="9"/>
        <v>6.3789722016558414E-3</v>
      </c>
      <c r="AB84" s="76">
        <f t="shared" si="9"/>
        <v>1.8164739734383151E-3</v>
      </c>
      <c r="AC84" s="76">
        <f t="shared" si="9"/>
        <v>1.793162856306374E-3</v>
      </c>
      <c r="AD84" s="76">
        <f t="shared" si="9"/>
        <v>0</v>
      </c>
      <c r="AE84" s="76">
        <f t="shared" si="9"/>
        <v>0</v>
      </c>
      <c r="AF84" s="76">
        <f t="shared" si="9"/>
        <v>0</v>
      </c>
      <c r="AG84" s="76">
        <f t="shared" si="9"/>
        <v>0</v>
      </c>
      <c r="AH84" s="76"/>
      <c r="AI84" s="76"/>
      <c r="AJ84" s="76"/>
      <c r="AK84" s="76"/>
      <c r="AL84" s="76"/>
      <c r="AM84" s="76"/>
      <c r="AN84" s="76"/>
      <c r="AO84" s="76"/>
      <c r="AP84" s="76"/>
      <c r="AQ84" s="76"/>
    </row>
    <row r="85" spans="2:50">
      <c r="C85" t="str">
        <f>'Household values'!D64</f>
        <v>Municipality 11</v>
      </c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</row>
    <row r="86" spans="2:50">
      <c r="C86" t="str">
        <f>'Household values'!D65</f>
        <v>Municipality 12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6"/>
    </row>
    <row r="87" spans="2:50">
      <c r="C87" t="str">
        <f>'Household values'!D66</f>
        <v>Municipality 13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</row>
    <row r="88" spans="2:50">
      <c r="C88" t="str">
        <f>'Household values'!D67</f>
        <v>Municipality 14</v>
      </c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  <c r="AQ88" s="76"/>
    </row>
    <row r="89" spans="2:50" ht="15.75" thickBot="1">
      <c r="C89" s="48" t="str">
        <f>'Household values'!D68</f>
        <v>Municipality 15</v>
      </c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  <c r="AQ89" s="77"/>
    </row>
    <row r="92" spans="2:50">
      <c r="B92" s="41" t="s">
        <v>197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</row>
    <row r="94" spans="2:50">
      <c r="C94" s="70"/>
      <c r="D94" s="70" t="s">
        <v>3</v>
      </c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</row>
    <row r="95" spans="2:50" ht="15.75" thickBot="1">
      <c r="C95" s="71" t="s">
        <v>193</v>
      </c>
      <c r="D95" s="24" t="s">
        <v>87</v>
      </c>
      <c r="E95" s="24" t="s">
        <v>88</v>
      </c>
      <c r="F95" s="24" t="s">
        <v>89</v>
      </c>
      <c r="G95" s="24" t="s">
        <v>90</v>
      </c>
      <c r="H95" s="24" t="s">
        <v>91</v>
      </c>
      <c r="I95" s="24" t="s">
        <v>92</v>
      </c>
      <c r="J95" s="24" t="s">
        <v>93</v>
      </c>
      <c r="K95" s="24" t="s">
        <v>94</v>
      </c>
      <c r="L95" s="24" t="s">
        <v>95</v>
      </c>
      <c r="M95" s="24" t="s">
        <v>96</v>
      </c>
      <c r="N95" s="24" t="s">
        <v>97</v>
      </c>
      <c r="O95" s="24" t="s">
        <v>98</v>
      </c>
      <c r="P95" s="24" t="s">
        <v>99</v>
      </c>
      <c r="Q95" s="24" t="s">
        <v>100</v>
      </c>
      <c r="R95" s="24" t="s">
        <v>101</v>
      </c>
      <c r="S95" s="24" t="s">
        <v>102</v>
      </c>
      <c r="T95" s="24" t="s">
        <v>103</v>
      </c>
      <c r="U95" s="24" t="s">
        <v>104</v>
      </c>
      <c r="V95" s="24" t="s">
        <v>105</v>
      </c>
      <c r="W95" s="24" t="s">
        <v>106</v>
      </c>
      <c r="X95" s="24" t="s">
        <v>107</v>
      </c>
      <c r="Y95" s="24" t="s">
        <v>108</v>
      </c>
      <c r="Z95" s="24" t="s">
        <v>109</v>
      </c>
      <c r="AA95" s="24" t="s">
        <v>110</v>
      </c>
      <c r="AB95" s="24" t="s">
        <v>111</v>
      </c>
      <c r="AC95" s="24" t="s">
        <v>112</v>
      </c>
      <c r="AD95" s="24" t="s">
        <v>113</v>
      </c>
      <c r="AE95" s="24" t="s">
        <v>114</v>
      </c>
      <c r="AF95" s="24" t="s">
        <v>115</v>
      </c>
      <c r="AG95" s="24" t="s">
        <v>116</v>
      </c>
      <c r="AH95" s="71" t="e">
        <f t="shared" ref="AH95:AQ95" si="10">AG95+1</f>
        <v>#VALUE!</v>
      </c>
      <c r="AI95" s="71" t="e">
        <f t="shared" si="10"/>
        <v>#VALUE!</v>
      </c>
      <c r="AJ95" s="71" t="e">
        <f t="shared" si="10"/>
        <v>#VALUE!</v>
      </c>
      <c r="AK95" s="71" t="e">
        <f t="shared" si="10"/>
        <v>#VALUE!</v>
      </c>
      <c r="AL95" s="71" t="e">
        <f t="shared" si="10"/>
        <v>#VALUE!</v>
      </c>
      <c r="AM95" s="71" t="e">
        <f t="shared" si="10"/>
        <v>#VALUE!</v>
      </c>
      <c r="AN95" s="71" t="e">
        <f t="shared" si="10"/>
        <v>#VALUE!</v>
      </c>
      <c r="AO95" s="71" t="e">
        <f t="shared" si="10"/>
        <v>#VALUE!</v>
      </c>
      <c r="AP95" s="71" t="e">
        <f t="shared" si="10"/>
        <v>#VALUE!</v>
      </c>
      <c r="AQ95" s="71" t="e">
        <f t="shared" si="10"/>
        <v>#VALUE!</v>
      </c>
    </row>
    <row r="96" spans="2:50">
      <c r="C96" t="str">
        <f>'Household values'!D54</f>
        <v>Nelson Mandela Metropolitan Municipality</v>
      </c>
      <c r="D96" s="78">
        <f>D75*$F10</f>
        <v>0</v>
      </c>
      <c r="E96" s="78">
        <f t="shared" ref="E96:AG96" si="11">E75*$F10</f>
        <v>0</v>
      </c>
      <c r="F96" s="78">
        <f t="shared" si="11"/>
        <v>0</v>
      </c>
      <c r="G96" s="78">
        <f t="shared" si="11"/>
        <v>0</v>
      </c>
      <c r="H96" s="78">
        <f t="shared" si="11"/>
        <v>0</v>
      </c>
      <c r="I96" s="78">
        <f>I75*$F10</f>
        <v>1519106.0018541075</v>
      </c>
      <c r="J96" s="78">
        <f t="shared" si="11"/>
        <v>4311381.7920338772</v>
      </c>
      <c r="K96" s="78">
        <f t="shared" si="11"/>
        <v>6106510.9720210014</v>
      </c>
      <c r="L96" s="78">
        <f t="shared" si="11"/>
        <v>9498895.2868795432</v>
      </c>
      <c r="M96" s="78">
        <f t="shared" si="11"/>
        <v>16049086.501106311</v>
      </c>
      <c r="N96" s="78">
        <f t="shared" si="11"/>
        <v>15843125.864863167</v>
      </c>
      <c r="O96" s="78">
        <f t="shared" si="11"/>
        <v>15639808.356232135</v>
      </c>
      <c r="P96" s="78">
        <f t="shared" si="11"/>
        <v>15439100.055510581</v>
      </c>
      <c r="Q96" s="78">
        <f t="shared" si="11"/>
        <v>15240967.478292679</v>
      </c>
      <c r="R96" s="78">
        <f t="shared" si="11"/>
        <v>15045377.569884215</v>
      </c>
      <c r="S96" s="78">
        <f t="shared" si="11"/>
        <v>14852297.699786989</v>
      </c>
      <c r="T96" s="78">
        <f t="shared" si="11"/>
        <v>14661695.656255685</v>
      </c>
      <c r="U96" s="78">
        <f t="shared" si="11"/>
        <v>14473539.640923651</v>
      </c>
      <c r="V96" s="78">
        <f t="shared" si="11"/>
        <v>14287798.263498159</v>
      </c>
      <c r="W96" s="78">
        <f t="shared" si="11"/>
        <v>14104440.536523474</v>
      </c>
      <c r="X96" s="78">
        <f t="shared" si="11"/>
        <v>12671891.072888331</v>
      </c>
      <c r="Y96" s="78">
        <f t="shared" si="11"/>
        <v>12509270.555664608</v>
      </c>
      <c r="Z96" s="78">
        <f t="shared" si="11"/>
        <v>10824201.545978682</v>
      </c>
      <c r="AA96" s="78">
        <f t="shared" si="11"/>
        <v>7825848.2042029593</v>
      </c>
      <c r="AB96" s="78">
        <f t="shared" si="11"/>
        <v>2228485.896101512</v>
      </c>
      <c r="AC96" s="78">
        <f t="shared" si="11"/>
        <v>2199887.360416153</v>
      </c>
      <c r="AD96" s="78">
        <f t="shared" si="11"/>
        <v>0</v>
      </c>
      <c r="AE96" s="78">
        <f t="shared" si="11"/>
        <v>0</v>
      </c>
      <c r="AF96" s="78">
        <f t="shared" si="11"/>
        <v>0</v>
      </c>
      <c r="AG96" s="78">
        <f t="shared" si="11"/>
        <v>0</v>
      </c>
      <c r="AH96" s="78"/>
      <c r="AI96" s="78"/>
      <c r="AJ96" s="78"/>
      <c r="AK96" s="78"/>
      <c r="AL96" s="78"/>
      <c r="AM96" s="78"/>
      <c r="AN96" s="78"/>
      <c r="AO96" s="78"/>
      <c r="AP96" s="78"/>
      <c r="AQ96" s="78"/>
    </row>
    <row r="97" spans="3:43">
      <c r="C97" t="str">
        <f>'Household values'!D55</f>
        <v>City of Ekurhuleni</v>
      </c>
      <c r="D97" s="78">
        <f t="shared" ref="D97:AG103" si="12">D76*$F11</f>
        <v>0</v>
      </c>
      <c r="E97" s="78">
        <f t="shared" si="12"/>
        <v>0</v>
      </c>
      <c r="F97" s="78">
        <f t="shared" si="12"/>
        <v>0</v>
      </c>
      <c r="G97" s="78">
        <f t="shared" si="12"/>
        <v>0</v>
      </c>
      <c r="H97" s="78">
        <f t="shared" si="12"/>
        <v>0</v>
      </c>
      <c r="I97" s="78">
        <f t="shared" si="12"/>
        <v>2674750.3413699479</v>
      </c>
      <c r="J97" s="78">
        <f t="shared" si="12"/>
        <v>7591221.353838277</v>
      </c>
      <c r="K97" s="78">
        <f t="shared" si="12"/>
        <v>10751976.680400962</v>
      </c>
      <c r="L97" s="78">
        <f t="shared" si="12"/>
        <v>16725082.63426538</v>
      </c>
      <c r="M97" s="78">
        <f t="shared" si="12"/>
        <v>28258264.759085979</v>
      </c>
      <c r="N97" s="78">
        <f t="shared" si="12"/>
        <v>27895621.677281454</v>
      </c>
      <c r="O97" s="78">
        <f t="shared" si="12"/>
        <v>27537632.455361728</v>
      </c>
      <c r="P97" s="78">
        <f t="shared" si="12"/>
        <v>27184237.369557627</v>
      </c>
      <c r="Q97" s="78">
        <f t="shared" si="12"/>
        <v>26835377.462544378</v>
      </c>
      <c r="R97" s="78">
        <f t="shared" si="12"/>
        <v>26490994.533607535</v>
      </c>
      <c r="S97" s="78">
        <f t="shared" si="12"/>
        <v>26151031.128931433</v>
      </c>
      <c r="T97" s="78">
        <f t="shared" si="12"/>
        <v>25815430.532015268</v>
      </c>
      <c r="U97" s="78">
        <f t="shared" si="12"/>
        <v>25484136.754210487</v>
      </c>
      <c r="V97" s="78">
        <f t="shared" si="12"/>
        <v>25157094.525380515</v>
      </c>
      <c r="W97" s="78">
        <f t="shared" si="12"/>
        <v>24834249.284679886</v>
      </c>
      <c r="X97" s="78">
        <f t="shared" si="12"/>
        <v>22311902.481882233</v>
      </c>
      <c r="Y97" s="78">
        <f t="shared" si="12"/>
        <v>22025570.070959613</v>
      </c>
      <c r="Z97" s="78">
        <f t="shared" si="12"/>
        <v>19058602.062546592</v>
      </c>
      <c r="AA97" s="78">
        <f t="shared" si="12"/>
        <v>13779282.110763164</v>
      </c>
      <c r="AB97" s="78">
        <f t="shared" si="12"/>
        <v>3923783.7281009462</v>
      </c>
      <c r="AC97" s="78">
        <f t="shared" si="12"/>
        <v>3873429.1491619311</v>
      </c>
      <c r="AD97" s="78">
        <f t="shared" si="12"/>
        <v>0</v>
      </c>
      <c r="AE97" s="78">
        <f t="shared" si="12"/>
        <v>0</v>
      </c>
      <c r="AF97" s="78">
        <f t="shared" si="12"/>
        <v>0</v>
      </c>
      <c r="AG97" s="78">
        <f t="shared" si="12"/>
        <v>0</v>
      </c>
      <c r="AH97" s="78"/>
      <c r="AI97" s="78"/>
      <c r="AJ97" s="78"/>
      <c r="AK97" s="78"/>
      <c r="AL97" s="78"/>
      <c r="AM97" s="78"/>
      <c r="AN97" s="78"/>
      <c r="AO97" s="78"/>
      <c r="AP97" s="78"/>
      <c r="AQ97" s="78"/>
    </row>
    <row r="98" spans="3:43">
      <c r="C98" t="str">
        <f>'Household values'!D56</f>
        <v>City of Johannesburg Metropolitan Municipality</v>
      </c>
      <c r="D98" s="78">
        <f t="shared" si="12"/>
        <v>0</v>
      </c>
      <c r="E98" s="78">
        <f t="shared" si="12"/>
        <v>0</v>
      </c>
      <c r="F98" s="78">
        <f t="shared" si="12"/>
        <v>0</v>
      </c>
      <c r="G98" s="78">
        <f t="shared" si="12"/>
        <v>0</v>
      </c>
      <c r="H98" s="78">
        <f t="shared" si="12"/>
        <v>0</v>
      </c>
      <c r="I98" s="78">
        <f t="shared" si="12"/>
        <v>6526243.4635447739</v>
      </c>
      <c r="J98" s="78">
        <f t="shared" si="12"/>
        <v>18522161.853593472</v>
      </c>
      <c r="K98" s="78">
        <f t="shared" si="12"/>
        <v>26234230.703832004</v>
      </c>
      <c r="L98" s="78">
        <f t="shared" si="12"/>
        <v>40808280.133993901</v>
      </c>
      <c r="M98" s="78">
        <f t="shared" si="12"/>
        <v>68948609.080519468</v>
      </c>
      <c r="N98" s="78">
        <f t="shared" si="12"/>
        <v>68063779.941283107</v>
      </c>
      <c r="O98" s="78">
        <f t="shared" si="12"/>
        <v>67190305.963754252</v>
      </c>
      <c r="P98" s="78">
        <f t="shared" si="12"/>
        <v>66328041.425226659</v>
      </c>
      <c r="Q98" s="78">
        <f t="shared" si="12"/>
        <v>65476842.473076254</v>
      </c>
      <c r="R98" s="78">
        <f t="shared" si="12"/>
        <v>64636567.10076642</v>
      </c>
      <c r="S98" s="78">
        <f t="shared" si="12"/>
        <v>63807075.124152459</v>
      </c>
      <c r="T98" s="78">
        <f t="shared" si="12"/>
        <v>62988228.158097275</v>
      </c>
      <c r="U98" s="78">
        <f t="shared" si="12"/>
        <v>62179889.593383186</v>
      </c>
      <c r="V98" s="78">
        <f t="shared" si="12"/>
        <v>61381924.573922127</v>
      </c>
      <c r="W98" s="78">
        <f t="shared" si="12"/>
        <v>60594199.974257298</v>
      </c>
      <c r="X98" s="78">
        <f t="shared" si="12"/>
        <v>54439812.747926466</v>
      </c>
      <c r="Y98" s="78">
        <f t="shared" si="12"/>
        <v>53741177.44119063</v>
      </c>
      <c r="Z98" s="78">
        <f t="shared" si="12"/>
        <v>46501938.970233165</v>
      </c>
      <c r="AA98" s="78">
        <f t="shared" si="12"/>
        <v>33620689.159964345</v>
      </c>
      <c r="AB98" s="78">
        <f t="shared" si="12"/>
        <v>9573816.10979308</v>
      </c>
      <c r="AC98" s="78">
        <f t="shared" si="12"/>
        <v>9450953.7115432378</v>
      </c>
      <c r="AD98" s="78">
        <f t="shared" si="12"/>
        <v>0</v>
      </c>
      <c r="AE98" s="78">
        <f t="shared" si="12"/>
        <v>0</v>
      </c>
      <c r="AF98" s="78">
        <f t="shared" si="12"/>
        <v>0</v>
      </c>
      <c r="AG98" s="78">
        <f t="shared" si="12"/>
        <v>0</v>
      </c>
      <c r="AH98" s="78"/>
      <c r="AI98" s="78"/>
      <c r="AJ98" s="78"/>
      <c r="AK98" s="78"/>
      <c r="AL98" s="78"/>
      <c r="AM98" s="78"/>
      <c r="AN98" s="78"/>
      <c r="AO98" s="78"/>
      <c r="AP98" s="78"/>
      <c r="AQ98" s="78"/>
    </row>
    <row r="99" spans="3:43">
      <c r="C99" t="str">
        <f>'Household values'!D57</f>
        <v>City of Tshwane Metropolitan Municipality</v>
      </c>
      <c r="D99" s="78">
        <f t="shared" si="12"/>
        <v>0</v>
      </c>
      <c r="E99" s="78">
        <f t="shared" si="12"/>
        <v>0</v>
      </c>
      <c r="F99" s="78">
        <f t="shared" si="12"/>
        <v>0</v>
      </c>
      <c r="G99" s="78">
        <f t="shared" si="12"/>
        <v>0</v>
      </c>
      <c r="H99" s="78">
        <f t="shared" si="12"/>
        <v>0</v>
      </c>
      <c r="I99" s="78">
        <f t="shared" si="12"/>
        <v>3720104.3604890187</v>
      </c>
      <c r="J99" s="78">
        <f t="shared" si="12"/>
        <v>10558045.445612377</v>
      </c>
      <c r="K99" s="78">
        <f t="shared" si="12"/>
        <v>14954096.729696849</v>
      </c>
      <c r="L99" s="78">
        <f t="shared" si="12"/>
        <v>23261630.020169504</v>
      </c>
      <c r="M99" s="78">
        <f t="shared" si="12"/>
        <v>39302245.269099355</v>
      </c>
      <c r="N99" s="78">
        <f t="shared" si="12"/>
        <v>38797872.92112492</v>
      </c>
      <c r="O99" s="78">
        <f t="shared" si="12"/>
        <v>38299973.268632658</v>
      </c>
      <c r="P99" s="78">
        <f t="shared" si="12"/>
        <v>37808463.246429287</v>
      </c>
      <c r="Q99" s="78">
        <f t="shared" si="12"/>
        <v>37323260.855310023</v>
      </c>
      <c r="R99" s="78">
        <f t="shared" si="12"/>
        <v>36844285.148381136</v>
      </c>
      <c r="S99" s="78">
        <f t="shared" si="12"/>
        <v>36371456.21755296</v>
      </c>
      <c r="T99" s="78">
        <f t="shared" si="12"/>
        <v>35904695.180210277</v>
      </c>
      <c r="U99" s="78">
        <f t="shared" si="12"/>
        <v>35443924.166051544</v>
      </c>
      <c r="V99" s="78">
        <f t="shared" si="12"/>
        <v>34989066.304098226</v>
      </c>
      <c r="W99" s="78">
        <f t="shared" si="12"/>
        <v>34540045.709870212</v>
      </c>
      <c r="X99" s="78">
        <f t="shared" si="12"/>
        <v>31031907.699895371</v>
      </c>
      <c r="Y99" s="78">
        <f t="shared" si="12"/>
        <v>30633669.990024842</v>
      </c>
      <c r="Z99" s="78">
        <f t="shared" si="12"/>
        <v>26507142.569945864</v>
      </c>
      <c r="AA99" s="78">
        <f t="shared" si="12"/>
        <v>19164542.825482529</v>
      </c>
      <c r="AB99" s="78">
        <f t="shared" si="12"/>
        <v>5457288.7535544671</v>
      </c>
      <c r="AC99" s="78">
        <f t="shared" si="12"/>
        <v>5387254.4457597164</v>
      </c>
      <c r="AD99" s="78">
        <f t="shared" si="12"/>
        <v>0</v>
      </c>
      <c r="AE99" s="78">
        <f t="shared" si="12"/>
        <v>0</v>
      </c>
      <c r="AF99" s="78">
        <f t="shared" si="12"/>
        <v>0</v>
      </c>
      <c r="AG99" s="78">
        <f t="shared" si="12"/>
        <v>0</v>
      </c>
      <c r="AH99" s="78"/>
      <c r="AI99" s="78"/>
      <c r="AJ99" s="78"/>
      <c r="AK99" s="78"/>
      <c r="AL99" s="78"/>
      <c r="AM99" s="78"/>
      <c r="AN99" s="78"/>
      <c r="AO99" s="78"/>
      <c r="AP99" s="78"/>
      <c r="AQ99" s="78"/>
    </row>
    <row r="100" spans="3:43">
      <c r="C100" t="str">
        <f>'Household values'!D58</f>
        <v>eThekwini Metropolitan Municipality</v>
      </c>
      <c r="D100" s="78">
        <f t="shared" si="12"/>
        <v>0</v>
      </c>
      <c r="E100" s="78">
        <f t="shared" si="12"/>
        <v>0</v>
      </c>
      <c r="F100" s="78">
        <f t="shared" si="12"/>
        <v>0</v>
      </c>
      <c r="G100" s="78">
        <f t="shared" si="12"/>
        <v>0</v>
      </c>
      <c r="H100" s="78">
        <f t="shared" si="12"/>
        <v>0</v>
      </c>
      <c r="I100" s="78">
        <f t="shared" si="12"/>
        <v>4774602.5785990832</v>
      </c>
      <c r="J100" s="78">
        <f t="shared" si="12"/>
        <v>13550821.730969006</v>
      </c>
      <c r="K100" s="78">
        <f t="shared" si="12"/>
        <v>19192974.682259981</v>
      </c>
      <c r="L100" s="78">
        <f t="shared" si="12"/>
        <v>29855355.633657362</v>
      </c>
      <c r="M100" s="78">
        <f t="shared" si="12"/>
        <v>50442832.62577825</v>
      </c>
      <c r="N100" s="78">
        <f t="shared" si="12"/>
        <v>49795491.239662878</v>
      </c>
      <c r="O100" s="78">
        <f t="shared" si="12"/>
        <v>49156457.294830039</v>
      </c>
      <c r="P100" s="78">
        <f t="shared" si="12"/>
        <v>48525624.180484012</v>
      </c>
      <c r="Q100" s="78">
        <f t="shared" si="12"/>
        <v>47902886.653981939</v>
      </c>
      <c r="R100" s="78">
        <f t="shared" si="12"/>
        <v>47288140.823279403</v>
      </c>
      <c r="S100" s="78">
        <f t="shared" si="12"/>
        <v>46681284.129594691</v>
      </c>
      <c r="T100" s="78">
        <f t="shared" si="12"/>
        <v>46082215.330300838</v>
      </c>
      <c r="U100" s="78">
        <f t="shared" si="12"/>
        <v>45490834.482034311</v>
      </c>
      <c r="V100" s="78">
        <f t="shared" si="12"/>
        <v>44907042.924021974</v>
      </c>
      <c r="W100" s="78">
        <f t="shared" si="12"/>
        <v>44330743.261621274</v>
      </c>
      <c r="X100" s="78">
        <f t="shared" si="12"/>
        <v>39828190.869164877</v>
      </c>
      <c r="Y100" s="78">
        <f t="shared" si="12"/>
        <v>39317068.972521834</v>
      </c>
      <c r="Z100" s="78">
        <f t="shared" si="12"/>
        <v>34020838.933970183</v>
      </c>
      <c r="AA100" s="78">
        <f t="shared" si="12"/>
        <v>24596910.92649699</v>
      </c>
      <c r="AB100" s="78">
        <f t="shared" si="12"/>
        <v>7004208.062446868</v>
      </c>
      <c r="AC100" s="78">
        <f t="shared" si="12"/>
        <v>6914321.8780326052</v>
      </c>
      <c r="AD100" s="78">
        <f t="shared" si="12"/>
        <v>0</v>
      </c>
      <c r="AE100" s="78">
        <f t="shared" si="12"/>
        <v>0</v>
      </c>
      <c r="AF100" s="78">
        <f t="shared" si="12"/>
        <v>0</v>
      </c>
      <c r="AG100" s="78">
        <f t="shared" si="12"/>
        <v>0</v>
      </c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</row>
    <row r="101" spans="3:43">
      <c r="C101" t="str">
        <f>'Household values'!D59</f>
        <v>Indicative Project A</v>
      </c>
      <c r="D101" s="78" t="e">
        <f t="shared" si="12"/>
        <v>#N/A</v>
      </c>
      <c r="E101" s="78" t="e">
        <f t="shared" si="12"/>
        <v>#N/A</v>
      </c>
      <c r="F101" s="78" t="e">
        <f t="shared" si="12"/>
        <v>#N/A</v>
      </c>
      <c r="G101" s="78" t="e">
        <f t="shared" si="12"/>
        <v>#N/A</v>
      </c>
      <c r="H101" s="78" t="e">
        <f t="shared" si="12"/>
        <v>#N/A</v>
      </c>
      <c r="I101" s="78" t="e">
        <f t="shared" si="12"/>
        <v>#N/A</v>
      </c>
      <c r="J101" s="78" t="e">
        <f t="shared" si="12"/>
        <v>#N/A</v>
      </c>
      <c r="K101" s="78" t="e">
        <f t="shared" si="12"/>
        <v>#N/A</v>
      </c>
      <c r="L101" s="78" t="e">
        <f t="shared" si="12"/>
        <v>#N/A</v>
      </c>
      <c r="M101" s="78" t="e">
        <f t="shared" si="12"/>
        <v>#N/A</v>
      </c>
      <c r="N101" s="78" t="e">
        <f t="shared" si="12"/>
        <v>#N/A</v>
      </c>
      <c r="O101" s="78" t="e">
        <f t="shared" si="12"/>
        <v>#N/A</v>
      </c>
      <c r="P101" s="78" t="e">
        <f t="shared" si="12"/>
        <v>#N/A</v>
      </c>
      <c r="Q101" s="78" t="e">
        <f t="shared" si="12"/>
        <v>#N/A</v>
      </c>
      <c r="R101" s="78" t="e">
        <f t="shared" si="12"/>
        <v>#N/A</v>
      </c>
      <c r="S101" s="78" t="e">
        <f t="shared" si="12"/>
        <v>#N/A</v>
      </c>
      <c r="T101" s="78" t="e">
        <f t="shared" si="12"/>
        <v>#N/A</v>
      </c>
      <c r="U101" s="78" t="e">
        <f t="shared" si="12"/>
        <v>#N/A</v>
      </c>
      <c r="V101" s="78" t="e">
        <f t="shared" si="12"/>
        <v>#N/A</v>
      </c>
      <c r="W101" s="78" t="e">
        <f t="shared" si="12"/>
        <v>#N/A</v>
      </c>
      <c r="X101" s="78" t="e">
        <f t="shared" si="12"/>
        <v>#N/A</v>
      </c>
      <c r="Y101" s="78" t="e">
        <f t="shared" si="12"/>
        <v>#N/A</v>
      </c>
      <c r="Z101" s="78" t="e">
        <f t="shared" si="12"/>
        <v>#N/A</v>
      </c>
      <c r="AA101" s="78" t="e">
        <f t="shared" si="12"/>
        <v>#N/A</v>
      </c>
      <c r="AB101" s="78" t="e">
        <f t="shared" si="12"/>
        <v>#N/A</v>
      </c>
      <c r="AC101" s="78" t="e">
        <f t="shared" si="12"/>
        <v>#N/A</v>
      </c>
      <c r="AD101" s="78" t="e">
        <f t="shared" si="12"/>
        <v>#N/A</v>
      </c>
      <c r="AE101" s="78" t="e">
        <f t="shared" si="12"/>
        <v>#N/A</v>
      </c>
      <c r="AF101" s="78" t="e">
        <f t="shared" si="12"/>
        <v>#N/A</v>
      </c>
      <c r="AG101" s="78" t="e">
        <f t="shared" si="12"/>
        <v>#N/A</v>
      </c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</row>
    <row r="102" spans="3:43">
      <c r="C102" t="str">
        <f>'Household values'!D60</f>
        <v>City of Cape Town Metrolpolitan Municipality</v>
      </c>
      <c r="D102" s="78">
        <f t="shared" si="12"/>
        <v>0</v>
      </c>
      <c r="E102" s="78">
        <f t="shared" si="12"/>
        <v>0</v>
      </c>
      <c r="F102" s="78">
        <f t="shared" si="12"/>
        <v>0</v>
      </c>
      <c r="G102" s="78">
        <f t="shared" si="12"/>
        <v>0</v>
      </c>
      <c r="H102" s="78">
        <f t="shared" si="12"/>
        <v>0</v>
      </c>
      <c r="I102" s="78">
        <f t="shared" si="12"/>
        <v>4610982.5392407412</v>
      </c>
      <c r="J102" s="78">
        <f t="shared" si="12"/>
        <v>13086450.938120827</v>
      </c>
      <c r="K102" s="78">
        <f t="shared" si="12"/>
        <v>18535253.914673824</v>
      </c>
      <c r="L102" s="78">
        <f t="shared" si="12"/>
        <v>28832247.556404661</v>
      </c>
      <c r="M102" s="78">
        <f t="shared" si="12"/>
        <v>48714215.81972824</v>
      </c>
      <c r="N102" s="78">
        <f t="shared" si="12"/>
        <v>48089058.064884968</v>
      </c>
      <c r="O102" s="78">
        <f t="shared" si="12"/>
        <v>47471923.065039411</v>
      </c>
      <c r="P102" s="78">
        <f t="shared" si="12"/>
        <v>46862707.862822972</v>
      </c>
      <c r="Q102" s="78">
        <f t="shared" si="12"/>
        <v>46261310.822134919</v>
      </c>
      <c r="R102" s="78">
        <f t="shared" si="12"/>
        <v>45667631.611189552</v>
      </c>
      <c r="S102" s="78">
        <f t="shared" si="12"/>
        <v>45081571.185774498</v>
      </c>
      <c r="T102" s="78">
        <f t="shared" si="12"/>
        <v>44503031.772729076</v>
      </c>
      <c r="U102" s="78">
        <f t="shared" si="12"/>
        <v>43931916.853631787</v>
      </c>
      <c r="V102" s="78">
        <f t="shared" si="12"/>
        <v>43368131.148698658</v>
      </c>
      <c r="W102" s="78">
        <f t="shared" si="12"/>
        <v>42811580.600887485</v>
      </c>
      <c r="X102" s="78">
        <f t="shared" si="12"/>
        <v>38463325.406478271</v>
      </c>
      <c r="Y102" s="78">
        <f t="shared" si="12"/>
        <v>37969719.058714725</v>
      </c>
      <c r="Z102" s="78">
        <f t="shared" si="12"/>
        <v>32854984.621753629</v>
      </c>
      <c r="AA102" s="78">
        <f t="shared" si="12"/>
        <v>23754003.591774292</v>
      </c>
      <c r="AB102" s="78">
        <f t="shared" si="12"/>
        <v>6764182.0540020298</v>
      </c>
      <c r="AC102" s="78">
        <f t="shared" si="12"/>
        <v>6677376.1638718508</v>
      </c>
      <c r="AD102" s="78">
        <f t="shared" si="12"/>
        <v>0</v>
      </c>
      <c r="AE102" s="78">
        <f t="shared" si="12"/>
        <v>0</v>
      </c>
      <c r="AF102" s="78">
        <f t="shared" si="12"/>
        <v>0</v>
      </c>
      <c r="AG102" s="78">
        <f t="shared" si="12"/>
        <v>0</v>
      </c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</row>
    <row r="103" spans="3:43">
      <c r="C103" t="str">
        <f>'Household values'!D61</f>
        <v>Drakenstein Local Municipality</v>
      </c>
      <c r="D103" s="78">
        <f t="shared" si="12"/>
        <v>0</v>
      </c>
      <c r="E103" s="78">
        <f t="shared" si="12"/>
        <v>0</v>
      </c>
      <c r="F103" s="78">
        <f t="shared" si="12"/>
        <v>0</v>
      </c>
      <c r="G103" s="78">
        <f t="shared" si="12"/>
        <v>0</v>
      </c>
      <c r="H103" s="78">
        <f t="shared" si="12"/>
        <v>0</v>
      </c>
      <c r="I103" s="78">
        <f t="shared" si="12"/>
        <v>201632.95206188346</v>
      </c>
      <c r="J103" s="78">
        <f t="shared" si="12"/>
        <v>572255.41676000284</v>
      </c>
      <c r="K103" s="78">
        <f t="shared" si="12"/>
        <v>810525.29091720725</v>
      </c>
      <c r="L103" s="78">
        <f t="shared" si="12"/>
        <v>1260800.9550897523</v>
      </c>
      <c r="M103" s="78">
        <f t="shared" si="12"/>
        <v>2130216.5123203644</v>
      </c>
      <c r="N103" s="78">
        <f t="shared" si="12"/>
        <v>2102879.0842254441</v>
      </c>
      <c r="O103" s="78">
        <f t="shared" si="12"/>
        <v>2075892.4819599625</v>
      </c>
      <c r="P103" s="78">
        <f t="shared" si="12"/>
        <v>2049252.2033168545</v>
      </c>
      <c r="Q103" s="78">
        <f t="shared" si="12"/>
        <v>2022953.8038665762</v>
      </c>
      <c r="R103" s="78">
        <f t="shared" si="12"/>
        <v>1996992.8962157751</v>
      </c>
      <c r="S103" s="78">
        <f t="shared" si="12"/>
        <v>1971365.1492751981</v>
      </c>
      <c r="T103" s="78">
        <f t="shared" si="12"/>
        <v>1946066.2875372169</v>
      </c>
      <c r="U103" s="78">
        <f t="shared" si="12"/>
        <v>1921092.0903625011</v>
      </c>
      <c r="V103" s="78">
        <f t="shared" si="12"/>
        <v>1896438.3912759121</v>
      </c>
      <c r="W103" s="78">
        <f t="shared" si="12"/>
        <v>1872101.0772713998</v>
      </c>
      <c r="X103" s="78">
        <f t="shared" si="12"/>
        <v>1681956.8891930999</v>
      </c>
      <c r="Y103" s="78">
        <f t="shared" si="12"/>
        <v>1660372.0525104529</v>
      </c>
      <c r="Z103" s="78">
        <f t="shared" si="12"/>
        <v>1436710.6105595455</v>
      </c>
      <c r="AA103" s="78">
        <f t="shared" si="12"/>
        <v>1038735.1994368434</v>
      </c>
      <c r="AB103" s="78">
        <f t="shared" si="12"/>
        <v>295789.88517640857</v>
      </c>
      <c r="AC103" s="78">
        <f t="shared" si="12"/>
        <v>291993.96364897868</v>
      </c>
      <c r="AD103" s="78">
        <f t="shared" si="12"/>
        <v>0</v>
      </c>
      <c r="AE103" s="78">
        <f t="shared" si="12"/>
        <v>0</v>
      </c>
      <c r="AF103" s="78">
        <f t="shared" si="12"/>
        <v>0</v>
      </c>
      <c r="AG103" s="78">
        <f t="shared" si="12"/>
        <v>0</v>
      </c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</row>
    <row r="104" spans="3:43">
      <c r="C104" t="str">
        <f>'Household values'!D62</f>
        <v>Indicative Project B</v>
      </c>
      <c r="D104" s="78" t="e">
        <f t="shared" ref="D104:AG104" si="13">D83*$F18</f>
        <v>#N/A</v>
      </c>
      <c r="E104" s="78" t="e">
        <f t="shared" si="13"/>
        <v>#N/A</v>
      </c>
      <c r="F104" s="78" t="e">
        <f t="shared" si="13"/>
        <v>#N/A</v>
      </c>
      <c r="G104" s="78" t="e">
        <f t="shared" si="13"/>
        <v>#N/A</v>
      </c>
      <c r="H104" s="78" t="e">
        <f t="shared" si="13"/>
        <v>#N/A</v>
      </c>
      <c r="I104" s="78" t="e">
        <f t="shared" si="13"/>
        <v>#N/A</v>
      </c>
      <c r="J104" s="78" t="e">
        <f t="shared" si="13"/>
        <v>#N/A</v>
      </c>
      <c r="K104" s="78" t="e">
        <f t="shared" si="13"/>
        <v>#N/A</v>
      </c>
      <c r="L104" s="78" t="e">
        <f t="shared" si="13"/>
        <v>#N/A</v>
      </c>
      <c r="M104" s="78" t="e">
        <f t="shared" si="13"/>
        <v>#N/A</v>
      </c>
      <c r="N104" s="78" t="e">
        <f t="shared" si="13"/>
        <v>#N/A</v>
      </c>
      <c r="O104" s="78" t="e">
        <f t="shared" si="13"/>
        <v>#N/A</v>
      </c>
      <c r="P104" s="78" t="e">
        <f t="shared" si="13"/>
        <v>#N/A</v>
      </c>
      <c r="Q104" s="78" t="e">
        <f t="shared" si="13"/>
        <v>#N/A</v>
      </c>
      <c r="R104" s="78" t="e">
        <f t="shared" si="13"/>
        <v>#N/A</v>
      </c>
      <c r="S104" s="78" t="e">
        <f t="shared" si="13"/>
        <v>#N/A</v>
      </c>
      <c r="T104" s="78" t="e">
        <f t="shared" si="13"/>
        <v>#N/A</v>
      </c>
      <c r="U104" s="78" t="e">
        <f t="shared" si="13"/>
        <v>#N/A</v>
      </c>
      <c r="V104" s="78" t="e">
        <f t="shared" si="13"/>
        <v>#N/A</v>
      </c>
      <c r="W104" s="78" t="e">
        <f t="shared" si="13"/>
        <v>#N/A</v>
      </c>
      <c r="X104" s="78" t="e">
        <f t="shared" si="13"/>
        <v>#N/A</v>
      </c>
      <c r="Y104" s="78" t="e">
        <f t="shared" si="13"/>
        <v>#N/A</v>
      </c>
      <c r="Z104" s="78" t="e">
        <f t="shared" si="13"/>
        <v>#N/A</v>
      </c>
      <c r="AA104" s="78" t="e">
        <f t="shared" si="13"/>
        <v>#N/A</v>
      </c>
      <c r="AB104" s="78" t="e">
        <f t="shared" si="13"/>
        <v>#N/A</v>
      </c>
      <c r="AC104" s="78" t="e">
        <f t="shared" si="13"/>
        <v>#N/A</v>
      </c>
      <c r="AD104" s="78" t="e">
        <f t="shared" si="13"/>
        <v>#N/A</v>
      </c>
      <c r="AE104" s="78" t="e">
        <f t="shared" si="13"/>
        <v>#N/A</v>
      </c>
      <c r="AF104" s="78" t="e">
        <f t="shared" si="13"/>
        <v>#N/A</v>
      </c>
      <c r="AG104" s="78" t="e">
        <f t="shared" si="13"/>
        <v>#N/A</v>
      </c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</row>
    <row r="105" spans="3:43">
      <c r="C105" t="str">
        <f>'Household values'!D63</f>
        <v>Mangaung Metropolitan Municipality</v>
      </c>
      <c r="D105" s="78">
        <f t="shared" ref="D105:AG105" si="14">D84*$F19</f>
        <v>0</v>
      </c>
      <c r="E105" s="78">
        <f t="shared" si="14"/>
        <v>0</v>
      </c>
      <c r="F105" s="78">
        <f t="shared" si="14"/>
        <v>0</v>
      </c>
      <c r="G105" s="78">
        <f t="shared" si="14"/>
        <v>0</v>
      </c>
      <c r="H105" s="78">
        <f t="shared" si="14"/>
        <v>0</v>
      </c>
      <c r="I105" s="78">
        <f t="shared" si="14"/>
        <v>657094.15675403888</v>
      </c>
      <c r="J105" s="78">
        <f t="shared" si="14"/>
        <v>1864901.9749928503</v>
      </c>
      <c r="K105" s="78">
        <f t="shared" si="14"/>
        <v>2641390.839725473</v>
      </c>
      <c r="L105" s="78">
        <f t="shared" si="14"/>
        <v>4108777.5184937143</v>
      </c>
      <c r="M105" s="78">
        <f t="shared" si="14"/>
        <v>6942083.6651594499</v>
      </c>
      <c r="N105" s="78">
        <f t="shared" si="14"/>
        <v>6852994.7336223917</v>
      </c>
      <c r="O105" s="78">
        <f t="shared" si="14"/>
        <v>6765049.0953824138</v>
      </c>
      <c r="P105" s="78">
        <f t="shared" si="14"/>
        <v>6678232.0783637222</v>
      </c>
      <c r="Q105" s="78">
        <f t="shared" si="14"/>
        <v>6592529.1987795467</v>
      </c>
      <c r="R105" s="78">
        <f t="shared" si="14"/>
        <v>6507926.1587162483</v>
      </c>
      <c r="S105" s="78">
        <f t="shared" si="14"/>
        <v>6424408.843747532</v>
      </c>
      <c r="T105" s="78">
        <f t="shared" si="14"/>
        <v>6341963.3205800001</v>
      </c>
      <c r="U105" s="78">
        <f t="shared" si="14"/>
        <v>6260575.8347285185</v>
      </c>
      <c r="V105" s="78">
        <f t="shared" si="14"/>
        <v>6180232.8082216308</v>
      </c>
      <c r="W105" s="78">
        <f t="shared" si="14"/>
        <v>6100920.8373363111</v>
      </c>
      <c r="X105" s="78">
        <f t="shared" si="14"/>
        <v>5481266.9878571564</v>
      </c>
      <c r="Y105" s="78">
        <f t="shared" si="14"/>
        <v>5410924.9633337809</v>
      </c>
      <c r="Z105" s="78">
        <f t="shared" si="14"/>
        <v>4682042.9770599389</v>
      </c>
      <c r="AA105" s="78">
        <f t="shared" si="14"/>
        <v>3385095.6551745054</v>
      </c>
      <c r="AB105" s="78">
        <f t="shared" si="14"/>
        <v>963938.69746406493</v>
      </c>
      <c r="AC105" s="78">
        <f t="shared" si="14"/>
        <v>951568.30944134947</v>
      </c>
      <c r="AD105" s="78">
        <f t="shared" si="14"/>
        <v>0</v>
      </c>
      <c r="AE105" s="78">
        <f t="shared" si="14"/>
        <v>0</v>
      </c>
      <c r="AF105" s="78">
        <f t="shared" si="14"/>
        <v>0</v>
      </c>
      <c r="AG105" s="78">
        <f t="shared" si="14"/>
        <v>0</v>
      </c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</row>
    <row r="106" spans="3:43">
      <c r="C106" t="str">
        <f>'Household values'!D64</f>
        <v>Municipality 11</v>
      </c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</row>
    <row r="107" spans="3:43">
      <c r="C107" t="str">
        <f>'Household values'!D65</f>
        <v>Municipality 12</v>
      </c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</row>
    <row r="108" spans="3:43">
      <c r="C108" t="str">
        <f>'Household values'!D66</f>
        <v>Municipality 13</v>
      </c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</row>
    <row r="109" spans="3:43">
      <c r="C109" t="str">
        <f>'Household values'!D67</f>
        <v>Municipality 14</v>
      </c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</row>
    <row r="110" spans="3:43" ht="15.75" thickBot="1">
      <c r="C110" s="48" t="str">
        <f>'Household values'!D68</f>
        <v>Municipality 15</v>
      </c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</row>
    <row r="111" spans="3:43" ht="15.75" thickBot="1">
      <c r="C111" s="80" t="s">
        <v>198</v>
      </c>
      <c r="D111" s="81" t="e">
        <f>SUM(D96:D105)</f>
        <v>#N/A</v>
      </c>
      <c r="E111" s="81" t="e">
        <f t="shared" ref="E111:AG111" si="15">SUM(E96:E105)</f>
        <v>#N/A</v>
      </c>
      <c r="F111" s="81" t="e">
        <f t="shared" si="15"/>
        <v>#N/A</v>
      </c>
      <c r="G111" s="81" t="e">
        <f t="shared" si="15"/>
        <v>#N/A</v>
      </c>
      <c r="H111" s="81" t="e">
        <f t="shared" si="15"/>
        <v>#N/A</v>
      </c>
      <c r="I111" s="81" t="e">
        <f>SUM(I96:I105)</f>
        <v>#N/A</v>
      </c>
      <c r="J111" s="81" t="e">
        <f t="shared" si="15"/>
        <v>#N/A</v>
      </c>
      <c r="K111" s="81" t="e">
        <f t="shared" si="15"/>
        <v>#N/A</v>
      </c>
      <c r="L111" s="81" t="e">
        <f t="shared" si="15"/>
        <v>#N/A</v>
      </c>
      <c r="M111" s="81" t="e">
        <f t="shared" si="15"/>
        <v>#N/A</v>
      </c>
      <c r="N111" s="81" t="e">
        <f t="shared" si="15"/>
        <v>#N/A</v>
      </c>
      <c r="O111" s="81" t="e">
        <f t="shared" si="15"/>
        <v>#N/A</v>
      </c>
      <c r="P111" s="81" t="e">
        <f t="shared" si="15"/>
        <v>#N/A</v>
      </c>
      <c r="Q111" s="81" t="e">
        <f t="shared" si="15"/>
        <v>#N/A</v>
      </c>
      <c r="R111" s="81" t="e">
        <f t="shared" si="15"/>
        <v>#N/A</v>
      </c>
      <c r="S111" s="81" t="e">
        <f t="shared" si="15"/>
        <v>#N/A</v>
      </c>
      <c r="T111" s="81" t="e">
        <f t="shared" si="15"/>
        <v>#N/A</v>
      </c>
      <c r="U111" s="81" t="e">
        <f t="shared" si="15"/>
        <v>#N/A</v>
      </c>
      <c r="V111" s="81" t="e">
        <f t="shared" si="15"/>
        <v>#N/A</v>
      </c>
      <c r="W111" s="81" t="e">
        <f t="shared" si="15"/>
        <v>#N/A</v>
      </c>
      <c r="X111" s="81" t="e">
        <f t="shared" si="15"/>
        <v>#N/A</v>
      </c>
      <c r="Y111" s="81" t="e">
        <f t="shared" si="15"/>
        <v>#N/A</v>
      </c>
      <c r="Z111" s="81" t="e">
        <f t="shared" si="15"/>
        <v>#N/A</v>
      </c>
      <c r="AA111" s="81" t="e">
        <f t="shared" si="15"/>
        <v>#N/A</v>
      </c>
      <c r="AB111" s="81" t="e">
        <f t="shared" si="15"/>
        <v>#N/A</v>
      </c>
      <c r="AC111" s="81" t="e">
        <f t="shared" si="15"/>
        <v>#N/A</v>
      </c>
      <c r="AD111" s="81" t="e">
        <f t="shared" si="15"/>
        <v>#N/A</v>
      </c>
      <c r="AE111" s="81" t="e">
        <f t="shared" si="15"/>
        <v>#N/A</v>
      </c>
      <c r="AF111" s="81" t="e">
        <f t="shared" si="15"/>
        <v>#N/A</v>
      </c>
      <c r="AG111" s="81" t="e">
        <f t="shared" si="15"/>
        <v>#N/A</v>
      </c>
      <c r="AH111" s="82"/>
      <c r="AI111" s="82"/>
      <c r="AJ111" s="82"/>
      <c r="AK111" s="82"/>
      <c r="AL111" s="82"/>
      <c r="AM111" s="82"/>
      <c r="AN111" s="82"/>
      <c r="AO111" s="82"/>
      <c r="AP111" s="82"/>
      <c r="AQ111" s="82"/>
    </row>
    <row r="112" spans="3:43" ht="15.75" thickTop="1"/>
  </sheetData>
  <pageMargins left="0.7" right="0.7" top="0.75" bottom="0.75" header="0.3" footer="0.3"/>
  <pageSetup orientation="portrait" horizontalDpi="90" verticalDpi="9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DAAD3-8860-4B64-8717-ECC068F447E3}">
  <dimension ref="A1:AT30"/>
  <sheetViews>
    <sheetView workbookViewId="0">
      <selection activeCell="A13" sqref="A13"/>
    </sheetView>
  </sheetViews>
  <sheetFormatPr defaultRowHeight="15"/>
  <cols>
    <col min="1" max="1" width="74.5703125" bestFit="1" customWidth="1"/>
    <col min="2" max="2" width="12.28515625" bestFit="1" customWidth="1"/>
    <col min="9" max="9" width="13.5703125" bestFit="1" customWidth="1"/>
  </cols>
  <sheetData>
    <row r="1" spans="1:46">
      <c r="C1" t="s">
        <v>199</v>
      </c>
      <c r="D1" t="s">
        <v>200</v>
      </c>
    </row>
    <row r="2" spans="1:46">
      <c r="B2" t="s">
        <v>201</v>
      </c>
      <c r="C2" s="15">
        <v>3.6600000000000001E-2</v>
      </c>
      <c r="D2" s="15">
        <v>8.3500000000000005E-2</v>
      </c>
    </row>
    <row r="4" spans="1:46">
      <c r="A4" s="62" t="s">
        <v>202</v>
      </c>
      <c r="B4">
        <v>1</v>
      </c>
      <c r="C4" s="38">
        <f>B4*(1-$C$2)</f>
        <v>0.96340000000000003</v>
      </c>
      <c r="D4" s="38">
        <f t="shared" ref="D4:AE4" si="0">C4*(1-$C$2)</f>
        <v>0.92813956000000009</v>
      </c>
      <c r="E4" s="38">
        <f t="shared" si="0"/>
        <v>0.89416965210400012</v>
      </c>
      <c r="F4" s="38">
        <f t="shared" si="0"/>
        <v>0.8614430428369938</v>
      </c>
      <c r="G4" s="38">
        <f t="shared" si="0"/>
        <v>0.82991422746915988</v>
      </c>
      <c r="H4" s="38">
        <f t="shared" si="0"/>
        <v>0.79953936674378867</v>
      </c>
      <c r="I4" s="38">
        <f t="shared" si="0"/>
        <v>0.77027622592096601</v>
      </c>
      <c r="J4" s="38">
        <f t="shared" si="0"/>
        <v>0.74208411605225866</v>
      </c>
      <c r="K4" s="38">
        <f t="shared" si="0"/>
        <v>0.71492383740474597</v>
      </c>
      <c r="L4" s="38">
        <f t="shared" si="0"/>
        <v>0.68875762495573234</v>
      </c>
      <c r="M4" s="38">
        <f t="shared" si="0"/>
        <v>0.66354909588235256</v>
      </c>
      <c r="N4" s="38">
        <f t="shared" si="0"/>
        <v>0.6392631989730585</v>
      </c>
      <c r="O4" s="38">
        <f t="shared" si="0"/>
        <v>0.61586616589064458</v>
      </c>
      <c r="P4" s="38">
        <f t="shared" si="0"/>
        <v>0.59332546421904697</v>
      </c>
      <c r="Q4" s="38">
        <f t="shared" si="0"/>
        <v>0.57160975222862986</v>
      </c>
      <c r="R4" s="38">
        <f t="shared" si="0"/>
        <v>0.55068883529706203</v>
      </c>
      <c r="S4" s="38">
        <f t="shared" si="0"/>
        <v>0.53053362392518955</v>
      </c>
      <c r="T4" s="38">
        <f t="shared" si="0"/>
        <v>0.51111609328952767</v>
      </c>
      <c r="U4" s="38">
        <f t="shared" si="0"/>
        <v>0.492409244275131</v>
      </c>
      <c r="V4" s="38">
        <f t="shared" si="0"/>
        <v>0.47438706593466123</v>
      </c>
      <c r="W4" s="38">
        <f t="shared" si="0"/>
        <v>0.45702449932145267</v>
      </c>
      <c r="X4" s="38">
        <f t="shared" si="0"/>
        <v>0.44029740264628753</v>
      </c>
      <c r="Y4" s="38">
        <f t="shared" si="0"/>
        <v>0.42418251770943344</v>
      </c>
      <c r="Z4" s="38">
        <f t="shared" si="0"/>
        <v>0.40865743756126821</v>
      </c>
      <c r="AA4" s="38">
        <f t="shared" si="0"/>
        <v>0.39370057534652581</v>
      </c>
      <c r="AB4" s="38">
        <f t="shared" si="0"/>
        <v>0.37929113428884298</v>
      </c>
      <c r="AC4" s="38">
        <f t="shared" si="0"/>
        <v>0.36540907877387135</v>
      </c>
      <c r="AD4" s="38">
        <f t="shared" si="0"/>
        <v>0.35203510649074765</v>
      </c>
      <c r="AE4" s="38">
        <f t="shared" si="0"/>
        <v>0.33915062159318632</v>
      </c>
    </row>
    <row r="5" spans="1:46">
      <c r="A5" s="62" t="s">
        <v>203</v>
      </c>
      <c r="B5">
        <v>1</v>
      </c>
      <c r="C5" s="38">
        <f>B5*(1-$D$2)</f>
        <v>0.91649999999999998</v>
      </c>
      <c r="D5" s="38">
        <f t="shared" ref="D5:AE5" si="1">C5*(1-$D$2)</f>
        <v>0.83997224999999998</v>
      </c>
      <c r="E5" s="38">
        <f t="shared" si="1"/>
        <v>0.76983456712499998</v>
      </c>
      <c r="F5" s="38">
        <f t="shared" si="1"/>
        <v>0.70555338077006247</v>
      </c>
      <c r="G5" s="38">
        <f t="shared" si="1"/>
        <v>0.64663967347576223</v>
      </c>
      <c r="H5" s="38">
        <f t="shared" si="1"/>
        <v>0.59264526074053603</v>
      </c>
      <c r="I5" s="38">
        <f t="shared" si="1"/>
        <v>0.54315938146870124</v>
      </c>
      <c r="J5" s="38">
        <f t="shared" si="1"/>
        <v>0.49780557311606466</v>
      </c>
      <c r="K5" s="38">
        <f t="shared" si="1"/>
        <v>0.45623880776087328</v>
      </c>
      <c r="L5" s="38">
        <f t="shared" si="1"/>
        <v>0.41814286731284034</v>
      </c>
      <c r="M5" s="38">
        <f t="shared" si="1"/>
        <v>0.38322793789221815</v>
      </c>
      <c r="N5" s="38">
        <f t="shared" si="1"/>
        <v>0.35122840507821795</v>
      </c>
      <c r="O5" s="38">
        <f t="shared" si="1"/>
        <v>0.32190083325418672</v>
      </c>
      <c r="P5" s="38">
        <f t="shared" si="1"/>
        <v>0.29502211367746212</v>
      </c>
      <c r="Q5" s="38">
        <f t="shared" si="1"/>
        <v>0.27038776718539403</v>
      </c>
      <c r="R5" s="38">
        <f t="shared" si="1"/>
        <v>0.24781038862541363</v>
      </c>
      <c r="S5" s="38">
        <f t="shared" si="1"/>
        <v>0.22711822117519159</v>
      </c>
      <c r="T5" s="38">
        <f t="shared" si="1"/>
        <v>0.20815384970706308</v>
      </c>
      <c r="U5" s="38">
        <f t="shared" si="1"/>
        <v>0.1907730032565233</v>
      </c>
      <c r="V5" s="38">
        <f t="shared" si="1"/>
        <v>0.17484345748460359</v>
      </c>
      <c r="W5" s="38">
        <f t="shared" si="1"/>
        <v>0.1602440287846392</v>
      </c>
      <c r="X5" s="38">
        <f t="shared" si="1"/>
        <v>0.14686365238112181</v>
      </c>
      <c r="Y5" s="38">
        <f t="shared" si="1"/>
        <v>0.13460053740729813</v>
      </c>
      <c r="Z5" s="38">
        <f t="shared" si="1"/>
        <v>0.12336139253378874</v>
      </c>
      <c r="AA5" s="38">
        <f t="shared" si="1"/>
        <v>0.11306071625721738</v>
      </c>
      <c r="AB5" s="38">
        <f t="shared" si="1"/>
        <v>0.10362014644973973</v>
      </c>
      <c r="AC5" s="38">
        <f t="shared" si="1"/>
        <v>9.4967864221186457E-2</v>
      </c>
      <c r="AD5" s="38">
        <f t="shared" si="1"/>
        <v>8.7038047558717385E-2</v>
      </c>
      <c r="AE5" s="38">
        <f t="shared" si="1"/>
        <v>7.9770370587564476E-2</v>
      </c>
    </row>
    <row r="6" spans="1:46">
      <c r="A6" s="83" t="s">
        <v>204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</row>
    <row r="7" spans="1:46">
      <c r="B7" s="24" t="s">
        <v>87</v>
      </c>
      <c r="C7" s="24" t="s">
        <v>88</v>
      </c>
      <c r="D7" s="24" t="s">
        <v>89</v>
      </c>
      <c r="E7" s="24" t="s">
        <v>90</v>
      </c>
      <c r="F7" s="24" t="s">
        <v>91</v>
      </c>
      <c r="G7" s="24" t="s">
        <v>92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4" t="s">
        <v>99</v>
      </c>
      <c r="O7" s="24" t="s">
        <v>100</v>
      </c>
      <c r="P7" s="24" t="s">
        <v>101</v>
      </c>
      <c r="Q7" s="24" t="s">
        <v>102</v>
      </c>
      <c r="R7" s="24" t="s">
        <v>103</v>
      </c>
      <c r="S7" s="24" t="s">
        <v>104</v>
      </c>
      <c r="T7" s="24" t="s">
        <v>105</v>
      </c>
      <c r="U7" s="24" t="s">
        <v>106</v>
      </c>
      <c r="V7" s="24" t="s">
        <v>107</v>
      </c>
      <c r="W7" s="24" t="s">
        <v>108</v>
      </c>
      <c r="X7" s="24" t="s">
        <v>109</v>
      </c>
      <c r="Y7" s="24" t="s">
        <v>110</v>
      </c>
      <c r="Z7" s="24" t="s">
        <v>111</v>
      </c>
      <c r="AA7" s="24" t="s">
        <v>112</v>
      </c>
      <c r="AB7" s="24" t="s">
        <v>113</v>
      </c>
      <c r="AC7" s="24" t="s">
        <v>114</v>
      </c>
      <c r="AD7" s="24" t="s">
        <v>115</v>
      </c>
      <c r="AE7" s="24" t="s">
        <v>116</v>
      </c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6">
      <c r="A8" t="s">
        <v>156</v>
      </c>
      <c r="B8" s="8">
        <v>0</v>
      </c>
      <c r="C8" s="8">
        <v>0</v>
      </c>
      <c r="D8" s="8">
        <v>0</v>
      </c>
      <c r="E8" s="8">
        <v>0</v>
      </c>
      <c r="F8" s="8">
        <v>-115.18459285001722</v>
      </c>
      <c r="G8" s="8">
        <v>-163.01859739639281</v>
      </c>
      <c r="H8" s="8">
        <v>-129.77912894183669</v>
      </c>
      <c r="I8" s="8">
        <v>-166.80495237155054</v>
      </c>
      <c r="J8" s="8">
        <v>-156.17010425454828</v>
      </c>
      <c r="K8" s="8">
        <v>-144.6341528291957</v>
      </c>
      <c r="L8" s="8">
        <v>-132.11060792906534</v>
      </c>
      <c r="M8" s="8">
        <v>-118.50366305152275</v>
      </c>
      <c r="N8" s="8">
        <v>-103.70710426156847</v>
      </c>
      <c r="O8" s="8">
        <v>-87.60308467079517</v>
      </c>
      <c r="P8" s="8">
        <v>221.37517890542404</v>
      </c>
      <c r="Q8" s="8">
        <v>197.76843072929478</v>
      </c>
      <c r="R8" s="8">
        <v>198.55543900589112</v>
      </c>
      <c r="S8" s="8">
        <v>224.37325112779763</v>
      </c>
      <c r="T8" s="8">
        <v>236.49189729703602</v>
      </c>
      <c r="U8" s="8">
        <v>249.80016932541162</v>
      </c>
      <c r="V8" s="8">
        <v>263.90693767548976</v>
      </c>
      <c r="W8" s="8">
        <v>278.86011212657229</v>
      </c>
      <c r="X8" s="8">
        <v>-81.016738609937903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</row>
    <row r="9" spans="1:46">
      <c r="A9" t="s">
        <v>56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-138.52941970715801</v>
      </c>
      <c r="H9" s="8">
        <v>-176.45326567198981</v>
      </c>
      <c r="I9" s="8">
        <v>-156.08361512244915</v>
      </c>
      <c r="J9" s="8">
        <v>-132.54354790169134</v>
      </c>
      <c r="K9" s="8">
        <v>59.531645070714774</v>
      </c>
      <c r="L9" s="8">
        <v>108.80690755186929</v>
      </c>
      <c r="M9" s="8">
        <v>140.6546620873433</v>
      </c>
      <c r="N9" s="8">
        <v>86.585114955691239</v>
      </c>
      <c r="O9" s="8">
        <v>126.55514127015527</v>
      </c>
      <c r="P9" s="8">
        <v>169.8894088186201</v>
      </c>
      <c r="Q9" s="8">
        <v>724.93031986747883</v>
      </c>
      <c r="R9" s="8">
        <v>753.62698163524487</v>
      </c>
      <c r="S9" s="8">
        <v>799.48281275079762</v>
      </c>
      <c r="T9" s="8">
        <v>910.24763860296866</v>
      </c>
      <c r="U9" s="8">
        <v>961.55362114367904</v>
      </c>
      <c r="V9" s="8">
        <v>1017.9430411397487</v>
      </c>
      <c r="W9" s="8">
        <v>1077.7158263355827</v>
      </c>
      <c r="X9" s="8">
        <v>1141.0749786431666</v>
      </c>
      <c r="Y9" s="8">
        <v>1208.2356800892053</v>
      </c>
      <c r="Z9" s="8">
        <v>-408.11553742135737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</row>
    <row r="10" spans="1:46">
      <c r="A10" t="s">
        <v>57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-140.82186873304477</v>
      </c>
      <c r="H10" s="8">
        <v>-199.30366230353457</v>
      </c>
      <c r="I10" s="8">
        <v>-158.66655910792713</v>
      </c>
      <c r="J10" s="8">
        <v>250.67671179338174</v>
      </c>
      <c r="K10" s="8">
        <v>299.38679534464865</v>
      </c>
      <c r="L10" s="8">
        <v>227.49850645749345</v>
      </c>
      <c r="M10" s="8">
        <v>258.87137297809215</v>
      </c>
      <c r="N10" s="8">
        <v>300.68068409156245</v>
      </c>
      <c r="O10" s="8">
        <v>345.87163556137773</v>
      </c>
      <c r="P10" s="8">
        <v>394.76012794677922</v>
      </c>
      <c r="Q10" s="8">
        <v>796.96659641421888</v>
      </c>
      <c r="R10" s="8">
        <v>833.31120275244882</v>
      </c>
      <c r="S10" s="8">
        <v>883.93902030181232</v>
      </c>
      <c r="T10" s="8">
        <v>993.8652316321959</v>
      </c>
      <c r="U10" s="8">
        <v>1050.5287162081911</v>
      </c>
      <c r="V10" s="8">
        <v>1112.4830482659702</v>
      </c>
      <c r="W10" s="8">
        <v>1178.1546402472163</v>
      </c>
      <c r="X10" s="8">
        <v>1247.7665277473375</v>
      </c>
      <c r="Y10" s="8">
        <v>-427.57718801822955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</row>
    <row r="11" spans="1:46">
      <c r="A11" t="s">
        <v>58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-98.902800831115144</v>
      </c>
      <c r="H11" s="8">
        <v>-139.97606050155218</v>
      </c>
      <c r="I11" s="8">
        <v>-111.43558337347446</v>
      </c>
      <c r="J11" s="8">
        <v>38.915528828389</v>
      </c>
      <c r="K11" s="8">
        <v>62.931032482557399</v>
      </c>
      <c r="L11" s="8">
        <v>74.436128854496204</v>
      </c>
      <c r="M11" s="8">
        <v>55.498016493715426</v>
      </c>
      <c r="N11" s="8">
        <v>75.268397007593506</v>
      </c>
      <c r="O11" s="8">
        <v>96.662624428327291</v>
      </c>
      <c r="P11" s="8">
        <v>119.83241260640659</v>
      </c>
      <c r="Q11" s="8">
        <v>387.21145943142164</v>
      </c>
      <c r="R11" s="8">
        <v>403.17900962253748</v>
      </c>
      <c r="S11" s="8">
        <v>427.62685186063175</v>
      </c>
      <c r="T11" s="8">
        <v>485.9895166526303</v>
      </c>
      <c r="U11" s="8">
        <v>513.34550387941022</v>
      </c>
      <c r="V11" s="8">
        <v>543.38955491160959</v>
      </c>
      <c r="W11" s="8">
        <v>575.23624900574077</v>
      </c>
      <c r="X11" s="8">
        <v>608.99374474551985</v>
      </c>
      <c r="Y11" s="8">
        <v>-203.44519892661876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</row>
    <row r="12" spans="1:46">
      <c r="A12" t="s">
        <v>59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-215.59937267268492</v>
      </c>
      <c r="H12" s="8">
        <v>-274.62190677870785</v>
      </c>
      <c r="I12" s="8">
        <v>-242.91973196756271</v>
      </c>
      <c r="J12" s="8">
        <v>-206.28329953178923</v>
      </c>
      <c r="K12" s="8">
        <v>376.12628761269167</v>
      </c>
      <c r="L12" s="8">
        <v>477.78885799410733</v>
      </c>
      <c r="M12" s="8">
        <v>409.26629215339392</v>
      </c>
      <c r="N12" s="8">
        <v>404.28544196528594</v>
      </c>
      <c r="O12" s="8">
        <v>490.78856430385883</v>
      </c>
      <c r="P12" s="8">
        <v>584.69665316950227</v>
      </c>
      <c r="Q12" s="8">
        <v>1490.3660198492389</v>
      </c>
      <c r="R12" s="8">
        <v>1554.0448559001518</v>
      </c>
      <c r="S12" s="8">
        <v>1648.9686984036707</v>
      </c>
      <c r="T12" s="8">
        <v>1871.9086030854492</v>
      </c>
      <c r="U12" s="8">
        <v>1978.0825153233857</v>
      </c>
      <c r="V12" s="8">
        <v>2094.7383097311358</v>
      </c>
      <c r="W12" s="8">
        <v>2218.3934518033502</v>
      </c>
      <c r="X12" s="8">
        <v>2349.4679023998979</v>
      </c>
      <c r="Y12" s="8">
        <v>2488.4068200322376</v>
      </c>
      <c r="Z12" s="8">
        <v>-855.42497206227802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</row>
    <row r="13" spans="1:46">
      <c r="A13" t="s">
        <v>239</v>
      </c>
      <c r="B13" s="8">
        <v>0</v>
      </c>
      <c r="C13" s="8">
        <v>0</v>
      </c>
      <c r="D13" s="8">
        <v>-210.03680110664061</v>
      </c>
      <c r="E13" s="8">
        <v>-267.53207253753271</v>
      </c>
      <c r="F13" s="8">
        <v>-236.64439530438381</v>
      </c>
      <c r="G13" s="8">
        <v>-200.95102886444283</v>
      </c>
      <c r="H13" s="8">
        <v>-167.90350348394344</v>
      </c>
      <c r="I13" s="8">
        <v>-114.97138337717095</v>
      </c>
      <c r="J13" s="8">
        <v>-57.440821443469048</v>
      </c>
      <c r="K13" s="8">
        <v>-1.7358823641583285</v>
      </c>
      <c r="L13" s="8">
        <v>-72.665647909585971</v>
      </c>
      <c r="M13" s="8">
        <v>-30.338197881593771</v>
      </c>
      <c r="N13" s="8">
        <v>793.61839126166603</v>
      </c>
      <c r="O13" s="8">
        <v>819.50028939421713</v>
      </c>
      <c r="P13" s="8">
        <v>868.77616821871561</v>
      </c>
      <c r="Q13" s="8">
        <v>987.66662991363125</v>
      </c>
      <c r="R13" s="8">
        <v>1042.7996210972863</v>
      </c>
      <c r="S13" s="8">
        <v>1103.3908434798479</v>
      </c>
      <c r="T13" s="8">
        <v>1167.6175392053626</v>
      </c>
      <c r="U13" s="8">
        <v>1235.6978366744083</v>
      </c>
      <c r="V13" s="8">
        <v>1307.8629519915969</v>
      </c>
      <c r="W13" s="8">
        <v>1384.3579742278166</v>
      </c>
      <c r="X13" s="8">
        <v>1432.4967830769417</v>
      </c>
      <c r="Y13" s="8">
        <v>1518.4465900615578</v>
      </c>
      <c r="Z13" s="8">
        <v>1609.5533854652517</v>
      </c>
      <c r="AA13" s="8">
        <v>1706.1265885931668</v>
      </c>
      <c r="AB13" s="8">
        <v>-618.09294893084098</v>
      </c>
      <c r="AC13" s="8">
        <v>0</v>
      </c>
      <c r="AD13" s="8">
        <v>0</v>
      </c>
      <c r="AE13" s="8">
        <v>0</v>
      </c>
    </row>
    <row r="14" spans="1:46">
      <c r="A14" t="s">
        <v>157</v>
      </c>
      <c r="B14" s="8">
        <v>0</v>
      </c>
      <c r="C14" s="8">
        <v>0</v>
      </c>
      <c r="D14" s="8">
        <v>-102.23357873263876</v>
      </c>
      <c r="E14" s="8">
        <v>-144.68766667537602</v>
      </c>
      <c r="F14" s="8">
        <v>-115.18459285001722</v>
      </c>
      <c r="G14" s="8">
        <v>67.23837211622984</v>
      </c>
      <c r="H14" s="8">
        <v>94.26432517340524</v>
      </c>
      <c r="I14" s="8">
        <v>93.432663320157047</v>
      </c>
      <c r="J14" s="8">
        <v>82.595725373013181</v>
      </c>
      <c r="K14" s="8">
        <v>105.20282808462657</v>
      </c>
      <c r="L14" s="8">
        <v>129.66792437353092</v>
      </c>
      <c r="M14" s="8">
        <v>156.16435469675582</v>
      </c>
      <c r="N14" s="8">
        <v>434.13236059729553</v>
      </c>
      <c r="O14" s="8">
        <v>452.60436162641821</v>
      </c>
      <c r="P14" s="8">
        <v>480.11884245061668</v>
      </c>
      <c r="Q14" s="8">
        <v>545.78379379885132</v>
      </c>
      <c r="R14" s="8">
        <v>576.57127031262075</v>
      </c>
      <c r="S14" s="8">
        <v>610.38339792074089</v>
      </c>
      <c r="T14" s="8">
        <v>646.22425318534818</v>
      </c>
      <c r="U14" s="8">
        <v>684.21555976583159</v>
      </c>
      <c r="V14" s="8">
        <v>-230.11816999010432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</row>
    <row r="15" spans="1:46">
      <c r="A15" t="s">
        <v>63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-93.226260386062222</v>
      </c>
      <c r="H15" s="8">
        <v>-42.4099653506359</v>
      </c>
      <c r="I15" s="8">
        <v>-10.010842228398197</v>
      </c>
      <c r="J15" s="8">
        <v>-3.908663687171952</v>
      </c>
      <c r="K15" s="8">
        <v>2.6971383643490228</v>
      </c>
      <c r="L15" s="8">
        <v>8.0590492755307999</v>
      </c>
      <c r="M15" s="8">
        <v>3.2230673897575954</v>
      </c>
      <c r="N15" s="8">
        <v>8.3661862837150274</v>
      </c>
      <c r="O15" s="8">
        <v>13.922845606288654</v>
      </c>
      <c r="P15" s="8">
        <v>19.931184671495032</v>
      </c>
      <c r="Q15" s="8">
        <v>109.23138031504141</v>
      </c>
      <c r="R15" s="8">
        <v>113.34987379887978</v>
      </c>
      <c r="S15" s="8">
        <v>120.13091558705219</v>
      </c>
      <c r="T15" s="8">
        <v>136.05745094692128</v>
      </c>
      <c r="U15" s="8">
        <v>143.64603338966029</v>
      </c>
      <c r="V15" s="8">
        <v>151.97182114544864</v>
      </c>
      <c r="W15" s="8">
        <v>160.79715616658439</v>
      </c>
      <c r="X15" s="8">
        <v>-51.601474270777736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</row>
    <row r="16" spans="1:46">
      <c r="A16" t="s">
        <v>158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-56.492493852209805</v>
      </c>
      <c r="H16" s="8">
        <v>-79.95321336595282</v>
      </c>
      <c r="I16" s="8">
        <v>-63.651119642133494</v>
      </c>
      <c r="J16" s="8">
        <v>-14.711399121118596</v>
      </c>
      <c r="K16" s="8">
        <v>-4.3753998650650416</v>
      </c>
      <c r="L16" s="8">
        <v>6.8367506760812589</v>
      </c>
      <c r="M16" s="8">
        <v>12.810881827662463</v>
      </c>
      <c r="N16" s="8">
        <v>5.9767551274568618</v>
      </c>
      <c r="O16" s="8">
        <v>14.818300496614164</v>
      </c>
      <c r="P16" s="8">
        <v>24.403679628712688</v>
      </c>
      <c r="Q16" s="8">
        <v>157.15822417543299</v>
      </c>
      <c r="R16" s="8">
        <v>163.60613838792196</v>
      </c>
      <c r="S16" s="8">
        <v>173.87048307447319</v>
      </c>
      <c r="T16" s="8">
        <v>198.68646493332929</v>
      </c>
      <c r="U16" s="8">
        <v>210.12839430942512</v>
      </c>
      <c r="V16" s="8">
        <v>236.09502468143796</v>
      </c>
      <c r="W16" s="8">
        <v>249.3740140827158</v>
      </c>
      <c r="X16" s="8">
        <v>263.90424578166062</v>
      </c>
      <c r="Y16" s="8">
        <v>-85.793675645946124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</row>
    <row r="17" spans="1:31">
      <c r="A17" t="s">
        <v>64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-90.671578925881306</v>
      </c>
      <c r="I17" s="8">
        <v>-128.32721705628211</v>
      </c>
      <c r="J17" s="8">
        <v>-102.16245688837029</v>
      </c>
      <c r="K17" s="8">
        <v>-3.530937560601366</v>
      </c>
      <c r="L17" s="8">
        <v>15.274233455023904</v>
      </c>
      <c r="M17" s="8">
        <v>35.673157313357514</v>
      </c>
      <c r="N17" s="8">
        <v>22.828153510054747</v>
      </c>
      <c r="O17" s="8">
        <v>29.180448268867039</v>
      </c>
      <c r="P17" s="8">
        <v>45.360181446454035</v>
      </c>
      <c r="Q17" s="8">
        <v>62.880421507631027</v>
      </c>
      <c r="R17" s="8">
        <v>305.70535775502998</v>
      </c>
      <c r="S17" s="8">
        <v>317.48508875095223</v>
      </c>
      <c r="T17" s="8">
        <v>336.63322086382061</v>
      </c>
      <c r="U17" s="8">
        <v>382.30320983245804</v>
      </c>
      <c r="V17" s="8">
        <v>403.72921402962265</v>
      </c>
      <c r="W17" s="8">
        <v>427.25925856519967</v>
      </c>
      <c r="X17" s="8">
        <v>452.20110577291126</v>
      </c>
      <c r="Y17" s="8">
        <v>478.63946381308574</v>
      </c>
      <c r="Z17" s="8">
        <v>-157.65037960897658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</row>
    <row r="18" spans="1:31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>
      <c r="A19" s="2" t="s">
        <v>205</v>
      </c>
      <c r="B19" s="84">
        <f>SUM(B8:B17)</f>
        <v>0</v>
      </c>
      <c r="C19" s="84">
        <f t="shared" ref="C19:AE19" si="2">SUM(C8:C17)</f>
        <v>0</v>
      </c>
      <c r="D19" s="84">
        <f t="shared" si="2"/>
        <v>-312.27037983927937</v>
      </c>
      <c r="E19" s="84">
        <f t="shared" si="2"/>
        <v>-412.21973921290873</v>
      </c>
      <c r="F19" s="84">
        <f t="shared" si="2"/>
        <v>-467.01358100441826</v>
      </c>
      <c r="G19" s="84">
        <f t="shared" si="2"/>
        <v>-1040.3034703268809</v>
      </c>
      <c r="H19" s="84">
        <f t="shared" si="2"/>
        <v>-1206.8079601506295</v>
      </c>
      <c r="I19" s="84">
        <f t="shared" si="2"/>
        <v>-1059.4383409267916</v>
      </c>
      <c r="J19" s="84">
        <f t="shared" si="2"/>
        <v>-301.03232683337478</v>
      </c>
      <c r="K19" s="84">
        <f t="shared" si="2"/>
        <v>751.59935434056774</v>
      </c>
      <c r="L19" s="84">
        <f t="shared" si="2"/>
        <v>843.59210279948195</v>
      </c>
      <c r="M19" s="84">
        <f t="shared" si="2"/>
        <v>923.31994400696169</v>
      </c>
      <c r="N19" s="84">
        <f t="shared" si="2"/>
        <v>2028.0343805387529</v>
      </c>
      <c r="O19" s="84">
        <f t="shared" si="2"/>
        <v>2302.3011262853292</v>
      </c>
      <c r="P19" s="84">
        <f t="shared" si="2"/>
        <v>2929.1438378627263</v>
      </c>
      <c r="Q19" s="84">
        <f t="shared" si="2"/>
        <v>5459.9632760022414</v>
      </c>
      <c r="R19" s="84">
        <f t="shared" si="2"/>
        <v>5944.7497502680126</v>
      </c>
      <c r="S19" s="84">
        <f t="shared" si="2"/>
        <v>6309.6513632577762</v>
      </c>
      <c r="T19" s="84">
        <f t="shared" si="2"/>
        <v>6983.7218164050628</v>
      </c>
      <c r="U19" s="84">
        <f t="shared" si="2"/>
        <v>7409.3015598518596</v>
      </c>
      <c r="V19" s="84">
        <f t="shared" si="2"/>
        <v>6902.0017335819557</v>
      </c>
      <c r="W19" s="84">
        <f t="shared" si="2"/>
        <v>7550.1486825607799</v>
      </c>
      <c r="X19" s="84">
        <f t="shared" si="2"/>
        <v>7363.2870752867202</v>
      </c>
      <c r="Y19" s="84">
        <f t="shared" si="2"/>
        <v>4976.9124914052927</v>
      </c>
      <c r="Z19" s="84">
        <f t="shared" si="2"/>
        <v>188.36249637263981</v>
      </c>
      <c r="AA19" s="84">
        <f t="shared" si="2"/>
        <v>1706.1265885931668</v>
      </c>
      <c r="AB19" s="84">
        <f t="shared" si="2"/>
        <v>-618.09294893084098</v>
      </c>
      <c r="AC19" s="84">
        <f t="shared" si="2"/>
        <v>0</v>
      </c>
      <c r="AD19" s="84">
        <f t="shared" si="2"/>
        <v>0</v>
      </c>
      <c r="AE19" s="84">
        <f t="shared" si="2"/>
        <v>0</v>
      </c>
    </row>
    <row r="20" spans="1:31">
      <c r="A20" s="2" t="s">
        <v>206</v>
      </c>
      <c r="B20" s="85" t="e">
        <f>'Drought type and outputs'!D$111/1000000</f>
        <v>#N/A</v>
      </c>
      <c r="C20" s="85" t="e">
        <f>'Drought type and outputs'!E$111/1000000</f>
        <v>#N/A</v>
      </c>
      <c r="D20" s="85" t="e">
        <f>'Drought type and outputs'!F$111/1000000</f>
        <v>#N/A</v>
      </c>
      <c r="E20" s="85" t="e">
        <f>'Drought type and outputs'!G$111/1000000</f>
        <v>#N/A</v>
      </c>
      <c r="F20" s="85" t="e">
        <f>'Drought type and outputs'!H$111/1000000</f>
        <v>#N/A</v>
      </c>
      <c r="G20" s="85" t="e">
        <f>'Drought type and outputs'!I$111/1000000</f>
        <v>#N/A</v>
      </c>
      <c r="H20" s="85" t="e">
        <f>'Drought type and outputs'!J$111/1000000</f>
        <v>#N/A</v>
      </c>
      <c r="I20" s="85" t="e">
        <f>'Drought type and outputs'!K$111/1000000</f>
        <v>#N/A</v>
      </c>
      <c r="J20" s="85" t="e">
        <f>'Drought type and outputs'!L$111/1000000</f>
        <v>#N/A</v>
      </c>
      <c r="K20" s="85" t="e">
        <f>'Drought type and outputs'!M$111/1000000</f>
        <v>#N/A</v>
      </c>
      <c r="L20" s="85" t="e">
        <f>'Drought type and outputs'!N$111/1000000</f>
        <v>#N/A</v>
      </c>
      <c r="M20" s="85" t="e">
        <f>'Drought type and outputs'!O$111/1000000</f>
        <v>#N/A</v>
      </c>
      <c r="N20" s="85" t="e">
        <f>'Drought type and outputs'!P$111/1000000</f>
        <v>#N/A</v>
      </c>
      <c r="O20" s="85" t="e">
        <f>'Drought type and outputs'!Q$111/1000000</f>
        <v>#N/A</v>
      </c>
      <c r="P20" s="85" t="e">
        <f>'Drought type and outputs'!R$111/1000000</f>
        <v>#N/A</v>
      </c>
      <c r="Q20" s="85" t="e">
        <f>'Drought type and outputs'!S$111/1000000</f>
        <v>#N/A</v>
      </c>
      <c r="R20" s="85" t="e">
        <f>'Drought type and outputs'!T$111/1000000</f>
        <v>#N/A</v>
      </c>
      <c r="S20" s="85" t="e">
        <f>'Drought type and outputs'!U$111/1000000</f>
        <v>#N/A</v>
      </c>
      <c r="T20" s="85" t="e">
        <f>'Drought type and outputs'!V$111/1000000</f>
        <v>#N/A</v>
      </c>
      <c r="U20" s="85" t="e">
        <f>'Drought type and outputs'!W$111/1000000</f>
        <v>#N/A</v>
      </c>
      <c r="V20" s="85" t="e">
        <f>'Drought type and outputs'!X$111/1000000</f>
        <v>#N/A</v>
      </c>
      <c r="W20" s="85" t="e">
        <f>'Drought type and outputs'!Y$111/1000000</f>
        <v>#N/A</v>
      </c>
      <c r="X20" s="85" t="e">
        <f>'Drought type and outputs'!Z$111/1000000</f>
        <v>#N/A</v>
      </c>
      <c r="Y20" s="85" t="e">
        <f>'Drought type and outputs'!AA$111/1000000</f>
        <v>#N/A</v>
      </c>
      <c r="Z20" s="85" t="e">
        <f>'Drought type and outputs'!AB$111/1000000</f>
        <v>#N/A</v>
      </c>
      <c r="AA20" s="85" t="e">
        <f>'Drought type and outputs'!AC$111/1000000</f>
        <v>#N/A</v>
      </c>
      <c r="AB20" s="85" t="e">
        <f>'Drought type and outputs'!AD$111/1000000</f>
        <v>#N/A</v>
      </c>
      <c r="AC20" s="85" t="e">
        <f>'Drought type and outputs'!AE$111/1000000</f>
        <v>#N/A</v>
      </c>
      <c r="AD20" s="85" t="e">
        <f>'Drought type and outputs'!AF$111/1000000</f>
        <v>#N/A</v>
      </c>
      <c r="AE20" s="85" t="e">
        <f>'Drought type and outputs'!AG$111/1000000</f>
        <v>#N/A</v>
      </c>
    </row>
    <row r="21" spans="1:31">
      <c r="A21" s="2" t="s">
        <v>207</v>
      </c>
      <c r="B21" s="84" t="e">
        <f t="shared" ref="B21:AE21" si="3">SUM(B19:B20)</f>
        <v>#N/A</v>
      </c>
      <c r="C21" s="84" t="e">
        <f t="shared" si="3"/>
        <v>#N/A</v>
      </c>
      <c r="D21" s="84" t="e">
        <f t="shared" si="3"/>
        <v>#N/A</v>
      </c>
      <c r="E21" s="84" t="e">
        <f t="shared" si="3"/>
        <v>#N/A</v>
      </c>
      <c r="F21" s="84" t="e">
        <f t="shared" si="3"/>
        <v>#N/A</v>
      </c>
      <c r="G21" s="84" t="e">
        <f t="shared" si="3"/>
        <v>#N/A</v>
      </c>
      <c r="H21" s="84" t="e">
        <f t="shared" si="3"/>
        <v>#N/A</v>
      </c>
      <c r="I21" s="84" t="e">
        <f t="shared" si="3"/>
        <v>#N/A</v>
      </c>
      <c r="J21" s="84" t="e">
        <f t="shared" si="3"/>
        <v>#N/A</v>
      </c>
      <c r="K21" s="84" t="e">
        <f t="shared" si="3"/>
        <v>#N/A</v>
      </c>
      <c r="L21" s="84" t="e">
        <f t="shared" si="3"/>
        <v>#N/A</v>
      </c>
      <c r="M21" s="84" t="e">
        <f t="shared" si="3"/>
        <v>#N/A</v>
      </c>
      <c r="N21" s="84" t="e">
        <f t="shared" si="3"/>
        <v>#N/A</v>
      </c>
      <c r="O21" s="84" t="e">
        <f t="shared" si="3"/>
        <v>#N/A</v>
      </c>
      <c r="P21" s="84" t="e">
        <f t="shared" si="3"/>
        <v>#N/A</v>
      </c>
      <c r="Q21" s="84" t="e">
        <f t="shared" si="3"/>
        <v>#N/A</v>
      </c>
      <c r="R21" s="84" t="e">
        <f t="shared" si="3"/>
        <v>#N/A</v>
      </c>
      <c r="S21" s="84" t="e">
        <f t="shared" si="3"/>
        <v>#N/A</v>
      </c>
      <c r="T21" s="84" t="e">
        <f t="shared" si="3"/>
        <v>#N/A</v>
      </c>
      <c r="U21" s="84" t="e">
        <f t="shared" si="3"/>
        <v>#N/A</v>
      </c>
      <c r="V21" s="84" t="e">
        <f t="shared" si="3"/>
        <v>#N/A</v>
      </c>
      <c r="W21" s="84" t="e">
        <f t="shared" si="3"/>
        <v>#N/A</v>
      </c>
      <c r="X21" s="84" t="e">
        <f t="shared" si="3"/>
        <v>#N/A</v>
      </c>
      <c r="Y21" s="84" t="e">
        <f t="shared" si="3"/>
        <v>#N/A</v>
      </c>
      <c r="Z21" s="84" t="e">
        <f t="shared" si="3"/>
        <v>#N/A</v>
      </c>
      <c r="AA21" s="84" t="e">
        <f t="shared" si="3"/>
        <v>#N/A</v>
      </c>
      <c r="AB21" s="84" t="e">
        <f t="shared" si="3"/>
        <v>#N/A</v>
      </c>
      <c r="AC21" s="84" t="e">
        <f t="shared" si="3"/>
        <v>#N/A</v>
      </c>
      <c r="AD21" s="84" t="e">
        <f t="shared" si="3"/>
        <v>#N/A</v>
      </c>
      <c r="AE21" s="84" t="e">
        <f t="shared" si="3"/>
        <v>#N/A</v>
      </c>
    </row>
    <row r="22" spans="1:31">
      <c r="A22" s="2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</row>
    <row r="23" spans="1:31" s="2" customFormat="1">
      <c r="A23" s="2" t="s">
        <v>208</v>
      </c>
      <c r="B23" s="84" t="e">
        <f>B21*B4</f>
        <v>#N/A</v>
      </c>
      <c r="C23" s="84" t="e">
        <f t="shared" ref="C23:AE23" si="4">C21*C4</f>
        <v>#N/A</v>
      </c>
      <c r="D23" s="84" t="e">
        <f t="shared" si="4"/>
        <v>#N/A</v>
      </c>
      <c r="E23" s="84" t="e">
        <f t="shared" si="4"/>
        <v>#N/A</v>
      </c>
      <c r="F23" s="84" t="e">
        <f t="shared" si="4"/>
        <v>#N/A</v>
      </c>
      <c r="G23" s="84" t="e">
        <f t="shared" si="4"/>
        <v>#N/A</v>
      </c>
      <c r="H23" s="84" t="e">
        <f t="shared" si="4"/>
        <v>#N/A</v>
      </c>
      <c r="I23" s="84" t="e">
        <f t="shared" si="4"/>
        <v>#N/A</v>
      </c>
      <c r="J23" s="84" t="e">
        <f t="shared" si="4"/>
        <v>#N/A</v>
      </c>
      <c r="K23" s="84" t="e">
        <f t="shared" si="4"/>
        <v>#N/A</v>
      </c>
      <c r="L23" s="84" t="e">
        <f t="shared" si="4"/>
        <v>#N/A</v>
      </c>
      <c r="M23" s="84" t="e">
        <f t="shared" si="4"/>
        <v>#N/A</v>
      </c>
      <c r="N23" s="84" t="e">
        <f t="shared" si="4"/>
        <v>#N/A</v>
      </c>
      <c r="O23" s="84" t="e">
        <f t="shared" si="4"/>
        <v>#N/A</v>
      </c>
      <c r="P23" s="84" t="e">
        <f t="shared" si="4"/>
        <v>#N/A</v>
      </c>
      <c r="Q23" s="84" t="e">
        <f t="shared" si="4"/>
        <v>#N/A</v>
      </c>
      <c r="R23" s="84" t="e">
        <f t="shared" si="4"/>
        <v>#N/A</v>
      </c>
      <c r="S23" s="84" t="e">
        <f t="shared" si="4"/>
        <v>#N/A</v>
      </c>
      <c r="T23" s="84" t="e">
        <f t="shared" si="4"/>
        <v>#N/A</v>
      </c>
      <c r="U23" s="84" t="e">
        <f t="shared" si="4"/>
        <v>#N/A</v>
      </c>
      <c r="V23" s="84" t="e">
        <f t="shared" si="4"/>
        <v>#N/A</v>
      </c>
      <c r="W23" s="84" t="e">
        <f t="shared" si="4"/>
        <v>#N/A</v>
      </c>
      <c r="X23" s="84" t="e">
        <f t="shared" si="4"/>
        <v>#N/A</v>
      </c>
      <c r="Y23" s="84" t="e">
        <f t="shared" si="4"/>
        <v>#N/A</v>
      </c>
      <c r="Z23" s="84" t="e">
        <f t="shared" si="4"/>
        <v>#N/A</v>
      </c>
      <c r="AA23" s="84" t="e">
        <f t="shared" si="4"/>
        <v>#N/A</v>
      </c>
      <c r="AB23" s="84" t="e">
        <f t="shared" si="4"/>
        <v>#N/A</v>
      </c>
      <c r="AC23" s="84" t="e">
        <f t="shared" si="4"/>
        <v>#N/A</v>
      </c>
      <c r="AD23" s="84" t="e">
        <f t="shared" si="4"/>
        <v>#N/A</v>
      </c>
      <c r="AE23" s="84" t="e">
        <f t="shared" si="4"/>
        <v>#N/A</v>
      </c>
    </row>
    <row r="24" spans="1:31" s="2" customFormat="1">
      <c r="A24" s="2" t="s">
        <v>209</v>
      </c>
      <c r="B24" s="84" t="e">
        <f>B21*B5</f>
        <v>#N/A</v>
      </c>
      <c r="C24" s="84" t="e">
        <f t="shared" ref="C24:AE24" si="5">C21*C5</f>
        <v>#N/A</v>
      </c>
      <c r="D24" s="84" t="e">
        <f t="shared" si="5"/>
        <v>#N/A</v>
      </c>
      <c r="E24" s="84" t="e">
        <f t="shared" si="5"/>
        <v>#N/A</v>
      </c>
      <c r="F24" s="84" t="e">
        <f t="shared" si="5"/>
        <v>#N/A</v>
      </c>
      <c r="G24" s="84" t="e">
        <f t="shared" si="5"/>
        <v>#N/A</v>
      </c>
      <c r="H24" s="84" t="e">
        <f t="shared" si="5"/>
        <v>#N/A</v>
      </c>
      <c r="I24" s="84" t="e">
        <f t="shared" si="5"/>
        <v>#N/A</v>
      </c>
      <c r="J24" s="84" t="e">
        <f t="shared" si="5"/>
        <v>#N/A</v>
      </c>
      <c r="K24" s="84" t="e">
        <f t="shared" si="5"/>
        <v>#N/A</v>
      </c>
      <c r="L24" s="84" t="e">
        <f t="shared" si="5"/>
        <v>#N/A</v>
      </c>
      <c r="M24" s="84" t="e">
        <f t="shared" si="5"/>
        <v>#N/A</v>
      </c>
      <c r="N24" s="84" t="e">
        <f t="shared" si="5"/>
        <v>#N/A</v>
      </c>
      <c r="O24" s="84" t="e">
        <f t="shared" si="5"/>
        <v>#N/A</v>
      </c>
      <c r="P24" s="84" t="e">
        <f t="shared" si="5"/>
        <v>#N/A</v>
      </c>
      <c r="Q24" s="84" t="e">
        <f t="shared" si="5"/>
        <v>#N/A</v>
      </c>
      <c r="R24" s="84" t="e">
        <f t="shared" si="5"/>
        <v>#N/A</v>
      </c>
      <c r="S24" s="84" t="e">
        <f t="shared" si="5"/>
        <v>#N/A</v>
      </c>
      <c r="T24" s="84" t="e">
        <f t="shared" si="5"/>
        <v>#N/A</v>
      </c>
      <c r="U24" s="84" t="e">
        <f t="shared" si="5"/>
        <v>#N/A</v>
      </c>
      <c r="V24" s="84" t="e">
        <f t="shared" si="5"/>
        <v>#N/A</v>
      </c>
      <c r="W24" s="84" t="e">
        <f t="shared" si="5"/>
        <v>#N/A</v>
      </c>
      <c r="X24" s="84" t="e">
        <f t="shared" si="5"/>
        <v>#N/A</v>
      </c>
      <c r="Y24" s="84" t="e">
        <f t="shared" si="5"/>
        <v>#N/A</v>
      </c>
      <c r="Z24" s="84" t="e">
        <f t="shared" si="5"/>
        <v>#N/A</v>
      </c>
      <c r="AA24" s="84" t="e">
        <f t="shared" si="5"/>
        <v>#N/A</v>
      </c>
      <c r="AB24" s="84" t="e">
        <f t="shared" si="5"/>
        <v>#N/A</v>
      </c>
      <c r="AC24" s="84" t="e">
        <f t="shared" si="5"/>
        <v>#N/A</v>
      </c>
      <c r="AD24" s="84" t="e">
        <f t="shared" si="5"/>
        <v>#N/A</v>
      </c>
      <c r="AE24" s="84" t="e">
        <f t="shared" si="5"/>
        <v>#N/A</v>
      </c>
    </row>
    <row r="25" spans="1:31">
      <c r="A25" s="2"/>
    </row>
    <row r="26" spans="1:31">
      <c r="A26" s="86" t="s">
        <v>210</v>
      </c>
      <c r="B26" s="87">
        <f>IRR(B19:AE19)</f>
        <v>0.25797643918877378</v>
      </c>
    </row>
    <row r="27" spans="1:31">
      <c r="A27" s="86" t="s">
        <v>211</v>
      </c>
      <c r="B27" s="87" t="e">
        <f>IRR(B21:AE21)</f>
        <v>#VALUE!</v>
      </c>
    </row>
    <row r="29" spans="1:31">
      <c r="A29" s="86" t="s">
        <v>212</v>
      </c>
      <c r="B29" s="88" t="e">
        <f>SUM(B23:AE23)</f>
        <v>#N/A</v>
      </c>
    </row>
    <row r="30" spans="1:31">
      <c r="A30" s="86" t="s">
        <v>213</v>
      </c>
      <c r="B30" s="88" t="e">
        <f>SUM(B24:AE24)</f>
        <v>#N/A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62A45-FD0F-4A96-8A4A-2F3E39E08D8A}">
  <dimension ref="B3:AK11"/>
  <sheetViews>
    <sheetView zoomScale="140" zoomScaleNormal="140" workbookViewId="0">
      <selection activeCell="G19" sqref="G19"/>
    </sheetView>
  </sheetViews>
  <sheetFormatPr defaultRowHeight="15"/>
  <cols>
    <col min="2" max="2" width="13.42578125" bestFit="1" customWidth="1"/>
    <col min="7" max="7" width="19.42578125" customWidth="1"/>
    <col min="8" max="12" width="9.140625" bestFit="1" customWidth="1"/>
    <col min="13" max="13" width="12.42578125" bestFit="1" customWidth="1"/>
    <col min="14" max="33" width="13.42578125" bestFit="1" customWidth="1"/>
    <col min="34" max="37" width="9.140625" bestFit="1" customWidth="1"/>
  </cols>
  <sheetData>
    <row r="3" spans="2:37">
      <c r="H3" s="22">
        <v>2021</v>
      </c>
      <c r="I3" s="22">
        <v>2022</v>
      </c>
      <c r="J3" s="22">
        <v>2023</v>
      </c>
      <c r="K3" s="22">
        <v>2024</v>
      </c>
      <c r="L3" s="22">
        <v>2025</v>
      </c>
      <c r="M3" s="22">
        <v>2026</v>
      </c>
      <c r="N3" s="22">
        <v>2027</v>
      </c>
      <c r="O3" s="22">
        <v>2028</v>
      </c>
      <c r="P3" s="22">
        <v>2029</v>
      </c>
      <c r="Q3" s="22">
        <v>2030</v>
      </c>
      <c r="R3" s="22">
        <v>2031</v>
      </c>
      <c r="S3" s="22">
        <v>2032</v>
      </c>
      <c r="T3" s="22">
        <v>2033</v>
      </c>
      <c r="U3" s="22">
        <v>2034</v>
      </c>
      <c r="V3" s="22">
        <v>2035</v>
      </c>
      <c r="W3" s="22">
        <v>2036</v>
      </c>
      <c r="X3" s="22">
        <v>2037</v>
      </c>
      <c r="Y3" s="22">
        <v>2038</v>
      </c>
      <c r="Z3" s="22">
        <v>2039</v>
      </c>
      <c r="AA3" s="22">
        <v>2040</v>
      </c>
      <c r="AB3" s="22">
        <v>2041</v>
      </c>
      <c r="AC3" s="22">
        <v>2042</v>
      </c>
      <c r="AD3" s="22">
        <v>2043</v>
      </c>
      <c r="AE3" s="22">
        <v>2044</v>
      </c>
      <c r="AF3" s="22">
        <v>2045</v>
      </c>
      <c r="AG3" s="22">
        <v>2046</v>
      </c>
      <c r="AH3" s="22">
        <v>2047</v>
      </c>
      <c r="AI3" s="22">
        <v>2048</v>
      </c>
      <c r="AJ3" s="22">
        <v>2049</v>
      </c>
      <c r="AK3" s="22">
        <v>2050</v>
      </c>
    </row>
    <row r="4" spans="2:37">
      <c r="H4" s="24" t="s">
        <v>87</v>
      </c>
      <c r="I4" s="24" t="s">
        <v>88</v>
      </c>
      <c r="J4" s="24" t="s">
        <v>89</v>
      </c>
      <c r="K4" s="24" t="s">
        <v>90</v>
      </c>
      <c r="L4" s="24" t="s">
        <v>91</v>
      </c>
      <c r="M4" s="24" t="s">
        <v>92</v>
      </c>
      <c r="N4" s="24" t="s">
        <v>93</v>
      </c>
      <c r="O4" s="24" t="s">
        <v>94</v>
      </c>
      <c r="P4" s="24" t="s">
        <v>95</v>
      </c>
      <c r="Q4" s="24" t="s">
        <v>96</v>
      </c>
      <c r="R4" s="24" t="s">
        <v>97</v>
      </c>
      <c r="S4" s="24" t="s">
        <v>98</v>
      </c>
      <c r="T4" s="24" t="s">
        <v>99</v>
      </c>
      <c r="U4" s="24" t="s">
        <v>100</v>
      </c>
      <c r="V4" s="24" t="s">
        <v>101</v>
      </c>
      <c r="W4" s="24" t="s">
        <v>102</v>
      </c>
      <c r="X4" s="24" t="s">
        <v>103</v>
      </c>
      <c r="Y4" s="24" t="s">
        <v>104</v>
      </c>
      <c r="Z4" s="24" t="s">
        <v>105</v>
      </c>
      <c r="AA4" s="24" t="s">
        <v>106</v>
      </c>
      <c r="AB4" s="24" t="s">
        <v>107</v>
      </c>
      <c r="AC4" s="24" t="s">
        <v>108</v>
      </c>
      <c r="AD4" s="24" t="s">
        <v>109</v>
      </c>
      <c r="AE4" s="24" t="s">
        <v>110</v>
      </c>
      <c r="AF4" s="24" t="s">
        <v>111</v>
      </c>
      <c r="AG4" s="24" t="s">
        <v>112</v>
      </c>
      <c r="AH4" s="24" t="s">
        <v>113</v>
      </c>
      <c r="AI4" s="24" t="s">
        <v>114</v>
      </c>
      <c r="AJ4" s="24" t="s">
        <v>115</v>
      </c>
      <c r="AK4" s="24" t="s">
        <v>116</v>
      </c>
    </row>
    <row r="5" spans="2:37">
      <c r="B5" t="s">
        <v>214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515.25860001402123</v>
      </c>
      <c r="N5" s="8">
        <v>1431.9117235560764</v>
      </c>
      <c r="O5" s="8">
        <v>1937.6267481338089</v>
      </c>
      <c r="P5" s="8">
        <v>3625.4817329650095</v>
      </c>
      <c r="Q5" s="8">
        <v>6943.5572630138231</v>
      </c>
      <c r="R5" s="8">
        <v>7360.1706987946554</v>
      </c>
      <c r="S5" s="8">
        <v>7801.780940722334</v>
      </c>
      <c r="T5" s="8">
        <v>8269.887797165673</v>
      </c>
      <c r="U5" s="8">
        <v>8766.0810649956147</v>
      </c>
      <c r="V5" s="8">
        <v>9292.0459288953516</v>
      </c>
      <c r="W5" s="8">
        <v>9849.5686846290737</v>
      </c>
      <c r="X5" s="8">
        <v>10440.542805706818</v>
      </c>
      <c r="Y5" s="8">
        <v>11066.975374049227</v>
      </c>
      <c r="Z5" s="8">
        <v>11730.993896492184</v>
      </c>
      <c r="AA5" s="8">
        <v>12434.853530281714</v>
      </c>
      <c r="AB5" s="8">
        <v>11946.097522669939</v>
      </c>
      <c r="AC5" s="8">
        <v>12662.863374030139</v>
      </c>
      <c r="AD5" s="8">
        <v>12416.559277319597</v>
      </c>
      <c r="AE5" s="8">
        <v>9395.1282568019578</v>
      </c>
      <c r="AF5" s="8">
        <v>2528.1955324122187</v>
      </c>
      <c r="AG5" s="8">
        <v>2679.8872643569516</v>
      </c>
      <c r="AH5" s="8">
        <v>0</v>
      </c>
      <c r="AI5" s="8">
        <v>0</v>
      </c>
      <c r="AJ5" s="8">
        <v>0</v>
      </c>
      <c r="AK5" s="8">
        <v>0</v>
      </c>
    </row>
    <row r="6" spans="2:37">
      <c r="B6" t="s">
        <v>215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-116.93548919626565</v>
      </c>
      <c r="N6" s="26">
        <v>-253.06788786891829</v>
      </c>
      <c r="O6" s="26">
        <v>-438.74446122487154</v>
      </c>
      <c r="P6" s="26">
        <v>-800.53788854341042</v>
      </c>
      <c r="Q6" s="26">
        <v>-1511.0524314693221</v>
      </c>
      <c r="R6" s="26">
        <v>-1601.7155773574814</v>
      </c>
      <c r="S6" s="26">
        <v>-1697.8185119989303</v>
      </c>
      <c r="T6" s="26">
        <v>-1799.6876227188664</v>
      </c>
      <c r="U6" s="26">
        <v>-1907.6688800819979</v>
      </c>
      <c r="V6" s="26">
        <v>-2022.1290128869184</v>
      </c>
      <c r="W6" s="26">
        <v>-2143.456753660133</v>
      </c>
      <c r="X6" s="26">
        <v>-2272.0641588797416</v>
      </c>
      <c r="Y6" s="26">
        <v>-2408.3880084125262</v>
      </c>
      <c r="Z6" s="26">
        <v>-2552.891288917278</v>
      </c>
      <c r="AA6" s="26">
        <v>-2706.0647662523152</v>
      </c>
      <c r="AB6" s="26">
        <v>-2588.185947530023</v>
      </c>
      <c r="AC6" s="26">
        <v>-2743.477104381825</v>
      </c>
      <c r="AD6" s="26">
        <v>-2499.49053270681</v>
      </c>
      <c r="AE6" s="26">
        <v>-1845.4895602128906</v>
      </c>
      <c r="AF6" s="26">
        <v>-368.54162280061502</v>
      </c>
      <c r="AG6" s="26">
        <v>-390.65412016865196</v>
      </c>
      <c r="AH6" s="26">
        <v>0</v>
      </c>
      <c r="AI6" s="26">
        <v>0</v>
      </c>
      <c r="AJ6" s="26">
        <v>0</v>
      </c>
      <c r="AK6" s="26">
        <v>0</v>
      </c>
    </row>
    <row r="7" spans="2:37">
      <c r="B7" t="s">
        <v>216</v>
      </c>
      <c r="H7" s="8">
        <v>0</v>
      </c>
      <c r="I7" s="8">
        <v>0</v>
      </c>
      <c r="J7" s="8">
        <v>1249.0815193571179</v>
      </c>
      <c r="K7" s="8">
        <v>1648.8789568516354</v>
      </c>
      <c r="L7" s="8">
        <v>1868.0543240176723</v>
      </c>
      <c r="M7" s="8">
        <v>4430.1673697724427</v>
      </c>
      <c r="N7" s="8">
        <v>4532.6751273603641</v>
      </c>
      <c r="O7" s="8">
        <v>3444.3353050793166</v>
      </c>
      <c r="P7" s="8">
        <v>1763.9572172874039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</row>
    <row r="8" spans="2:37">
      <c r="B8" t="s">
        <v>198</v>
      </c>
      <c r="H8" s="8" t="e">
        <f>EIRR!B20</f>
        <v>#N/A</v>
      </c>
      <c r="I8" s="8" t="e">
        <f>EIRR!C20</f>
        <v>#N/A</v>
      </c>
      <c r="J8" s="8" t="e">
        <f>EIRR!D20</f>
        <v>#N/A</v>
      </c>
      <c r="K8" s="8" t="e">
        <f>EIRR!E20</f>
        <v>#N/A</v>
      </c>
      <c r="L8" s="8" t="e">
        <f>EIRR!F20</f>
        <v>#N/A</v>
      </c>
      <c r="M8" s="8" t="e">
        <f>EIRR!G20</f>
        <v>#N/A</v>
      </c>
      <c r="N8" s="8" t="e">
        <f>EIRR!H20</f>
        <v>#N/A</v>
      </c>
      <c r="O8" s="8" t="e">
        <f>EIRR!I20</f>
        <v>#N/A</v>
      </c>
      <c r="P8" s="8" t="e">
        <f>EIRR!J20</f>
        <v>#N/A</v>
      </c>
      <c r="Q8" s="8" t="e">
        <f>EIRR!K20</f>
        <v>#N/A</v>
      </c>
      <c r="R8" s="8" t="e">
        <f>EIRR!L20</f>
        <v>#N/A</v>
      </c>
      <c r="S8" s="8" t="e">
        <f>EIRR!M20</f>
        <v>#N/A</v>
      </c>
      <c r="T8" s="8" t="e">
        <f>EIRR!N20</f>
        <v>#N/A</v>
      </c>
      <c r="U8" s="8" t="e">
        <f>EIRR!O20</f>
        <v>#N/A</v>
      </c>
      <c r="V8" s="8" t="e">
        <f>EIRR!P20</f>
        <v>#N/A</v>
      </c>
      <c r="W8" s="8" t="e">
        <f>EIRR!Q20</f>
        <v>#N/A</v>
      </c>
      <c r="X8" s="8" t="e">
        <f>EIRR!R20</f>
        <v>#N/A</v>
      </c>
      <c r="Y8" s="8" t="e">
        <f>EIRR!S20</f>
        <v>#N/A</v>
      </c>
      <c r="Z8" s="8" t="e">
        <f>EIRR!T20</f>
        <v>#N/A</v>
      </c>
      <c r="AA8" s="8" t="e">
        <f>EIRR!U20</f>
        <v>#N/A</v>
      </c>
      <c r="AB8" s="8" t="e">
        <f>EIRR!V20</f>
        <v>#N/A</v>
      </c>
      <c r="AC8" s="8" t="e">
        <f>EIRR!W20</f>
        <v>#N/A</v>
      </c>
      <c r="AD8" s="8" t="e">
        <f>EIRR!X20</f>
        <v>#N/A</v>
      </c>
      <c r="AE8" s="8" t="e">
        <f>EIRR!Y20</f>
        <v>#N/A</v>
      </c>
      <c r="AF8" s="8" t="e">
        <f>EIRR!Z20</f>
        <v>#N/A</v>
      </c>
      <c r="AG8" s="8" t="e">
        <f>EIRR!AA20</f>
        <v>#N/A</v>
      </c>
      <c r="AH8" s="8" t="e">
        <f>EIRR!AB20</f>
        <v>#N/A</v>
      </c>
      <c r="AI8" s="8" t="e">
        <f>EIRR!AC20</f>
        <v>#N/A</v>
      </c>
      <c r="AJ8" s="8" t="e">
        <f>EIRR!AD20</f>
        <v>#N/A</v>
      </c>
      <c r="AK8" s="8" t="e">
        <f>EIRR!AE20</f>
        <v>#N/A</v>
      </c>
    </row>
    <row r="9" spans="2:37"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1" spans="2:37">
      <c r="I11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A00CA-ABC5-4261-A713-013F4CE4FCD9}">
  <dimension ref="B2:S30"/>
  <sheetViews>
    <sheetView workbookViewId="0">
      <selection activeCell="E13" sqref="E13:G15"/>
    </sheetView>
  </sheetViews>
  <sheetFormatPr defaultRowHeight="15"/>
  <cols>
    <col min="2" max="2" width="40.85546875" customWidth="1"/>
    <col min="3" max="3" width="26.28515625" bestFit="1" customWidth="1"/>
    <col min="5" max="5" width="18.85546875" bestFit="1" customWidth="1"/>
    <col min="6" max="7" width="19.42578125" bestFit="1" customWidth="1"/>
    <col min="9" max="9" width="11.85546875" bestFit="1" customWidth="1"/>
  </cols>
  <sheetData>
    <row r="2" spans="2:18" ht="14.25" customHeight="1">
      <c r="B2" s="132" t="s">
        <v>76</v>
      </c>
      <c r="C2" s="133" t="s">
        <v>217</v>
      </c>
      <c r="D2" s="133"/>
      <c r="E2" s="133" t="s">
        <v>218</v>
      </c>
      <c r="F2" s="133"/>
    </row>
    <row r="3" spans="2:18">
      <c r="B3" s="132"/>
      <c r="C3" s="133"/>
      <c r="D3" s="133"/>
      <c r="E3" s="133"/>
      <c r="F3" s="133"/>
    </row>
    <row r="4" spans="2:18">
      <c r="B4" s="12"/>
      <c r="C4" s="33" t="s">
        <v>219</v>
      </c>
      <c r="D4" s="33" t="s">
        <v>220</v>
      </c>
      <c r="E4" s="33" t="s">
        <v>221</v>
      </c>
      <c r="F4" s="33" t="s">
        <v>222</v>
      </c>
      <c r="G4" s="33" t="s">
        <v>223</v>
      </c>
    </row>
    <row r="5" spans="2:18">
      <c r="B5" s="15" t="s">
        <v>54</v>
      </c>
      <c r="D5">
        <v>6</v>
      </c>
      <c r="E5" s="15">
        <v>3.3500000000000002E-2</v>
      </c>
      <c r="F5" s="28">
        <v>54943413000</v>
      </c>
      <c r="G5" s="27">
        <f>F5*$S$30</f>
        <v>93798440440.782669</v>
      </c>
      <c r="I5">
        <v>93798440440.7827</v>
      </c>
      <c r="K5">
        <v>93798440440.782669</v>
      </c>
      <c r="L5">
        <v>173736224116.37158</v>
      </c>
      <c r="M5">
        <v>467778455103.638</v>
      </c>
      <c r="N5">
        <v>280597169054.93213</v>
      </c>
      <c r="O5">
        <v>299846558042.53027</v>
      </c>
      <c r="P5">
        <v>15965711967.589558</v>
      </c>
      <c r="Q5">
        <v>312971753700.93677</v>
      </c>
      <c r="R5">
        <v>12577828519.696579</v>
      </c>
    </row>
    <row r="6" spans="2:18">
      <c r="B6" s="15" t="s">
        <v>56</v>
      </c>
      <c r="D6">
        <v>5</v>
      </c>
      <c r="E6" s="15">
        <v>6.2100000000000002E-2</v>
      </c>
      <c r="F6" s="28">
        <v>101767802000</v>
      </c>
      <c r="G6" s="27">
        <f t="shared" ref="G6:G14" si="0">F6*$S$30</f>
        <v>173736224116.37158</v>
      </c>
      <c r="I6">
        <v>173736224116.37158</v>
      </c>
    </row>
    <row r="7" spans="2:18">
      <c r="B7" s="15" t="s">
        <v>57</v>
      </c>
      <c r="C7" s="15">
        <v>0.14649999999999999</v>
      </c>
      <c r="D7">
        <v>1</v>
      </c>
      <c r="E7" s="15">
        <v>0.1671</v>
      </c>
      <c r="F7" s="28">
        <v>274006100000</v>
      </c>
      <c r="G7" s="27">
        <f t="shared" si="0"/>
        <v>467778455103.638</v>
      </c>
      <c r="I7">
        <v>467778455103.638</v>
      </c>
    </row>
    <row r="8" spans="2:18">
      <c r="B8" s="15" t="s">
        <v>58</v>
      </c>
      <c r="D8">
        <v>3</v>
      </c>
      <c r="E8" s="15">
        <v>0.1003</v>
      </c>
      <c r="F8" s="28">
        <v>164362713000</v>
      </c>
      <c r="G8" s="27">
        <f t="shared" si="0"/>
        <v>280597169054.93213</v>
      </c>
      <c r="I8">
        <v>280597169054.93213</v>
      </c>
    </row>
    <row r="9" spans="2:18">
      <c r="B9" s="15" t="s">
        <v>59</v>
      </c>
      <c r="C9" s="15">
        <v>9.3299999999999994E-2</v>
      </c>
      <c r="D9">
        <v>4</v>
      </c>
      <c r="E9" s="15">
        <v>0.1071</v>
      </c>
      <c r="F9" s="28">
        <v>175638243000</v>
      </c>
      <c r="G9" s="27">
        <f t="shared" si="0"/>
        <v>299846558042.53027</v>
      </c>
      <c r="I9">
        <v>299846558042.53027</v>
      </c>
    </row>
    <row r="10" spans="2:18">
      <c r="B10" s="15" t="s">
        <v>61</v>
      </c>
      <c r="D10">
        <v>20</v>
      </c>
      <c r="E10" s="15">
        <v>5.7000000000000002E-3</v>
      </c>
      <c r="F10" s="28">
        <v>9352082000</v>
      </c>
      <c r="G10" s="27">
        <f t="shared" si="0"/>
        <v>15965711967.589558</v>
      </c>
      <c r="I10">
        <v>15965711967.589558</v>
      </c>
    </row>
    <row r="11" spans="2:18">
      <c r="B11" s="15" t="s">
        <v>62</v>
      </c>
      <c r="C11" s="15">
        <v>0.10639999999999999</v>
      </c>
      <c r="D11">
        <v>2</v>
      </c>
      <c r="E11" s="15">
        <v>0.1118</v>
      </c>
      <c r="F11" s="28">
        <v>183326463000</v>
      </c>
      <c r="G11" s="27">
        <f t="shared" si="0"/>
        <v>312971753700.93677</v>
      </c>
      <c r="I11">
        <v>312971753700.93677</v>
      </c>
    </row>
    <row r="12" spans="2:18">
      <c r="B12" s="15" t="s">
        <v>63</v>
      </c>
      <c r="D12">
        <v>28</v>
      </c>
      <c r="E12" s="15">
        <v>4.4999999999999997E-3</v>
      </c>
      <c r="F12" s="28">
        <v>7367594000</v>
      </c>
      <c r="G12" s="27">
        <f t="shared" si="0"/>
        <v>12577828519.696579</v>
      </c>
      <c r="I12">
        <v>12577828519.696579</v>
      </c>
    </row>
    <row r="13" spans="2:18">
      <c r="B13" s="15" t="s">
        <v>224</v>
      </c>
      <c r="E13" s="15">
        <v>6.7999999999999996E-3</v>
      </c>
      <c r="F13" s="28">
        <v>11155364000</v>
      </c>
      <c r="G13" s="27">
        <f t="shared" si="0"/>
        <v>19044243679.387939</v>
      </c>
    </row>
    <row r="14" spans="2:18">
      <c r="B14" s="15" t="s">
        <v>225</v>
      </c>
      <c r="E14" s="15">
        <v>1.72E-2</v>
      </c>
      <c r="F14" s="28">
        <v>28117776000</v>
      </c>
      <c r="G14" s="27">
        <f t="shared" si="0"/>
        <v>48002178850.142937</v>
      </c>
    </row>
    <row r="15" spans="2:18">
      <c r="D15" t="s">
        <v>117</v>
      </c>
      <c r="E15" s="15">
        <f>SUM(E5:E14)</f>
        <v>0.61609999999999987</v>
      </c>
      <c r="F15" s="28">
        <f t="shared" ref="F15:G15" si="1">SUM(F5:F14)</f>
        <v>1010037550000</v>
      </c>
      <c r="G15" s="28">
        <f t="shared" si="1"/>
        <v>1724318563476.0083</v>
      </c>
    </row>
    <row r="17" spans="7:19">
      <c r="G17">
        <v>19044243679.387939</v>
      </c>
    </row>
    <row r="18" spans="7:19">
      <c r="G18">
        <v>48002178850.142937</v>
      </c>
    </row>
    <row r="26" spans="7:19">
      <c r="I26">
        <v>2010</v>
      </c>
      <c r="J26">
        <v>2011</v>
      </c>
      <c r="K26">
        <v>2012</v>
      </c>
      <c r="L26">
        <v>2013</v>
      </c>
      <c r="M26">
        <v>2014</v>
      </c>
      <c r="N26">
        <v>2015</v>
      </c>
      <c r="O26">
        <v>2016</v>
      </c>
      <c r="P26">
        <v>2017</v>
      </c>
      <c r="Q26">
        <v>2018</v>
      </c>
      <c r="R26">
        <v>2019</v>
      </c>
      <c r="S26">
        <v>2020</v>
      </c>
    </row>
    <row r="27" spans="7:19">
      <c r="G27" t="s">
        <v>137</v>
      </c>
      <c r="I27">
        <v>1.4064000000000001</v>
      </c>
      <c r="J27">
        <v>1.5017</v>
      </c>
      <c r="K27">
        <v>1.5724</v>
      </c>
      <c r="L27">
        <v>1.5775999999999999</v>
      </c>
      <c r="M27">
        <v>1.6135999999999999</v>
      </c>
      <c r="N27">
        <v>1.4509000000000001</v>
      </c>
      <c r="O27">
        <v>1.6595</v>
      </c>
      <c r="P27">
        <v>1.5181</v>
      </c>
      <c r="Q27">
        <v>1.4504999999999999</v>
      </c>
      <c r="R27">
        <v>1.4124000000000001</v>
      </c>
      <c r="S27">
        <v>1.3224</v>
      </c>
    </row>
    <row r="28" spans="7:19">
      <c r="I28">
        <v>4.0640000000000001</v>
      </c>
      <c r="J28">
        <v>5.0170000000000003</v>
      </c>
      <c r="K28">
        <v>5.7240000000000002</v>
      </c>
      <c r="L28">
        <v>5.7759999999999998</v>
      </c>
      <c r="M28">
        <v>6.1360000000000001</v>
      </c>
      <c r="N28">
        <v>4.5090000000000003</v>
      </c>
      <c r="O28">
        <v>6.5949999999999998</v>
      </c>
      <c r="P28">
        <v>5.181</v>
      </c>
      <c r="Q28">
        <v>4.5049999999999999</v>
      </c>
      <c r="R28">
        <v>4.1239999999999997</v>
      </c>
      <c r="S28">
        <v>3.2240000000000002</v>
      </c>
    </row>
    <row r="30" spans="7:19">
      <c r="G30" t="s">
        <v>138</v>
      </c>
      <c r="I30">
        <f>1*(1+I28/100)</f>
        <v>1.04064</v>
      </c>
      <c r="J30">
        <f>I30*(1+J28/100)</f>
        <v>1.0928489088</v>
      </c>
      <c r="K30">
        <f t="shared" ref="K30:S30" si="2">J30*(1+K28/100)</f>
        <v>1.155403580339712</v>
      </c>
      <c r="L30">
        <f t="shared" si="2"/>
        <v>1.2221396911401339</v>
      </c>
      <c r="M30">
        <f t="shared" si="2"/>
        <v>1.2971301825884927</v>
      </c>
      <c r="N30">
        <f t="shared" si="2"/>
        <v>1.355617782521408</v>
      </c>
      <c r="O30">
        <f t="shared" si="2"/>
        <v>1.4450207752786948</v>
      </c>
      <c r="P30">
        <f t="shared" si="2"/>
        <v>1.5198873016458838</v>
      </c>
      <c r="Q30">
        <f t="shared" si="2"/>
        <v>1.588358224585031</v>
      </c>
      <c r="R30">
        <f t="shared" si="2"/>
        <v>1.6538621177669175</v>
      </c>
      <c r="S30">
        <f t="shared" si="2"/>
        <v>1.7071826324437229</v>
      </c>
    </row>
  </sheetData>
  <mergeCells count="3">
    <mergeCell ref="B2:B3"/>
    <mergeCell ref="C2:D3"/>
    <mergeCell ref="E2:F3"/>
  </mergeCells>
  <phoneticPr fontId="9" type="noConversion"/>
  <conditionalFormatting sqref="E5:E14">
    <cfRule type="colorScale" priority="2">
      <colorScale>
        <cfvo type="min"/>
        <cfvo type="max"/>
        <color rgb="FFFCFCFF"/>
        <color rgb="FF63BE7B"/>
      </colorScale>
    </cfRule>
  </conditionalFormatting>
  <conditionalFormatting sqref="B5:B14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horizontalDpi="90" verticalDpi="9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1C360-6E95-460F-B16B-F7F264B3F996}">
  <dimension ref="B1:M10"/>
  <sheetViews>
    <sheetView workbookViewId="0">
      <pane xSplit="2" ySplit="2" topLeftCell="K3" activePane="bottomRight" state="frozen"/>
      <selection pane="topRight" activeCell="C1" sqref="C1"/>
      <selection pane="bottomLeft" activeCell="A3" sqref="A3"/>
      <selection pane="bottomRight" activeCell="K3" sqref="K3:L10"/>
    </sheetView>
  </sheetViews>
  <sheetFormatPr defaultRowHeight="15"/>
  <cols>
    <col min="2" max="2" width="48.5703125" bestFit="1" customWidth="1"/>
    <col min="3" max="3" width="39.28515625" bestFit="1" customWidth="1"/>
    <col min="4" max="4" width="16.7109375" bestFit="1" customWidth="1"/>
    <col min="5" max="5" width="43.42578125" bestFit="1" customWidth="1"/>
    <col min="6" max="6" width="38.5703125" bestFit="1" customWidth="1"/>
    <col min="7" max="7" width="33.42578125" bestFit="1" customWidth="1"/>
    <col min="8" max="8" width="21.42578125" bestFit="1" customWidth="1"/>
    <col min="9" max="9" width="40.5703125" bestFit="1" customWidth="1"/>
    <col min="10" max="10" width="28.42578125" bestFit="1" customWidth="1"/>
    <col min="11" max="12" width="28.42578125" customWidth="1"/>
  </cols>
  <sheetData>
    <row r="1" spans="2:13">
      <c r="B1" t="s">
        <v>226</v>
      </c>
    </row>
    <row r="2" spans="2:13" s="2" customFormat="1">
      <c r="B2" s="2" t="s">
        <v>171</v>
      </c>
      <c r="C2" s="12" t="s">
        <v>54</v>
      </c>
      <c r="D2" s="12" t="s">
        <v>56</v>
      </c>
      <c r="E2" s="12" t="s">
        <v>57</v>
      </c>
      <c r="F2" s="12" t="s">
        <v>58</v>
      </c>
      <c r="G2" s="12" t="s">
        <v>59</v>
      </c>
      <c r="H2" s="12" t="s">
        <v>61</v>
      </c>
      <c r="I2" s="12" t="s">
        <v>62</v>
      </c>
      <c r="J2" s="12" t="s">
        <v>63</v>
      </c>
      <c r="K2" s="12" t="s">
        <v>224</v>
      </c>
      <c r="L2" s="12" t="s">
        <v>225</v>
      </c>
      <c r="M2" s="2" t="s">
        <v>227</v>
      </c>
    </row>
    <row r="3" spans="2:13">
      <c r="B3" t="s">
        <v>228</v>
      </c>
      <c r="C3" s="15">
        <v>4.7200000000000002E-3</v>
      </c>
      <c r="D3" s="15">
        <v>4.1700000000000001E-3</v>
      </c>
      <c r="E3" s="15">
        <v>3.0500000000000002E-3</v>
      </c>
      <c r="F3" s="15">
        <v>5.2300000000000003E-3</v>
      </c>
      <c r="G3" s="15">
        <v>1.1900000000000001E-2</v>
      </c>
      <c r="H3" s="15">
        <v>2.4400000000000002E-2</v>
      </c>
      <c r="I3" s="15">
        <v>1.46E-2</v>
      </c>
      <c r="J3" s="15">
        <v>7.5399999999999995E-2</v>
      </c>
      <c r="K3" s="15">
        <v>1.0699999999999999E-2</v>
      </c>
      <c r="L3" s="15">
        <v>9.6200000000000001E-3</v>
      </c>
      <c r="M3" s="15">
        <f t="shared" ref="M3:M10" si="0">AVERAGE(C3:L3)</f>
        <v>1.6378999999999998E-2</v>
      </c>
    </row>
    <row r="4" spans="2:13">
      <c r="B4" t="s">
        <v>174</v>
      </c>
      <c r="C4" s="15">
        <v>8.5899999999999995E-4</v>
      </c>
      <c r="D4" s="15">
        <v>2.1100000000000001E-2</v>
      </c>
      <c r="E4" s="15">
        <v>1.18E-2</v>
      </c>
      <c r="F4" s="15">
        <v>7.7299999999999999E-3</v>
      </c>
      <c r="G4" s="15">
        <v>3.3600000000000001E-3</v>
      </c>
      <c r="H4" s="15">
        <v>5.79E-2</v>
      </c>
      <c r="I4" s="15">
        <v>2.16E-3</v>
      </c>
      <c r="J4" s="15">
        <v>2.5699999999999998E-3</v>
      </c>
      <c r="K4" s="15">
        <v>9.0700000000000003E-2</v>
      </c>
      <c r="L4" s="15">
        <v>7.3499999999999998E-3</v>
      </c>
      <c r="M4" s="15">
        <f t="shared" si="0"/>
        <v>2.0552899999999999E-2</v>
      </c>
    </row>
    <row r="5" spans="2:13">
      <c r="B5" t="s">
        <v>175</v>
      </c>
      <c r="C5" s="15">
        <v>0.224</v>
      </c>
      <c r="D5" s="15">
        <v>0.192</v>
      </c>
      <c r="E5" s="15">
        <v>0.14599999999999999</v>
      </c>
      <c r="F5" s="15">
        <v>0.13500000000000001</v>
      </c>
      <c r="G5" s="15">
        <v>0.20599999999999999</v>
      </c>
      <c r="H5" s="15">
        <v>0.23499999999999999</v>
      </c>
      <c r="I5" s="15">
        <v>0.157</v>
      </c>
      <c r="J5" s="15">
        <v>0.161</v>
      </c>
      <c r="K5" s="15">
        <v>3.78E-2</v>
      </c>
      <c r="L5" s="15">
        <v>7.3400000000000007E-2</v>
      </c>
      <c r="M5" s="15">
        <f t="shared" si="0"/>
        <v>0.15672</v>
      </c>
    </row>
    <row r="6" spans="2:13">
      <c r="B6" t="s">
        <v>176</v>
      </c>
      <c r="C6" s="15">
        <v>8.2400000000000008E-3</v>
      </c>
      <c r="D6" s="15">
        <v>2.06E-2</v>
      </c>
      <c r="E6" s="15">
        <v>2.2499999999999999E-2</v>
      </c>
      <c r="F6" s="15">
        <v>1.9400000000000001E-2</v>
      </c>
      <c r="G6" s="15">
        <v>2.1299999999999999E-2</v>
      </c>
      <c r="H6" s="15">
        <v>2.2499999999999999E-2</v>
      </c>
      <c r="I6" s="15">
        <v>1.9400000000000001E-2</v>
      </c>
      <c r="J6" s="15">
        <v>1.9099999999999999E-2</v>
      </c>
      <c r="K6" s="15">
        <v>3.61E-2</v>
      </c>
      <c r="L6" s="15">
        <v>3.8699999999999998E-2</v>
      </c>
      <c r="M6" s="15">
        <f t="shared" si="0"/>
        <v>2.2783999999999999E-2</v>
      </c>
    </row>
    <row r="7" spans="2:13">
      <c r="B7" t="s">
        <v>229</v>
      </c>
      <c r="C7" s="15">
        <v>0.19700000000000001</v>
      </c>
      <c r="D7" s="15">
        <v>0.161</v>
      </c>
      <c r="E7" s="15">
        <v>0.14499999999999999</v>
      </c>
      <c r="F7" s="15">
        <v>0.124</v>
      </c>
      <c r="G7" s="15">
        <v>0.17599999999999999</v>
      </c>
      <c r="H7" s="15">
        <v>0.151</v>
      </c>
      <c r="I7" s="15">
        <v>0.16600000000000001</v>
      </c>
      <c r="J7" s="15">
        <v>0.18099999999999999</v>
      </c>
      <c r="K7" s="15">
        <v>0.14199999999999999</v>
      </c>
      <c r="L7" s="15">
        <v>0.20300000000000001</v>
      </c>
      <c r="M7" s="15">
        <f t="shared" si="0"/>
        <v>0.1646</v>
      </c>
    </row>
    <row r="8" spans="2:13">
      <c r="B8" t="s">
        <v>230</v>
      </c>
      <c r="C8" s="15">
        <v>0.114</v>
      </c>
      <c r="D8" s="15">
        <v>0.11899999999999999</v>
      </c>
      <c r="E8" s="15">
        <v>9.8599999999999993E-2</v>
      </c>
      <c r="F8" s="15">
        <v>0.107</v>
      </c>
      <c r="G8" s="15">
        <v>0.14799999999999999</v>
      </c>
      <c r="H8" s="15">
        <v>0.154</v>
      </c>
      <c r="I8" s="15">
        <v>0.112</v>
      </c>
      <c r="J8" s="15">
        <v>8.3699999999999997E-2</v>
      </c>
      <c r="K8" s="15">
        <v>0.14499999999999999</v>
      </c>
      <c r="L8" s="15">
        <v>0.123</v>
      </c>
      <c r="M8" s="15">
        <f t="shared" si="0"/>
        <v>0.12043</v>
      </c>
    </row>
    <row r="9" spans="2:13">
      <c r="B9" t="s">
        <v>179</v>
      </c>
      <c r="C9" s="15">
        <v>0.23799999999999999</v>
      </c>
      <c r="D9" s="15">
        <v>0.247</v>
      </c>
      <c r="E9" s="15">
        <v>0.34699999999999998</v>
      </c>
      <c r="F9" s="15">
        <v>0.25600000000000001</v>
      </c>
      <c r="G9" s="15">
        <v>0.224</v>
      </c>
      <c r="H9" s="32">
        <v>0.15</v>
      </c>
      <c r="I9" s="15">
        <v>0.34499999999999997</v>
      </c>
      <c r="J9" s="15">
        <v>0.27600000000000002</v>
      </c>
      <c r="K9" s="15">
        <v>0.252</v>
      </c>
      <c r="L9" s="15">
        <v>0.23699999999999999</v>
      </c>
      <c r="M9" s="15">
        <f t="shared" si="0"/>
        <v>0.25719999999999998</v>
      </c>
    </row>
    <row r="10" spans="2:13">
      <c r="B10" t="s">
        <v>180</v>
      </c>
      <c r="C10" s="15">
        <v>0.21299999999999999</v>
      </c>
      <c r="D10" s="15">
        <v>0.23599999999999999</v>
      </c>
      <c r="E10" s="15">
        <v>0.22600000000000001</v>
      </c>
      <c r="F10" s="15">
        <v>0.34499999999999997</v>
      </c>
      <c r="G10" s="15">
        <v>0.20899999999999999</v>
      </c>
      <c r="H10" s="15">
        <v>0.186</v>
      </c>
      <c r="I10" s="15">
        <v>0.185</v>
      </c>
      <c r="J10" s="15">
        <v>0.20200000000000001</v>
      </c>
      <c r="K10" s="15">
        <v>0.28499999999999998</v>
      </c>
      <c r="L10" s="15">
        <v>0.307</v>
      </c>
      <c r="M10" s="15">
        <f t="shared" si="0"/>
        <v>0.2394</v>
      </c>
    </row>
  </sheetData>
  <conditionalFormatting sqref="C3:M10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TaxCatchAll xmlns="50c9b839-8b53-4ddb-9b24-b96221f2bda6" xsi:nil="true"/>
    <file_x0020_ xmlns="366ae72f-6d51-4737-8f6b-a9169c366b64" xsi:nil="true"/>
    <lcf76f155ced4ddcb4097134ff3c332f xmlns="366ae72f-6d51-4737-8f6b-a9169c366b6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8" ma:contentTypeDescription="Create a new document." ma:contentTypeScope="" ma:versionID="495cd79217b99afa72b9ee5eaa6991a8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163074be616c017a06b81a72cc3842b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02EE8E-7050-4D6E-AD88-0A1FBCEB82A9}">
  <ds:schemaRefs>
    <ds:schemaRef ds:uri="http://schemas.microsoft.com/office/2006/documentManagement/types"/>
    <ds:schemaRef ds:uri="http://purl.org/dc/elements/1.1/"/>
    <ds:schemaRef ds:uri="aac5f2d9-717c-420c-8a68-7cf87f77d420"/>
    <ds:schemaRef ds:uri="http://schemas.openxmlformats.org/package/2006/metadata/core-properties"/>
    <ds:schemaRef ds:uri="http://www.w3.org/XML/1998/namespace"/>
    <ds:schemaRef ds:uri="29822360-53e8-4f69-a02a-97e2ecc7e6b8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5EBE93F-BFDB-400D-AD38-3D5ADD865659}"/>
</file>

<file path=customXml/itemProps3.xml><?xml version="1.0" encoding="utf-8"?>
<ds:datastoreItem xmlns:ds="http://schemas.openxmlformats.org/officeDocument/2006/customXml" ds:itemID="{028B547D-B749-4A42-9261-B9109756B2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Assumptions</vt:lpstr>
      <vt:lpstr>Co-Benefit Calculations</vt:lpstr>
      <vt:lpstr>Household values</vt:lpstr>
      <vt:lpstr>Business values</vt:lpstr>
      <vt:lpstr>Drought type and outputs</vt:lpstr>
      <vt:lpstr>EIRR</vt:lpstr>
      <vt:lpstr>Financial Cashflows</vt:lpstr>
      <vt:lpstr>GVA by Municipality</vt:lpstr>
      <vt:lpstr>Municipal GVA by Sector</vt:lpstr>
      <vt:lpstr>Water Security Calculations</vt:lpstr>
      <vt:lpstr>'Co-Benefit Calculations'!_ftnref1</vt:lpstr>
      <vt:lpstr>'Co-Benefit Calculations'!_ftnref3</vt:lpstr>
      <vt:lpstr>'Co-Benefit Calculations'!_ftnref4</vt:lpstr>
      <vt:lpstr>'Co-Benefit Calculations'!_ftnref5</vt:lpstr>
      <vt:lpstr>'Co-Benefit Calculations'!_ftnref6</vt:lpstr>
      <vt:lpstr>'Co-Benefit Calculations'!_ftnref8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Derek Weston</dc:creator>
  <cp:keywords/>
  <dc:description/>
  <cp:lastModifiedBy>Derek Weston</cp:lastModifiedBy>
  <cp:revision/>
  <dcterms:created xsi:type="dcterms:W3CDTF">2021-08-27T13:47:05Z</dcterms:created>
  <dcterms:modified xsi:type="dcterms:W3CDTF">2023-06-09T06:20:25Z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SIP_Label_b2b6f514-ee47-44b4-8126-44b29d0b4cbf_Enabled">
    <vt:lpwstr>true</vt:lpwstr>
  </property>
  <property fmtid="{D5CDD505-2E9C-101B-9397-08002B2CF9AE}" pid="4" name="MSIP_Label_b2b6f514-ee47-44b4-8126-44b29d0b4cbf_SetDate">
    <vt:lpwstr>2022-12-08T16:59:49Z</vt:lpwstr>
  </property>
  <property fmtid="{D5CDD505-2E9C-101B-9397-08002B2CF9AE}" pid="5" name="MSIP_Label_b2b6f514-ee47-44b4-8126-44b29d0b4cbf_Method">
    <vt:lpwstr>Standard</vt:lpwstr>
  </property>
  <property fmtid="{D5CDD505-2E9C-101B-9397-08002B2CF9AE}" pid="6" name="MSIP_Label_b2b6f514-ee47-44b4-8126-44b29d0b4cbf_Name">
    <vt:lpwstr>Internal</vt:lpwstr>
  </property>
  <property fmtid="{D5CDD505-2E9C-101B-9397-08002B2CF9AE}" pid="7" name="MSIP_Label_b2b6f514-ee47-44b4-8126-44b29d0b4cbf_SiteId">
    <vt:lpwstr>0fb364b1-02d4-4f4b-aee8-2c35f35166ee</vt:lpwstr>
  </property>
  <property fmtid="{D5CDD505-2E9C-101B-9397-08002B2CF9AE}" pid="8" name="MSIP_Label_b2b6f514-ee47-44b4-8126-44b29d0b4cbf_ActionId">
    <vt:lpwstr>3163b01a-23ee-4893-9a2b-f33a27083453</vt:lpwstr>
  </property>
  <property fmtid="{D5CDD505-2E9C-101B-9397-08002B2CF9AE}" pid="9" name="MSIP_Label_b2b6f514-ee47-44b4-8126-44b29d0b4cbf_ContentBits">
    <vt:lpwstr>0</vt:lpwstr>
  </property>
</Properties>
</file>