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pegasys1-my.sharepoint.com/personal/derek_pegasys_co_za/Documents/Derek Pegasys/DBSA Water Reuse/GCF Board Preparations June 2023/Clean submissions/"/>
    </mc:Choice>
  </mc:AlternateContent>
  <xr:revisionPtr revIDLastSave="0" documentId="8_{894DC017-5654-40E7-8DE3-B6B4FD730B80}" xr6:coauthVersionLast="47" xr6:coauthVersionMax="47" xr10:uidLastSave="{00000000-0000-0000-0000-000000000000}"/>
  <bookViews>
    <workbookView xWindow="30180" yWindow="0" windowWidth="27060" windowHeight="15255" firstSheet="1" activeTab="1" xr2:uid="{00000000-000D-0000-FFFF-FFFF00000000}"/>
  </bookViews>
  <sheets>
    <sheet name="Detailed Budget" sheetId="1" state="hidden" r:id="rId1"/>
    <sheet name="Detailed Budget_Revised" sheetId="3" r:id="rId2"/>
    <sheet name="Notes and Assumptions" sheetId="2" r:id="rId3"/>
    <sheet name="Detailed Breakdown of Comp 1B" sheetId="7" r:id="rId4"/>
    <sheet name="Detailed Breakdown of Comp 3" sheetId="6" r:id="rId5"/>
    <sheet name="Capital Cost Proxy" sheetId="4" r:id="rId6"/>
    <sheet name="Project Prep Proxy" sheetId="5" r:id="rId7"/>
  </sheets>
  <externalReferences>
    <externalReference r:id="rId8"/>
  </externalReferences>
  <definedNames>
    <definedName name="Categories">OFFSET('[1]Title Lists'!$F$2,0,0,COUNTA('[1]Title Lists'!$F:$F)-1,1)</definedName>
    <definedName name="Components">OFFSET('[1]Title Lists'!$B$2,0,0,COUNTA('[1]Title Lists'!$B:$B)-1,1)</definedName>
    <definedName name="Funding">OFFSET('[1]Title Lists'!$H$2,0,0,COUNTA('[1]Title Lists'!$H:$H)-1,1)</definedName>
    <definedName name="Outputs">OFFSET('[1]Title Lists'!$D$2,0,0,COUNTA('[1]Title Lists'!$D:$D)-1,1)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7" i="3" l="1"/>
  <c r="P177" i="3"/>
  <c r="O177" i="3"/>
  <c r="N177" i="3"/>
  <c r="M177" i="3"/>
  <c r="L177" i="3"/>
  <c r="K177" i="3"/>
  <c r="J177" i="3"/>
  <c r="I177" i="3"/>
  <c r="H177" i="3"/>
  <c r="L158" i="3"/>
  <c r="M158" i="3"/>
  <c r="P158" i="3"/>
  <c r="R99" i="3"/>
  <c r="N25" i="7"/>
  <c r="M25" i="7"/>
  <c r="L25" i="7"/>
  <c r="K25" i="7"/>
  <c r="O20" i="7"/>
  <c r="N20" i="7"/>
  <c r="O32" i="7"/>
  <c r="N21" i="7"/>
  <c r="I24" i="7"/>
  <c r="J24" i="7" s="1"/>
  <c r="O24" i="7" s="1"/>
  <c r="L18" i="7"/>
  <c r="I23" i="7"/>
  <c r="J23" i="7" s="1"/>
  <c r="J19" i="7"/>
  <c r="M19" i="7" s="1"/>
  <c r="J18" i="7"/>
  <c r="M18" i="7" s="1"/>
  <c r="I21" i="7"/>
  <c r="J21" i="7" s="1"/>
  <c r="I22" i="7"/>
  <c r="J22" i="7" s="1"/>
  <c r="K22" i="7" s="1"/>
  <c r="J28" i="7"/>
  <c r="I9" i="7"/>
  <c r="J9" i="7" s="1"/>
  <c r="J20" i="7"/>
  <c r="L20" i="7" s="1"/>
  <c r="J17" i="7"/>
  <c r="N17" i="7" s="1"/>
  <c r="J25" i="7"/>
  <c r="E41" i="7"/>
  <c r="E40" i="7"/>
  <c r="E39" i="7"/>
  <c r="E38" i="7"/>
  <c r="C33" i="7"/>
  <c r="C32" i="7"/>
  <c r="J14" i="7"/>
  <c r="L14" i="7" s="1"/>
  <c r="I13" i="7"/>
  <c r="J13" i="7" s="1"/>
  <c r="J12" i="7"/>
  <c r="K12" i="7" s="1"/>
  <c r="J8" i="7"/>
  <c r="M8" i="7" s="1"/>
  <c r="J7" i="7"/>
  <c r="O7" i="7" s="1"/>
  <c r="M32" i="6"/>
  <c r="K32" i="6"/>
  <c r="I45" i="6"/>
  <c r="J45" i="6" s="1"/>
  <c r="M45" i="6" s="1"/>
  <c r="I37" i="6"/>
  <c r="J37" i="6" s="1"/>
  <c r="N37" i="6" s="1"/>
  <c r="K51" i="6"/>
  <c r="J42" i="6"/>
  <c r="O42" i="6" s="1"/>
  <c r="J36" i="6"/>
  <c r="O36" i="6" s="1"/>
  <c r="I44" i="6"/>
  <c r="J44" i="6" s="1"/>
  <c r="I27" i="6"/>
  <c r="J27" i="6" s="1"/>
  <c r="K13" i="6"/>
  <c r="I10" i="6"/>
  <c r="J10" i="6" s="1"/>
  <c r="I13" i="6"/>
  <c r="J13" i="6" s="1"/>
  <c r="O13" i="6" s="1"/>
  <c r="I17" i="6"/>
  <c r="J17" i="6" s="1"/>
  <c r="N17" i="6" s="1"/>
  <c r="I18" i="6"/>
  <c r="J18" i="6" s="1"/>
  <c r="I19" i="6"/>
  <c r="J19" i="6" s="1"/>
  <c r="N19" i="6" s="1"/>
  <c r="I23" i="6"/>
  <c r="J23" i="6" s="1"/>
  <c r="I20" i="6"/>
  <c r="J20" i="6" s="1"/>
  <c r="J15" i="6"/>
  <c r="L15" i="6" s="1"/>
  <c r="E64" i="6"/>
  <c r="E63" i="6"/>
  <c r="E62" i="6"/>
  <c r="E61" i="6"/>
  <c r="C52" i="6"/>
  <c r="C51" i="6"/>
  <c r="P46" i="6"/>
  <c r="J46" i="6"/>
  <c r="J43" i="6"/>
  <c r="L43" i="6" s="1"/>
  <c r="J41" i="6"/>
  <c r="O41" i="6" s="1"/>
  <c r="J40" i="6"/>
  <c r="O40" i="6" s="1"/>
  <c r="J38" i="6"/>
  <c r="O38" i="6" s="1"/>
  <c r="J35" i="6"/>
  <c r="M35" i="6" s="1"/>
  <c r="P35" i="6" s="1"/>
  <c r="J34" i="6"/>
  <c r="L34" i="6" s="1"/>
  <c r="J32" i="6"/>
  <c r="J31" i="6"/>
  <c r="M31" i="6" s="1"/>
  <c r="J28" i="6"/>
  <c r="O28" i="6" s="1"/>
  <c r="J26" i="6"/>
  <c r="M26" i="6" s="1"/>
  <c r="J24" i="6"/>
  <c r="L24" i="6" s="1"/>
  <c r="J21" i="6"/>
  <c r="K21" i="6" s="1"/>
  <c r="J14" i="6"/>
  <c r="O14" i="6" s="1"/>
  <c r="J12" i="6"/>
  <c r="O12" i="6" s="1"/>
  <c r="J9" i="6"/>
  <c r="O9" i="6" s="1"/>
  <c r="J8" i="6"/>
  <c r="M8" i="6" s="1"/>
  <c r="J7" i="6"/>
  <c r="N7" i="6" s="1"/>
  <c r="N167" i="3"/>
  <c r="M167" i="3"/>
  <c r="L167" i="3"/>
  <c r="K167" i="3"/>
  <c r="J167" i="3"/>
  <c r="N162" i="3"/>
  <c r="M162" i="3"/>
  <c r="L162" i="3"/>
  <c r="K162" i="3"/>
  <c r="J162" i="3"/>
  <c r="N173" i="3" l="1"/>
  <c r="J173" i="3"/>
  <c r="M173" i="3"/>
  <c r="K173" i="3"/>
  <c r="L173" i="3"/>
  <c r="N33" i="7"/>
  <c r="K33" i="7"/>
  <c r="L33" i="7"/>
  <c r="M33" i="7"/>
  <c r="O22" i="7"/>
  <c r="K21" i="7"/>
  <c r="P24" i="7"/>
  <c r="K23" i="7"/>
  <c r="N18" i="7"/>
  <c r="L21" i="7"/>
  <c r="M22" i="7"/>
  <c r="M21" i="7"/>
  <c r="N22" i="7"/>
  <c r="K20" i="7"/>
  <c r="M20" i="7"/>
  <c r="L17" i="7"/>
  <c r="L22" i="7"/>
  <c r="M17" i="7"/>
  <c r="N19" i="7"/>
  <c r="K19" i="7"/>
  <c r="L19" i="7"/>
  <c r="M7" i="7"/>
  <c r="K7" i="7"/>
  <c r="L7" i="7"/>
  <c r="N7" i="7"/>
  <c r="L12" i="7"/>
  <c r="M12" i="7"/>
  <c r="O12" i="7"/>
  <c r="N8" i="7"/>
  <c r="O8" i="7"/>
  <c r="M14" i="7"/>
  <c r="N14" i="7"/>
  <c r="E42" i="7"/>
  <c r="K8" i="7"/>
  <c r="L8" i="7"/>
  <c r="L13" i="7"/>
  <c r="K13" i="7"/>
  <c r="O13" i="7"/>
  <c r="M13" i="7"/>
  <c r="N13" i="7"/>
  <c r="K9" i="7"/>
  <c r="N9" i="7"/>
  <c r="O9" i="7"/>
  <c r="L9" i="7"/>
  <c r="M9" i="7"/>
  <c r="N12" i="7"/>
  <c r="O14" i="7"/>
  <c r="K14" i="7"/>
  <c r="M23" i="7"/>
  <c r="L23" i="7"/>
  <c r="N23" i="7"/>
  <c r="O34" i="6"/>
  <c r="M34" i="6"/>
  <c r="N34" i="6"/>
  <c r="K34" i="6"/>
  <c r="J47" i="6"/>
  <c r="K42" i="6"/>
  <c r="L42" i="6"/>
  <c r="M42" i="6"/>
  <c r="N42" i="6"/>
  <c r="L13" i="6"/>
  <c r="L36" i="6"/>
  <c r="N13" i="6"/>
  <c r="O31" i="6"/>
  <c r="N31" i="6"/>
  <c r="O37" i="6"/>
  <c r="O54" i="6" s="1"/>
  <c r="L37" i="6"/>
  <c r="K37" i="6"/>
  <c r="M37" i="6"/>
  <c r="M36" i="6"/>
  <c r="M53" i="6" s="1"/>
  <c r="N36" i="6"/>
  <c r="K36" i="6"/>
  <c r="E65" i="6"/>
  <c r="K31" i="6"/>
  <c r="L31" i="6"/>
  <c r="M13" i="6"/>
  <c r="N26" i="6"/>
  <c r="L38" i="6"/>
  <c r="N43" i="6"/>
  <c r="N15" i="6"/>
  <c r="M15" i="6"/>
  <c r="O15" i="6"/>
  <c r="K15" i="6"/>
  <c r="N18" i="6"/>
  <c r="O18" i="6"/>
  <c r="M27" i="6"/>
  <c r="N27" i="6"/>
  <c r="N45" i="6"/>
  <c r="M43" i="6"/>
  <c r="K17" i="6"/>
  <c r="K19" i="6"/>
  <c r="M24" i="6"/>
  <c r="O17" i="6"/>
  <c r="O19" i="6"/>
  <c r="K18" i="6"/>
  <c r="L21" i="6"/>
  <c r="L9" i="6"/>
  <c r="M9" i="6"/>
  <c r="L8" i="6"/>
  <c r="N8" i="6"/>
  <c r="K8" i="6"/>
  <c r="K40" i="6"/>
  <c r="O43" i="6"/>
  <c r="M40" i="6"/>
  <c r="K43" i="6"/>
  <c r="N28" i="6"/>
  <c r="P28" i="6" s="1"/>
  <c r="M12" i="6"/>
  <c r="N12" i="6"/>
  <c r="O8" i="6"/>
  <c r="J30" i="6"/>
  <c r="K23" i="6"/>
  <c r="L23" i="6"/>
  <c r="O23" i="6"/>
  <c r="N23" i="6"/>
  <c r="M23" i="6"/>
  <c r="L44" i="6"/>
  <c r="N44" i="6"/>
  <c r="O10" i="6"/>
  <c r="N10" i="6"/>
  <c r="M10" i="6"/>
  <c r="L10" i="6"/>
  <c r="K10" i="6"/>
  <c r="O20" i="6"/>
  <c r="N20" i="6"/>
  <c r="K20" i="6"/>
  <c r="M20" i="6"/>
  <c r="L20" i="6"/>
  <c r="P32" i="6"/>
  <c r="O7" i="6"/>
  <c r="K14" i="6"/>
  <c r="L17" i="6"/>
  <c r="L18" i="6"/>
  <c r="L19" i="6"/>
  <c r="M21" i="6"/>
  <c r="N24" i="6"/>
  <c r="O26" i="6"/>
  <c r="O27" i="6"/>
  <c r="K41" i="6"/>
  <c r="O45" i="6"/>
  <c r="K12" i="6"/>
  <c r="L14" i="6"/>
  <c r="M17" i="6"/>
  <c r="M18" i="6"/>
  <c r="M19" i="6"/>
  <c r="N21" i="6"/>
  <c r="O24" i="6"/>
  <c r="L41" i="6"/>
  <c r="K9" i="6"/>
  <c r="L12" i="6"/>
  <c r="M14" i="6"/>
  <c r="O21" i="6"/>
  <c r="K38" i="6"/>
  <c r="L40" i="6"/>
  <c r="M41" i="6"/>
  <c r="N14" i="6"/>
  <c r="N41" i="6"/>
  <c r="K7" i="6"/>
  <c r="K26" i="6"/>
  <c r="K27" i="6"/>
  <c r="M38" i="6"/>
  <c r="N40" i="6"/>
  <c r="K45" i="6"/>
  <c r="L7" i="6"/>
  <c r="N9" i="6"/>
  <c r="K24" i="6"/>
  <c r="L26" i="6"/>
  <c r="L27" i="6"/>
  <c r="N38" i="6"/>
  <c r="L45" i="6"/>
  <c r="M7" i="6"/>
  <c r="O25" i="7" l="1"/>
  <c r="L32" i="7"/>
  <c r="K32" i="7"/>
  <c r="N32" i="7"/>
  <c r="M32" i="7"/>
  <c r="P18" i="7"/>
  <c r="P19" i="7"/>
  <c r="K15" i="7"/>
  <c r="M15" i="7"/>
  <c r="N15" i="7"/>
  <c r="O10" i="7"/>
  <c r="O15" i="7"/>
  <c r="M10" i="7"/>
  <c r="L15" i="7"/>
  <c r="L26" i="7"/>
  <c r="K26" i="7"/>
  <c r="M26" i="7"/>
  <c r="N26" i="7"/>
  <c r="N10" i="7"/>
  <c r="L10" i="7"/>
  <c r="K10" i="7"/>
  <c r="P22" i="7"/>
  <c r="P21" i="7"/>
  <c r="P17" i="7"/>
  <c r="P20" i="7"/>
  <c r="P12" i="7"/>
  <c r="P8" i="7"/>
  <c r="P14" i="7"/>
  <c r="P23" i="7"/>
  <c r="P7" i="7"/>
  <c r="P9" i="7"/>
  <c r="P13" i="7"/>
  <c r="O53" i="6"/>
  <c r="N54" i="6"/>
  <c r="N53" i="6"/>
  <c r="L53" i="6"/>
  <c r="K53" i="6"/>
  <c r="L54" i="6"/>
  <c r="M54" i="6"/>
  <c r="K54" i="6"/>
  <c r="P42" i="6"/>
  <c r="P36" i="6"/>
  <c r="P19" i="6"/>
  <c r="O47" i="6"/>
  <c r="L47" i="6"/>
  <c r="K47" i="6"/>
  <c r="N47" i="6"/>
  <c r="M47" i="6"/>
  <c r="P37" i="6"/>
  <c r="P24" i="6"/>
  <c r="P26" i="6"/>
  <c r="P8" i="6"/>
  <c r="P15" i="6"/>
  <c r="P18" i="6"/>
  <c r="P17" i="6"/>
  <c r="P13" i="6"/>
  <c r="P43" i="6"/>
  <c r="P34" i="6"/>
  <c r="P9" i="6"/>
  <c r="N52" i="6"/>
  <c r="P21" i="6"/>
  <c r="P10" i="6"/>
  <c r="O52" i="6"/>
  <c r="O56" i="6" s="1"/>
  <c r="P14" i="6"/>
  <c r="P40" i="6"/>
  <c r="N51" i="6"/>
  <c r="P27" i="6"/>
  <c r="P38" i="6"/>
  <c r="K52" i="6"/>
  <c r="L52" i="6"/>
  <c r="P20" i="6"/>
  <c r="P41" i="6"/>
  <c r="M52" i="6"/>
  <c r="K30" i="6"/>
  <c r="P7" i="6"/>
  <c r="O51" i="6"/>
  <c r="O30" i="6"/>
  <c r="P44" i="6"/>
  <c r="L51" i="6"/>
  <c r="L30" i="6"/>
  <c r="N30" i="6"/>
  <c r="P12" i="6"/>
  <c r="M51" i="6"/>
  <c r="M30" i="6"/>
  <c r="P45" i="6"/>
  <c r="P31" i="6"/>
  <c r="P23" i="6"/>
  <c r="P25" i="7" l="1"/>
  <c r="P33" i="7" s="1"/>
  <c r="O33" i="7"/>
  <c r="O26" i="7"/>
  <c r="O28" i="7" s="1"/>
  <c r="O31" i="7" s="1"/>
  <c r="P32" i="7"/>
  <c r="M28" i="7"/>
  <c r="M31" i="7" s="1"/>
  <c r="P15" i="7"/>
  <c r="L28" i="7"/>
  <c r="L31" i="7" s="1"/>
  <c r="K28" i="7"/>
  <c r="K31" i="7" s="1"/>
  <c r="N28" i="7"/>
  <c r="N31" i="7" s="1"/>
  <c r="P10" i="7"/>
  <c r="P53" i="6"/>
  <c r="P54" i="6"/>
  <c r="P47" i="6"/>
  <c r="P52" i="6"/>
  <c r="L50" i="6"/>
  <c r="K55" i="6"/>
  <c r="N56" i="6"/>
  <c r="N55" i="6"/>
  <c r="K50" i="6"/>
  <c r="L55" i="6"/>
  <c r="O50" i="6"/>
  <c r="O55" i="6"/>
  <c r="M56" i="6"/>
  <c r="K56" i="6"/>
  <c r="M50" i="6"/>
  <c r="N50" i="6"/>
  <c r="M55" i="6"/>
  <c r="P30" i="6"/>
  <c r="P51" i="6"/>
  <c r="L56" i="6"/>
  <c r="P26" i="7" l="1"/>
  <c r="P28" i="7" s="1"/>
  <c r="P31" i="7" s="1"/>
  <c r="R15" i="7"/>
  <c r="P56" i="6"/>
  <c r="P55" i="6"/>
  <c r="P50" i="6"/>
  <c r="I21" i="2" l="1"/>
  <c r="I23" i="2"/>
  <c r="I24" i="2"/>
  <c r="I25" i="2"/>
  <c r="I26" i="2"/>
  <c r="I19" i="2"/>
  <c r="I20" i="2"/>
  <c r="G57" i="3" l="1"/>
  <c r="G58" i="3"/>
  <c r="G59" i="3"/>
  <c r="G60" i="3"/>
  <c r="G61" i="3"/>
  <c r="G62" i="3"/>
  <c r="G63" i="3"/>
  <c r="G64" i="3"/>
  <c r="G65" i="3"/>
  <c r="G66" i="3"/>
  <c r="G67" i="3"/>
  <c r="G68" i="3"/>
  <c r="G69" i="3"/>
  <c r="G70" i="3"/>
  <c r="G71" i="3"/>
  <c r="G56" i="3"/>
  <c r="I20" i="5"/>
  <c r="H20" i="5"/>
  <c r="G20" i="5"/>
  <c r="I19" i="5"/>
  <c r="H19" i="5"/>
  <c r="G19" i="5"/>
  <c r="I18" i="5"/>
  <c r="H18" i="5"/>
  <c r="G18" i="5"/>
  <c r="I16" i="5"/>
  <c r="H16" i="5"/>
  <c r="G16" i="5"/>
  <c r="I15" i="5"/>
  <c r="H15" i="5"/>
  <c r="G15" i="5"/>
  <c r="I14" i="5"/>
  <c r="H14" i="5"/>
  <c r="G14" i="5"/>
  <c r="I12" i="5"/>
  <c r="H12" i="5"/>
  <c r="G12" i="5"/>
  <c r="I11" i="5"/>
  <c r="H11" i="5"/>
  <c r="G11" i="5"/>
  <c r="I10" i="5"/>
  <c r="H10" i="5"/>
  <c r="G10" i="5"/>
  <c r="H6" i="5"/>
  <c r="I6" i="5"/>
  <c r="H7" i="5"/>
  <c r="I7" i="5"/>
  <c r="H8" i="5"/>
  <c r="I8" i="5"/>
  <c r="G7" i="5"/>
  <c r="G8" i="5"/>
  <c r="G6" i="5"/>
  <c r="H21" i="5"/>
  <c r="I21" i="5"/>
  <c r="G21" i="5"/>
  <c r="F17" i="5"/>
  <c r="F13" i="5"/>
  <c r="F9" i="5"/>
  <c r="F5" i="5"/>
  <c r="J26" i="5"/>
  <c r="J27" i="5"/>
  <c r="J28" i="5"/>
  <c r="J29" i="5"/>
  <c r="K26" i="5"/>
  <c r="L26" i="5"/>
  <c r="M26" i="5"/>
  <c r="N26" i="5"/>
  <c r="O26" i="5"/>
  <c r="P26" i="5"/>
  <c r="Q26" i="5"/>
  <c r="R26" i="5"/>
  <c r="S26" i="5"/>
  <c r="K27" i="5"/>
  <c r="L27" i="5"/>
  <c r="M27" i="5"/>
  <c r="N27" i="5"/>
  <c r="O27" i="5"/>
  <c r="P27" i="5"/>
  <c r="Q27" i="5"/>
  <c r="R27" i="5"/>
  <c r="S27" i="5"/>
  <c r="K28" i="5"/>
  <c r="L28" i="5"/>
  <c r="M28" i="5"/>
  <c r="N28" i="5"/>
  <c r="O28" i="5"/>
  <c r="P28" i="5"/>
  <c r="Q28" i="5"/>
  <c r="R28" i="5"/>
  <c r="S28" i="5"/>
  <c r="K29" i="5"/>
  <c r="L29" i="5"/>
  <c r="M29" i="5"/>
  <c r="N29" i="5"/>
  <c r="O29" i="5"/>
  <c r="P29" i="5"/>
  <c r="Q29" i="5"/>
  <c r="R29" i="5"/>
  <c r="S29" i="5"/>
  <c r="J30" i="5"/>
  <c r="K30" i="5"/>
  <c r="L30" i="5"/>
  <c r="M30" i="5"/>
  <c r="N30" i="5"/>
  <c r="O30" i="5"/>
  <c r="P30" i="5"/>
  <c r="Q30" i="5"/>
  <c r="R30" i="5"/>
  <c r="S30" i="5"/>
  <c r="J31" i="5"/>
  <c r="K31" i="5"/>
  <c r="L31" i="5"/>
  <c r="M31" i="5"/>
  <c r="N31" i="5"/>
  <c r="O31" i="5"/>
  <c r="P31" i="5"/>
  <c r="Q31" i="5"/>
  <c r="R31" i="5"/>
  <c r="S31" i="5"/>
  <c r="J32" i="5"/>
  <c r="K32" i="5"/>
  <c r="L32" i="5"/>
  <c r="M32" i="5"/>
  <c r="N32" i="5"/>
  <c r="O32" i="5"/>
  <c r="P32" i="5"/>
  <c r="Q32" i="5"/>
  <c r="R32" i="5"/>
  <c r="S32" i="5"/>
  <c r="J33" i="5"/>
  <c r="K33" i="5"/>
  <c r="L33" i="5"/>
  <c r="M33" i="5"/>
  <c r="N33" i="5"/>
  <c r="O33" i="5"/>
  <c r="P33" i="5"/>
  <c r="Q33" i="5"/>
  <c r="R33" i="5"/>
  <c r="S33" i="5"/>
  <c r="J34" i="5"/>
  <c r="K34" i="5"/>
  <c r="L34" i="5"/>
  <c r="M34" i="5"/>
  <c r="N34" i="5"/>
  <c r="O34" i="5"/>
  <c r="P34" i="5"/>
  <c r="Q34" i="5"/>
  <c r="R34" i="5"/>
  <c r="S34" i="5"/>
  <c r="J35" i="5"/>
  <c r="K35" i="5"/>
  <c r="L35" i="5"/>
  <c r="M35" i="5"/>
  <c r="N35" i="5"/>
  <c r="O35" i="5"/>
  <c r="P35" i="5"/>
  <c r="Q35" i="5"/>
  <c r="R35" i="5"/>
  <c r="S35" i="5"/>
  <c r="R170" i="3" l="1"/>
  <c r="R169" i="3"/>
  <c r="E21" i="4"/>
  <c r="E22" i="4"/>
  <c r="E23" i="4"/>
  <c r="E6" i="4"/>
  <c r="E7" i="4"/>
  <c r="E8" i="4"/>
  <c r="E9" i="4"/>
  <c r="E10" i="4"/>
  <c r="E11" i="4"/>
  <c r="E12" i="4"/>
  <c r="E13" i="4"/>
  <c r="E14" i="4"/>
  <c r="E15" i="4"/>
  <c r="E16" i="4"/>
  <c r="E17" i="4"/>
  <c r="E18" i="4"/>
  <c r="R90" i="3"/>
  <c r="G88" i="3"/>
  <c r="E88" i="3" s="1"/>
  <c r="G27" i="4"/>
  <c r="H27" i="4"/>
  <c r="I27" i="4"/>
  <c r="J27" i="4"/>
  <c r="K27" i="4"/>
  <c r="L27" i="4"/>
  <c r="M27" i="4"/>
  <c r="N27" i="4"/>
  <c r="O27" i="4"/>
  <c r="G28" i="4"/>
  <c r="H28" i="4"/>
  <c r="I28" i="4"/>
  <c r="J28" i="4"/>
  <c r="K28" i="4"/>
  <c r="L28" i="4"/>
  <c r="M28" i="4"/>
  <c r="N28" i="4"/>
  <c r="O28" i="4"/>
  <c r="G29" i="4"/>
  <c r="H29" i="4"/>
  <c r="I29" i="4"/>
  <c r="J29" i="4"/>
  <c r="K29" i="4"/>
  <c r="L29" i="4"/>
  <c r="M29" i="4"/>
  <c r="N29" i="4"/>
  <c r="O29" i="4"/>
  <c r="G30" i="4"/>
  <c r="H30" i="4"/>
  <c r="I30" i="4"/>
  <c r="J30" i="4"/>
  <c r="K30" i="4"/>
  <c r="L30" i="4"/>
  <c r="M30" i="4"/>
  <c r="N30" i="4"/>
  <c r="O30" i="4"/>
  <c r="G31" i="4"/>
  <c r="H31" i="4"/>
  <c r="I31" i="4"/>
  <c r="J31" i="4"/>
  <c r="K31" i="4"/>
  <c r="L31" i="4"/>
  <c r="M31" i="4"/>
  <c r="N31" i="4"/>
  <c r="O31" i="4"/>
  <c r="G32" i="4"/>
  <c r="H32" i="4"/>
  <c r="I32" i="4"/>
  <c r="J32" i="4"/>
  <c r="K32" i="4"/>
  <c r="L32" i="4"/>
  <c r="M32" i="4"/>
  <c r="N32" i="4"/>
  <c r="O32" i="4"/>
  <c r="G33" i="4"/>
  <c r="H33" i="4"/>
  <c r="I33" i="4"/>
  <c r="J33" i="4"/>
  <c r="K33" i="4"/>
  <c r="L33" i="4"/>
  <c r="M33" i="4"/>
  <c r="N33" i="4"/>
  <c r="O33" i="4"/>
  <c r="G34" i="4"/>
  <c r="H34" i="4"/>
  <c r="I34" i="4"/>
  <c r="J34" i="4"/>
  <c r="K34" i="4"/>
  <c r="L34" i="4"/>
  <c r="M34" i="4"/>
  <c r="N34" i="4"/>
  <c r="O34" i="4"/>
  <c r="G35" i="4"/>
  <c r="H35" i="4"/>
  <c r="I35" i="4"/>
  <c r="J35" i="4"/>
  <c r="K35" i="4"/>
  <c r="L35" i="4"/>
  <c r="M35" i="4"/>
  <c r="N35" i="4"/>
  <c r="O35" i="4"/>
  <c r="G36" i="4"/>
  <c r="H36" i="4"/>
  <c r="I36" i="4"/>
  <c r="J36" i="4"/>
  <c r="K36" i="4"/>
  <c r="L36" i="4"/>
  <c r="M36" i="4"/>
  <c r="N36" i="4"/>
  <c r="O36" i="4"/>
  <c r="F28" i="4"/>
  <c r="F29" i="4"/>
  <c r="F30" i="4"/>
  <c r="F31" i="4"/>
  <c r="F32" i="4"/>
  <c r="F33" i="4"/>
  <c r="F34" i="4"/>
  <c r="F35" i="4"/>
  <c r="F36" i="4"/>
  <c r="F27" i="4"/>
  <c r="G78" i="3"/>
  <c r="G79" i="3"/>
  <c r="G80" i="3"/>
  <c r="G81" i="3"/>
  <c r="G82" i="3"/>
  <c r="G83" i="3"/>
  <c r="G84" i="3"/>
  <c r="G85" i="3"/>
  <c r="G86" i="3"/>
  <c r="E86" i="3" s="1"/>
  <c r="G87" i="3"/>
  <c r="E87" i="3" s="1"/>
  <c r="G89" i="3"/>
  <c r="E89" i="3" s="1"/>
  <c r="G91" i="3"/>
  <c r="G93" i="3"/>
  <c r="E93" i="3" s="1"/>
  <c r="G94" i="3"/>
  <c r="E94" i="3" s="1"/>
  <c r="G95" i="3"/>
  <c r="E95" i="3" s="1"/>
  <c r="G96" i="3"/>
  <c r="E96" i="3" s="1"/>
  <c r="G77" i="3"/>
  <c r="L159" i="3"/>
  <c r="M159" i="3"/>
  <c r="P159" i="3"/>
  <c r="D6" i="4"/>
  <c r="D20" i="4" s="1"/>
  <c r="D13" i="4"/>
  <c r="D9" i="4"/>
  <c r="D10" i="4"/>
  <c r="D21" i="4" s="1"/>
  <c r="D8" i="4"/>
  <c r="Q154" i="3"/>
  <c r="P154" i="3"/>
  <c r="O154" i="3"/>
  <c r="N154" i="3"/>
  <c r="M154" i="3"/>
  <c r="L154" i="3"/>
  <c r="K154" i="3"/>
  <c r="J154" i="3"/>
  <c r="I154" i="3"/>
  <c r="H154" i="3"/>
  <c r="Q140" i="3"/>
  <c r="P140" i="3"/>
  <c r="O140" i="3"/>
  <c r="N140" i="3"/>
  <c r="M140" i="3"/>
  <c r="L140" i="3"/>
  <c r="K140" i="3"/>
  <c r="J140" i="3"/>
  <c r="I140" i="3"/>
  <c r="H140" i="3"/>
  <c r="Q126" i="3"/>
  <c r="P126" i="3"/>
  <c r="O126" i="3"/>
  <c r="N126" i="3"/>
  <c r="M126" i="3"/>
  <c r="L126" i="3"/>
  <c r="K126" i="3"/>
  <c r="J126" i="3"/>
  <c r="I126" i="3"/>
  <c r="H126" i="3"/>
  <c r="I111" i="3"/>
  <c r="J111" i="3"/>
  <c r="K111" i="3"/>
  <c r="L111" i="3"/>
  <c r="M111" i="3"/>
  <c r="N111" i="3"/>
  <c r="O111" i="3"/>
  <c r="P111" i="3"/>
  <c r="Q111" i="3"/>
  <c r="H111" i="3"/>
  <c r="R156" i="3"/>
  <c r="R165" i="3" l="1"/>
  <c r="F37" i="4"/>
  <c r="J37" i="4"/>
  <c r="L78" i="3" s="1"/>
  <c r="P36" i="4"/>
  <c r="F35" i="5" s="1"/>
  <c r="G35" i="5" s="1"/>
  <c r="P28" i="4"/>
  <c r="F27" i="5" s="1"/>
  <c r="G27" i="5" s="1"/>
  <c r="I37" i="4"/>
  <c r="K78" i="3" s="1"/>
  <c r="P35" i="4"/>
  <c r="F34" i="5" s="1"/>
  <c r="G34" i="5" s="1"/>
  <c r="H37" i="4"/>
  <c r="J78" i="3" s="1"/>
  <c r="K37" i="4"/>
  <c r="M85" i="3" s="1"/>
  <c r="P34" i="4"/>
  <c r="F33" i="5" s="1"/>
  <c r="G33" i="5" s="1"/>
  <c r="P30" i="4"/>
  <c r="F29" i="5" s="1"/>
  <c r="G29" i="5" s="1"/>
  <c r="O37" i="4"/>
  <c r="P27" i="4"/>
  <c r="F26" i="5" s="1"/>
  <c r="G26" i="5" s="1"/>
  <c r="P33" i="4"/>
  <c r="F32" i="5" s="1"/>
  <c r="G32" i="5" s="1"/>
  <c r="P29" i="4"/>
  <c r="F28" i="5" s="1"/>
  <c r="G28" i="5" s="1"/>
  <c r="N37" i="4"/>
  <c r="P78" i="3" s="1"/>
  <c r="P32" i="4"/>
  <c r="F31" i="5" s="1"/>
  <c r="G31" i="5" s="1"/>
  <c r="M37" i="4"/>
  <c r="O85" i="3" s="1"/>
  <c r="P31" i="4"/>
  <c r="F30" i="5" s="1"/>
  <c r="G30" i="5" s="1"/>
  <c r="L37" i="4"/>
  <c r="N78" i="3" s="1"/>
  <c r="G37" i="4"/>
  <c r="I78" i="3" s="1"/>
  <c r="D11" i="4"/>
  <c r="D5" i="4"/>
  <c r="D7" i="4"/>
  <c r="P160" i="3"/>
  <c r="K160" i="3"/>
  <c r="O160" i="3"/>
  <c r="M160" i="3"/>
  <c r="J160" i="3"/>
  <c r="Q160" i="3"/>
  <c r="I160" i="3"/>
  <c r="N160" i="3"/>
  <c r="L160" i="3"/>
  <c r="H160" i="3"/>
  <c r="R154" i="3"/>
  <c r="R126" i="3"/>
  <c r="R140" i="3"/>
  <c r="R111" i="3"/>
  <c r="M74" i="3"/>
  <c r="J74" i="3"/>
  <c r="I54" i="3"/>
  <c r="K36" i="5" s="1"/>
  <c r="J54" i="3"/>
  <c r="L36" i="5" s="1"/>
  <c r="K54" i="3"/>
  <c r="M36" i="5" s="1"/>
  <c r="L54" i="3"/>
  <c r="N36" i="5" s="1"/>
  <c r="M54" i="3"/>
  <c r="O36" i="5" s="1"/>
  <c r="N54" i="3"/>
  <c r="P36" i="5" s="1"/>
  <c r="O54" i="3"/>
  <c r="Q36" i="5" s="1"/>
  <c r="P54" i="3"/>
  <c r="R36" i="5" s="1"/>
  <c r="Q54" i="3"/>
  <c r="S36" i="5" s="1"/>
  <c r="H54" i="3"/>
  <c r="J36" i="5" s="1"/>
  <c r="R9" i="3"/>
  <c r="R10" i="3"/>
  <c r="R11" i="3"/>
  <c r="R12" i="3"/>
  <c r="R13" i="3"/>
  <c r="R14" i="3"/>
  <c r="R15" i="3"/>
  <c r="R16" i="3"/>
  <c r="R17" i="3"/>
  <c r="R18" i="3"/>
  <c r="R19" i="3"/>
  <c r="R22" i="3"/>
  <c r="R23" i="3"/>
  <c r="R24" i="3"/>
  <c r="R25" i="3"/>
  <c r="R26" i="3"/>
  <c r="R27" i="3"/>
  <c r="R28" i="3"/>
  <c r="R29" i="3"/>
  <c r="R30" i="3"/>
  <c r="R33" i="3"/>
  <c r="R34" i="3"/>
  <c r="R35" i="3"/>
  <c r="R36" i="3"/>
  <c r="R7" i="3"/>
  <c r="I37" i="3"/>
  <c r="J37" i="3"/>
  <c r="K37" i="3"/>
  <c r="L37" i="3"/>
  <c r="M37" i="3"/>
  <c r="N37" i="3"/>
  <c r="O37" i="3"/>
  <c r="P37" i="3"/>
  <c r="Q37" i="3"/>
  <c r="H37" i="3"/>
  <c r="I31" i="3"/>
  <c r="J31" i="3"/>
  <c r="K31" i="3"/>
  <c r="L31" i="3"/>
  <c r="M31" i="3"/>
  <c r="N31" i="3"/>
  <c r="O31" i="3"/>
  <c r="P31" i="3"/>
  <c r="Q31" i="3"/>
  <c r="H31" i="3"/>
  <c r="I20" i="3"/>
  <c r="J20" i="3"/>
  <c r="K20" i="3"/>
  <c r="L20" i="3"/>
  <c r="M20" i="3"/>
  <c r="N20" i="3"/>
  <c r="O20" i="3"/>
  <c r="P20" i="3"/>
  <c r="Q20" i="3"/>
  <c r="H20" i="3"/>
  <c r="H23" i="1"/>
  <c r="I23" i="1"/>
  <c r="J23" i="1"/>
  <c r="K23" i="1"/>
  <c r="L23" i="1"/>
  <c r="M23" i="1"/>
  <c r="N23" i="1"/>
  <c r="O23" i="1"/>
  <c r="P23" i="1"/>
  <c r="G23" i="1"/>
  <c r="I162" i="3"/>
  <c r="O162" i="3"/>
  <c r="P162" i="3"/>
  <c r="Q162" i="3"/>
  <c r="I167" i="3"/>
  <c r="O167" i="3"/>
  <c r="P167" i="3"/>
  <c r="Q167" i="3"/>
  <c r="H167" i="3"/>
  <c r="H162" i="3"/>
  <c r="I142" i="3"/>
  <c r="Q142" i="3"/>
  <c r="I128" i="3"/>
  <c r="Q128" i="3"/>
  <c r="H142" i="3"/>
  <c r="H128" i="3"/>
  <c r="I113" i="3"/>
  <c r="J113" i="3"/>
  <c r="N113" i="3"/>
  <c r="N158" i="3" s="1"/>
  <c r="O113" i="3"/>
  <c r="Q113" i="3"/>
  <c r="I114" i="3"/>
  <c r="K114" i="3"/>
  <c r="Q114" i="3"/>
  <c r="H114" i="3"/>
  <c r="H113" i="3"/>
  <c r="I98" i="3"/>
  <c r="J98" i="3"/>
  <c r="Q98" i="3"/>
  <c r="H98" i="3"/>
  <c r="H158" i="3" s="1"/>
  <c r="I41" i="3"/>
  <c r="N41" i="3"/>
  <c r="O41" i="3"/>
  <c r="P41" i="3"/>
  <c r="Q41" i="3"/>
  <c r="I42" i="3"/>
  <c r="K42" i="3"/>
  <c r="K74" i="3" s="1"/>
  <c r="L42" i="3"/>
  <c r="L74" i="3" s="1"/>
  <c r="N42" i="3"/>
  <c r="O42" i="3"/>
  <c r="P42" i="3"/>
  <c r="Q42" i="3"/>
  <c r="H42" i="3"/>
  <c r="H41" i="3"/>
  <c r="G25" i="1"/>
  <c r="H25" i="1"/>
  <c r="O158" i="3" l="1"/>
  <c r="O159" i="3" s="1"/>
  <c r="J158" i="3"/>
  <c r="Q158" i="3"/>
  <c r="Q159" i="3" s="1"/>
  <c r="I158" i="3"/>
  <c r="I159" i="3" s="1"/>
  <c r="I173" i="3"/>
  <c r="K159" i="3"/>
  <c r="K158" i="3"/>
  <c r="P173" i="3"/>
  <c r="O173" i="3"/>
  <c r="H173" i="3"/>
  <c r="Q173" i="3"/>
  <c r="O13" i="5"/>
  <c r="M64" i="3" s="1"/>
  <c r="O5" i="5"/>
  <c r="M56" i="3" s="1"/>
  <c r="O17" i="5"/>
  <c r="M68" i="3" s="1"/>
  <c r="O9" i="5"/>
  <c r="M60" i="3" s="1"/>
  <c r="N13" i="5"/>
  <c r="L64" i="3" s="1"/>
  <c r="N5" i="5"/>
  <c r="L56" i="3" s="1"/>
  <c r="N17" i="5"/>
  <c r="L68" i="3" s="1"/>
  <c r="N9" i="5"/>
  <c r="L60" i="3" s="1"/>
  <c r="M9" i="5"/>
  <c r="K60" i="3" s="1"/>
  <c r="M17" i="5"/>
  <c r="K68" i="3" s="1"/>
  <c r="M13" i="5"/>
  <c r="K64" i="3" s="1"/>
  <c r="M5" i="5"/>
  <c r="K56" i="3" s="1"/>
  <c r="J9" i="5"/>
  <c r="H60" i="3" s="1"/>
  <c r="J17" i="5"/>
  <c r="H68" i="3" s="1"/>
  <c r="J5" i="5"/>
  <c r="H56" i="3" s="1"/>
  <c r="J13" i="5"/>
  <c r="H64" i="3" s="1"/>
  <c r="L9" i="5"/>
  <c r="J60" i="3" s="1"/>
  <c r="L17" i="5"/>
  <c r="J68" i="3" s="1"/>
  <c r="L13" i="5"/>
  <c r="J64" i="3" s="1"/>
  <c r="L5" i="5"/>
  <c r="J56" i="3" s="1"/>
  <c r="S5" i="5"/>
  <c r="Q56" i="3" s="1"/>
  <c r="S9" i="5"/>
  <c r="Q60" i="3" s="1"/>
  <c r="S13" i="5"/>
  <c r="Q64" i="3" s="1"/>
  <c r="S17" i="5"/>
  <c r="Q68" i="3" s="1"/>
  <c r="K5" i="5"/>
  <c r="I56" i="3" s="1"/>
  <c r="K17" i="5"/>
  <c r="I68" i="3" s="1"/>
  <c r="K9" i="5"/>
  <c r="I60" i="3" s="1"/>
  <c r="K13" i="5"/>
  <c r="I64" i="3" s="1"/>
  <c r="P17" i="5"/>
  <c r="N68" i="3" s="1"/>
  <c r="P9" i="5"/>
  <c r="N60" i="3" s="1"/>
  <c r="P13" i="5"/>
  <c r="N64" i="3" s="1"/>
  <c r="P5" i="5"/>
  <c r="N56" i="3" s="1"/>
  <c r="R5" i="5"/>
  <c r="P56" i="3" s="1"/>
  <c r="R9" i="5"/>
  <c r="P60" i="3" s="1"/>
  <c r="R13" i="5"/>
  <c r="P64" i="3" s="1"/>
  <c r="R17" i="5"/>
  <c r="P68" i="3" s="1"/>
  <c r="Q17" i="5"/>
  <c r="O68" i="3" s="1"/>
  <c r="Q5" i="5"/>
  <c r="O56" i="3" s="1"/>
  <c r="Q9" i="5"/>
  <c r="O60" i="3" s="1"/>
  <c r="Q13" i="5"/>
  <c r="O64" i="3" s="1"/>
  <c r="N85" i="3"/>
  <c r="N87" i="3"/>
  <c r="K82" i="3"/>
  <c r="P86" i="3"/>
  <c r="N77" i="3"/>
  <c r="N88" i="3"/>
  <c r="N86" i="3"/>
  <c r="N80" i="3"/>
  <c r="Q79" i="3"/>
  <c r="Q80" i="3"/>
  <c r="Q89" i="3"/>
  <c r="Q82" i="3"/>
  <c r="Q87" i="3"/>
  <c r="Q77" i="3"/>
  <c r="Q88" i="3"/>
  <c r="Q84" i="3"/>
  <c r="Q83" i="3"/>
  <c r="Q81" i="3"/>
  <c r="L89" i="3"/>
  <c r="J79" i="3"/>
  <c r="J84" i="3"/>
  <c r="L87" i="3"/>
  <c r="L84" i="3"/>
  <c r="L80" i="3"/>
  <c r="L77" i="3"/>
  <c r="L79" i="3"/>
  <c r="L88" i="3"/>
  <c r="P79" i="3"/>
  <c r="P81" i="3"/>
  <c r="I85" i="3"/>
  <c r="O89" i="3"/>
  <c r="O77" i="3"/>
  <c r="O87" i="3"/>
  <c r="O88" i="3"/>
  <c r="O84" i="3"/>
  <c r="O79" i="3"/>
  <c r="O81" i="3"/>
  <c r="O83" i="3"/>
  <c r="O80" i="3"/>
  <c r="H84" i="3"/>
  <c r="H86" i="3"/>
  <c r="H78" i="3"/>
  <c r="H87" i="3"/>
  <c r="H79" i="3"/>
  <c r="H88" i="3"/>
  <c r="H80" i="3"/>
  <c r="H89" i="3"/>
  <c r="H81" i="3"/>
  <c r="H83" i="3"/>
  <c r="H82" i="3"/>
  <c r="N81" i="3"/>
  <c r="N83" i="3"/>
  <c r="O86" i="3"/>
  <c r="Q86" i="3"/>
  <c r="O82" i="3"/>
  <c r="M77" i="3"/>
  <c r="M82" i="3"/>
  <c r="M88" i="3"/>
  <c r="M87" i="3"/>
  <c r="M78" i="3"/>
  <c r="M81" i="3"/>
  <c r="M89" i="3"/>
  <c r="M80" i="3"/>
  <c r="M83" i="3"/>
  <c r="M79" i="3"/>
  <c r="M86" i="3"/>
  <c r="N79" i="3"/>
  <c r="L83" i="3"/>
  <c r="L85" i="3"/>
  <c r="O78" i="3"/>
  <c r="K86" i="3"/>
  <c r="K85" i="3"/>
  <c r="I84" i="3"/>
  <c r="I80" i="3"/>
  <c r="I81" i="3"/>
  <c r="I83" i="3"/>
  <c r="I87" i="3"/>
  <c r="I77" i="3"/>
  <c r="I88" i="3"/>
  <c r="I82" i="3"/>
  <c r="I89" i="3"/>
  <c r="P80" i="3"/>
  <c r="P82" i="3"/>
  <c r="P77" i="3"/>
  <c r="P88" i="3"/>
  <c r="P84" i="3"/>
  <c r="J81" i="3"/>
  <c r="J89" i="3"/>
  <c r="J80" i="3"/>
  <c r="J82" i="3"/>
  <c r="J77" i="3"/>
  <c r="J88" i="3"/>
  <c r="L81" i="3"/>
  <c r="J85" i="3"/>
  <c r="J87" i="3"/>
  <c r="Q78" i="3"/>
  <c r="P83" i="3"/>
  <c r="I79" i="3"/>
  <c r="J83" i="3"/>
  <c r="P87" i="3"/>
  <c r="P89" i="3"/>
  <c r="L82" i="3"/>
  <c r="N82" i="3"/>
  <c r="L86" i="3"/>
  <c r="M84" i="3"/>
  <c r="K87" i="3"/>
  <c r="K84" i="3"/>
  <c r="K80" i="3"/>
  <c r="K81" i="3"/>
  <c r="K83" i="3"/>
  <c r="K79" i="3"/>
  <c r="K77" i="3"/>
  <c r="K88" i="3"/>
  <c r="K89" i="3"/>
  <c r="P85" i="3"/>
  <c r="N89" i="3"/>
  <c r="I86" i="3"/>
  <c r="Q85" i="3"/>
  <c r="J86" i="3"/>
  <c r="N84" i="3"/>
  <c r="H85" i="3"/>
  <c r="J159" i="3"/>
  <c r="P37" i="4"/>
  <c r="H159" i="3"/>
  <c r="N159" i="3"/>
  <c r="D15" i="4"/>
  <c r="R160" i="3"/>
  <c r="Q172" i="3"/>
  <c r="I172" i="3"/>
  <c r="P172" i="3"/>
  <c r="J172" i="3"/>
  <c r="O172" i="3"/>
  <c r="N172" i="3"/>
  <c r="M172" i="3"/>
  <c r="H172" i="3"/>
  <c r="L172" i="3"/>
  <c r="K172" i="3"/>
  <c r="H74" i="3"/>
  <c r="P74" i="3"/>
  <c r="O74" i="3"/>
  <c r="Q74" i="3"/>
  <c r="N74" i="3"/>
  <c r="I74" i="3"/>
  <c r="R54" i="3"/>
  <c r="T36" i="5" s="1"/>
  <c r="N39" i="3"/>
  <c r="R31" i="3"/>
  <c r="R20" i="3"/>
  <c r="R37" i="3"/>
  <c r="Q39" i="3"/>
  <c r="I39" i="3"/>
  <c r="M39" i="3"/>
  <c r="L39" i="3"/>
  <c r="K39" i="3"/>
  <c r="O39" i="3"/>
  <c r="P39" i="3"/>
  <c r="H39" i="3"/>
  <c r="H75" i="3" s="1"/>
  <c r="J39" i="3"/>
  <c r="R114" i="3"/>
  <c r="R173" i="3" l="1"/>
  <c r="H178" i="3"/>
  <c r="R177" i="3"/>
  <c r="J72" i="3"/>
  <c r="K72" i="3"/>
  <c r="N72" i="3"/>
  <c r="R64" i="3"/>
  <c r="H72" i="3"/>
  <c r="R56" i="3"/>
  <c r="O72" i="3"/>
  <c r="R68" i="3"/>
  <c r="L72" i="3"/>
  <c r="Q72" i="3"/>
  <c r="R60" i="3"/>
  <c r="M72" i="3"/>
  <c r="P72" i="3"/>
  <c r="I72" i="3"/>
  <c r="Q12" i="5"/>
  <c r="O63" i="3" s="1"/>
  <c r="Q11" i="5"/>
  <c r="O62" i="3" s="1"/>
  <c r="Q10" i="5"/>
  <c r="O61" i="3" s="1"/>
  <c r="P16" i="5"/>
  <c r="N67" i="3" s="1"/>
  <c r="P15" i="5"/>
  <c r="N66" i="3" s="1"/>
  <c r="P14" i="5"/>
  <c r="N65" i="3" s="1"/>
  <c r="S16" i="5"/>
  <c r="Q67" i="3" s="1"/>
  <c r="S15" i="5"/>
  <c r="Q66" i="3" s="1"/>
  <c r="S14" i="5"/>
  <c r="Q65" i="3" s="1"/>
  <c r="T13" i="5"/>
  <c r="J14" i="5"/>
  <c r="H65" i="3" s="1"/>
  <c r="C13" i="5"/>
  <c r="J15" i="5"/>
  <c r="H66" i="3" s="1"/>
  <c r="J16" i="5"/>
  <c r="H67" i="3" s="1"/>
  <c r="N12" i="5"/>
  <c r="L63" i="3" s="1"/>
  <c r="N11" i="5"/>
  <c r="L62" i="3" s="1"/>
  <c r="N10" i="5"/>
  <c r="L61" i="3" s="1"/>
  <c r="Q6" i="5"/>
  <c r="O57" i="3" s="1"/>
  <c r="Q21" i="5"/>
  <c r="Q22" i="5" s="1"/>
  <c r="Q7" i="5"/>
  <c r="O58" i="3" s="1"/>
  <c r="Q8" i="5"/>
  <c r="O59" i="3" s="1"/>
  <c r="P12" i="5"/>
  <c r="N63" i="3" s="1"/>
  <c r="P10" i="5"/>
  <c r="N61" i="3" s="1"/>
  <c r="P11" i="5"/>
  <c r="N62" i="3" s="1"/>
  <c r="S10" i="5"/>
  <c r="Q61" i="3" s="1"/>
  <c r="S12" i="5"/>
  <c r="Q63" i="3" s="1"/>
  <c r="S11" i="5"/>
  <c r="Q62" i="3" s="1"/>
  <c r="J6" i="5"/>
  <c r="H57" i="3" s="1"/>
  <c r="J21" i="5"/>
  <c r="C5" i="5"/>
  <c r="J8" i="5"/>
  <c r="H59" i="3" s="1"/>
  <c r="J7" i="5"/>
  <c r="H58" i="3" s="1"/>
  <c r="T5" i="5"/>
  <c r="N19" i="5"/>
  <c r="L70" i="3" s="1"/>
  <c r="N20" i="5"/>
  <c r="L71" i="3" s="1"/>
  <c r="N18" i="5"/>
  <c r="L69" i="3" s="1"/>
  <c r="Q20" i="5"/>
  <c r="O71" i="3" s="1"/>
  <c r="Q18" i="5"/>
  <c r="O69" i="3" s="1"/>
  <c r="Q19" i="5"/>
  <c r="O70" i="3" s="1"/>
  <c r="P20" i="5"/>
  <c r="N71" i="3" s="1"/>
  <c r="P18" i="5"/>
  <c r="N69" i="3" s="1"/>
  <c r="P19" i="5"/>
  <c r="N70" i="3" s="1"/>
  <c r="S8" i="5"/>
  <c r="Q59" i="3" s="1"/>
  <c r="S7" i="5"/>
  <c r="Q58" i="3" s="1"/>
  <c r="S6" i="5"/>
  <c r="Q57" i="3" s="1"/>
  <c r="S21" i="5"/>
  <c r="S22" i="5" s="1"/>
  <c r="J18" i="5"/>
  <c r="H69" i="3" s="1"/>
  <c r="C17" i="5"/>
  <c r="T17" i="5"/>
  <c r="J20" i="5"/>
  <c r="H71" i="3" s="1"/>
  <c r="J19" i="5"/>
  <c r="H70" i="3" s="1"/>
  <c r="N8" i="5"/>
  <c r="L59" i="3" s="1"/>
  <c r="N6" i="5"/>
  <c r="L57" i="3" s="1"/>
  <c r="N7" i="5"/>
  <c r="L58" i="3" s="1"/>
  <c r="N21" i="5"/>
  <c r="N22" i="5" s="1"/>
  <c r="R18" i="5"/>
  <c r="P69" i="3" s="1"/>
  <c r="R20" i="5"/>
  <c r="P71" i="3" s="1"/>
  <c r="R19" i="5"/>
  <c r="P70" i="3" s="1"/>
  <c r="K14" i="5"/>
  <c r="I65" i="3" s="1"/>
  <c r="K15" i="5"/>
  <c r="I66" i="3" s="1"/>
  <c r="K16" i="5"/>
  <c r="I67" i="3" s="1"/>
  <c r="J11" i="5"/>
  <c r="H62" i="3" s="1"/>
  <c r="J12" i="5"/>
  <c r="H63" i="3" s="1"/>
  <c r="J10" i="5"/>
  <c r="H61" i="3" s="1"/>
  <c r="T9" i="5"/>
  <c r="C9" i="5"/>
  <c r="N16" i="5"/>
  <c r="L67" i="3" s="1"/>
  <c r="N14" i="5"/>
  <c r="L65" i="3" s="1"/>
  <c r="N15" i="5"/>
  <c r="L66" i="3" s="1"/>
  <c r="R15" i="5"/>
  <c r="P66" i="3" s="1"/>
  <c r="R16" i="5"/>
  <c r="P67" i="3" s="1"/>
  <c r="R14" i="5"/>
  <c r="P65" i="3" s="1"/>
  <c r="K11" i="5"/>
  <c r="I62" i="3" s="1"/>
  <c r="K12" i="5"/>
  <c r="I63" i="3" s="1"/>
  <c r="K10" i="5"/>
  <c r="I61" i="3" s="1"/>
  <c r="L8" i="5"/>
  <c r="J59" i="3" s="1"/>
  <c r="L7" i="5"/>
  <c r="J58" i="3" s="1"/>
  <c r="L21" i="5"/>
  <c r="L22" i="5" s="1"/>
  <c r="L6" i="5"/>
  <c r="J57" i="3" s="1"/>
  <c r="M6" i="5"/>
  <c r="K57" i="3" s="1"/>
  <c r="M7" i="5"/>
  <c r="K58" i="3" s="1"/>
  <c r="M21" i="5"/>
  <c r="M22" i="5" s="1"/>
  <c r="M8" i="5"/>
  <c r="K59" i="3" s="1"/>
  <c r="O11" i="5"/>
  <c r="M62" i="3" s="1"/>
  <c r="O10" i="5"/>
  <c r="M61" i="3" s="1"/>
  <c r="O12" i="5"/>
  <c r="M63" i="3" s="1"/>
  <c r="R12" i="5"/>
  <c r="P63" i="3" s="1"/>
  <c r="R11" i="5"/>
  <c r="P62" i="3" s="1"/>
  <c r="R10" i="5"/>
  <c r="P61" i="3" s="1"/>
  <c r="K18" i="5"/>
  <c r="I69" i="3" s="1"/>
  <c r="K19" i="5"/>
  <c r="I70" i="3" s="1"/>
  <c r="K20" i="5"/>
  <c r="I71" i="3" s="1"/>
  <c r="L14" i="5"/>
  <c r="J65" i="3" s="1"/>
  <c r="L16" i="5"/>
  <c r="J67" i="3" s="1"/>
  <c r="L15" i="5"/>
  <c r="J66" i="3" s="1"/>
  <c r="M16" i="5"/>
  <c r="K67" i="3" s="1"/>
  <c r="M15" i="5"/>
  <c r="K66" i="3" s="1"/>
  <c r="M14" i="5"/>
  <c r="K65" i="3" s="1"/>
  <c r="O19" i="5"/>
  <c r="M70" i="3" s="1"/>
  <c r="O20" i="5"/>
  <c r="M71" i="3" s="1"/>
  <c r="O18" i="5"/>
  <c r="M69" i="3" s="1"/>
  <c r="R7" i="5"/>
  <c r="P58" i="3" s="1"/>
  <c r="R8" i="5"/>
  <c r="P59" i="3" s="1"/>
  <c r="R6" i="5"/>
  <c r="P57" i="3" s="1"/>
  <c r="R21" i="5"/>
  <c r="R22" i="5" s="1"/>
  <c r="K8" i="5"/>
  <c r="I59" i="3" s="1"/>
  <c r="K6" i="5"/>
  <c r="I57" i="3" s="1"/>
  <c r="K7" i="5"/>
  <c r="I58" i="3" s="1"/>
  <c r="K21" i="5"/>
  <c r="K22" i="5" s="1"/>
  <c r="L19" i="5"/>
  <c r="J70" i="3" s="1"/>
  <c r="L18" i="5"/>
  <c r="J69" i="3" s="1"/>
  <c r="L20" i="5"/>
  <c r="J71" i="3" s="1"/>
  <c r="M20" i="5"/>
  <c r="K71" i="3" s="1"/>
  <c r="M19" i="5"/>
  <c r="K70" i="3" s="1"/>
  <c r="M18" i="5"/>
  <c r="K69" i="3" s="1"/>
  <c r="O7" i="5"/>
  <c r="M58" i="3" s="1"/>
  <c r="O8" i="5"/>
  <c r="M59" i="3" s="1"/>
  <c r="O6" i="5"/>
  <c r="M57" i="3" s="1"/>
  <c r="O21" i="5"/>
  <c r="O22" i="5" s="1"/>
  <c r="Q16" i="5"/>
  <c r="O67" i="3" s="1"/>
  <c r="Q15" i="5"/>
  <c r="O66" i="3" s="1"/>
  <c r="Q14" i="5"/>
  <c r="O65" i="3" s="1"/>
  <c r="P7" i="5"/>
  <c r="N58" i="3" s="1"/>
  <c r="P8" i="5"/>
  <c r="N59" i="3" s="1"/>
  <c r="P6" i="5"/>
  <c r="N57" i="3" s="1"/>
  <c r="P21" i="5"/>
  <c r="P22" i="5" s="1"/>
  <c r="S18" i="5"/>
  <c r="Q69" i="3" s="1"/>
  <c r="S19" i="5"/>
  <c r="Q70" i="3" s="1"/>
  <c r="S20" i="5"/>
  <c r="Q71" i="3" s="1"/>
  <c r="L12" i="5"/>
  <c r="J63" i="3" s="1"/>
  <c r="L11" i="5"/>
  <c r="J62" i="3" s="1"/>
  <c r="L10" i="5"/>
  <c r="J61" i="3" s="1"/>
  <c r="M10" i="5"/>
  <c r="K61" i="3" s="1"/>
  <c r="M12" i="5"/>
  <c r="K63" i="3" s="1"/>
  <c r="M11" i="5"/>
  <c r="K62" i="3" s="1"/>
  <c r="O16" i="5"/>
  <c r="M67" i="3" s="1"/>
  <c r="O15" i="5"/>
  <c r="M66" i="3" s="1"/>
  <c r="O14" i="5"/>
  <c r="M65" i="3" s="1"/>
  <c r="R79" i="3"/>
  <c r="R83" i="3"/>
  <c r="R87" i="3"/>
  <c r="R86" i="3"/>
  <c r="R85" i="3"/>
  <c r="R80" i="3"/>
  <c r="R82" i="3"/>
  <c r="R78" i="3"/>
  <c r="R89" i="3"/>
  <c r="R84" i="3"/>
  <c r="R81" i="3"/>
  <c r="R88" i="3"/>
  <c r="D16" i="4"/>
  <c r="D17" i="4" s="1"/>
  <c r="D18" i="4" s="1"/>
  <c r="N176" i="3"/>
  <c r="P176" i="3"/>
  <c r="Q37" i="4"/>
  <c r="J176" i="3"/>
  <c r="Q176" i="3"/>
  <c r="K176" i="3"/>
  <c r="R159" i="3"/>
  <c r="L176" i="3"/>
  <c r="O176" i="3"/>
  <c r="H176" i="3"/>
  <c r="I176" i="3"/>
  <c r="M176" i="3"/>
  <c r="O175" i="3"/>
  <c r="I175" i="3"/>
  <c r="K175" i="3"/>
  <c r="Q175" i="3"/>
  <c r="M175" i="3"/>
  <c r="J175" i="3"/>
  <c r="P175" i="3"/>
  <c r="L175" i="3"/>
  <c r="N175" i="3"/>
  <c r="H175" i="3"/>
  <c r="J75" i="3"/>
  <c r="Q75" i="3"/>
  <c r="I75" i="3"/>
  <c r="P75" i="3"/>
  <c r="O75" i="3"/>
  <c r="O178" i="3" s="1"/>
  <c r="K75" i="3"/>
  <c r="M75" i="3"/>
  <c r="L75" i="3"/>
  <c r="N75" i="3"/>
  <c r="R39" i="3"/>
  <c r="R72" i="3" l="1"/>
  <c r="R66" i="3"/>
  <c r="R59" i="3"/>
  <c r="R62" i="3"/>
  <c r="R57" i="3"/>
  <c r="R70" i="3"/>
  <c r="R65" i="3"/>
  <c r="R69" i="3"/>
  <c r="R67" i="3"/>
  <c r="R71" i="3"/>
  <c r="R63" i="3"/>
  <c r="R61" i="3"/>
  <c r="R58" i="3"/>
  <c r="T10" i="5"/>
  <c r="C10" i="5"/>
  <c r="C12" i="5"/>
  <c r="T12" i="5"/>
  <c r="T18" i="5"/>
  <c r="C18" i="5"/>
  <c r="T8" i="5"/>
  <c r="C8" i="5"/>
  <c r="C11" i="5"/>
  <c r="T11" i="5"/>
  <c r="T16" i="5"/>
  <c r="C16" i="5"/>
  <c r="J22" i="5"/>
  <c r="T21" i="5"/>
  <c r="C21" i="5"/>
  <c r="D5" i="5" s="1"/>
  <c r="T15" i="5"/>
  <c r="C15" i="5"/>
  <c r="T7" i="5"/>
  <c r="C7" i="5"/>
  <c r="C6" i="5"/>
  <c r="T6" i="5"/>
  <c r="C19" i="5"/>
  <c r="T19" i="5"/>
  <c r="T14" i="5"/>
  <c r="C14" i="5"/>
  <c r="T20" i="5"/>
  <c r="C20" i="5"/>
  <c r="D22" i="4"/>
  <c r="R176" i="3"/>
  <c r="E5" i="4"/>
  <c r="D23" i="4"/>
  <c r="I178" i="3"/>
  <c r="N178" i="3"/>
  <c r="J178" i="3"/>
  <c r="Q178" i="3"/>
  <c r="K178" i="3"/>
  <c r="L178" i="3"/>
  <c r="P178" i="3"/>
  <c r="M178" i="3"/>
  <c r="R75" i="3"/>
  <c r="R178" i="3" l="1"/>
  <c r="D19" i="5"/>
  <c r="D8" i="5"/>
  <c r="D13" i="5"/>
  <c r="D18" i="5"/>
  <c r="D6" i="5"/>
  <c r="D16" i="5"/>
  <c r="D7" i="5"/>
  <c r="D14" i="5"/>
  <c r="D12" i="5"/>
  <c r="D9" i="5"/>
  <c r="D21" i="5"/>
  <c r="D20" i="5"/>
  <c r="D15" i="5"/>
  <c r="D10" i="5"/>
  <c r="D17" i="5"/>
  <c r="D11" i="5"/>
  <c r="L91" i="3"/>
  <c r="H91" i="3"/>
  <c r="N91" i="3"/>
  <c r="O91" i="3"/>
  <c r="J91" i="3"/>
  <c r="Q91" i="3"/>
  <c r="M91" i="3"/>
  <c r="P91" i="3"/>
  <c r="I91" i="3"/>
  <c r="K91" i="3"/>
  <c r="H77" i="3"/>
  <c r="E20" i="4"/>
  <c r="R91" i="3" l="1"/>
  <c r="M94" i="3"/>
  <c r="J94" i="3"/>
  <c r="P94" i="3"/>
  <c r="I94" i="3"/>
  <c r="H94" i="3"/>
  <c r="L94" i="3"/>
  <c r="N94" i="3"/>
  <c r="K94" i="3"/>
  <c r="O94" i="3"/>
  <c r="Q94" i="3"/>
  <c r="J96" i="3"/>
  <c r="P96" i="3"/>
  <c r="K96" i="3"/>
  <c r="L96" i="3"/>
  <c r="Q96" i="3"/>
  <c r="O96" i="3"/>
  <c r="N96" i="3"/>
  <c r="H96" i="3"/>
  <c r="I96" i="3"/>
  <c r="M96" i="3"/>
  <c r="N95" i="3"/>
  <c r="L95" i="3"/>
  <c r="K95" i="3"/>
  <c r="I95" i="3"/>
  <c r="O95" i="3"/>
  <c r="H95" i="3"/>
  <c r="M95" i="3"/>
  <c r="J95" i="3"/>
  <c r="P95" i="3"/>
  <c r="Q95" i="3"/>
  <c r="J93" i="3"/>
  <c r="L93" i="3"/>
  <c r="N93" i="3"/>
  <c r="K93" i="3"/>
  <c r="H93" i="3"/>
  <c r="M93" i="3"/>
  <c r="O93" i="3"/>
  <c r="Q93" i="3"/>
  <c r="P93" i="3"/>
  <c r="I93" i="3"/>
  <c r="R77" i="3"/>
  <c r="R46" i="3"/>
  <c r="T28" i="5" s="1"/>
  <c r="C28" i="5" s="1"/>
  <c r="R49" i="3"/>
  <c r="T31" i="5" s="1"/>
  <c r="C31" i="5" s="1"/>
  <c r="R50" i="3"/>
  <c r="T32" i="5" s="1"/>
  <c r="C32" i="5" s="1"/>
  <c r="R51" i="3"/>
  <c r="T33" i="5" s="1"/>
  <c r="C33" i="5" s="1"/>
  <c r="R52" i="3"/>
  <c r="T34" i="5" s="1"/>
  <c r="C34" i="5" s="1"/>
  <c r="R53" i="3"/>
  <c r="T35" i="5" s="1"/>
  <c r="C35" i="5" s="1"/>
  <c r="R48" i="3"/>
  <c r="T30" i="5" s="1"/>
  <c r="C30" i="5" s="1"/>
  <c r="R47" i="3"/>
  <c r="T29" i="5" s="1"/>
  <c r="C29" i="5" s="1"/>
  <c r="R45" i="3"/>
  <c r="T27" i="5" s="1"/>
  <c r="C27" i="5" s="1"/>
  <c r="R44" i="3"/>
  <c r="T26" i="5" s="1"/>
  <c r="C26" i="5" s="1"/>
  <c r="R153" i="3"/>
  <c r="R152" i="3"/>
  <c r="R151" i="3"/>
  <c r="R150" i="3"/>
  <c r="R149" i="3"/>
  <c r="R148" i="3"/>
  <c r="R147" i="3"/>
  <c r="R146" i="3"/>
  <c r="R145" i="3"/>
  <c r="R144" i="3"/>
  <c r="C36" i="5" l="1"/>
  <c r="D36" i="5" s="1"/>
  <c r="R96" i="3"/>
  <c r="R93" i="3"/>
  <c r="R94" i="3"/>
  <c r="R95" i="3"/>
  <c r="R139" i="3"/>
  <c r="R138" i="3"/>
  <c r="R137" i="3"/>
  <c r="R136" i="3"/>
  <c r="R135" i="3"/>
  <c r="R134" i="3"/>
  <c r="R133" i="3"/>
  <c r="R132" i="3"/>
  <c r="R131" i="3"/>
  <c r="R130" i="3"/>
  <c r="R158" i="3"/>
  <c r="R125" i="3"/>
  <c r="R124" i="3"/>
  <c r="R123" i="3"/>
  <c r="R122" i="3"/>
  <c r="R121" i="3"/>
  <c r="R120" i="3"/>
  <c r="R119" i="3"/>
  <c r="R118" i="3"/>
  <c r="R117" i="3"/>
  <c r="R116" i="3"/>
  <c r="R101" i="3"/>
  <c r="R110" i="3"/>
  <c r="R109" i="3"/>
  <c r="R108" i="3"/>
  <c r="R107" i="3"/>
  <c r="R106" i="3"/>
  <c r="R105" i="3"/>
  <c r="R104" i="3"/>
  <c r="R102" i="3"/>
  <c r="D30" i="5" l="1"/>
  <c r="D29" i="5"/>
  <c r="D35" i="5"/>
  <c r="D28" i="5"/>
  <c r="D27" i="5"/>
  <c r="D31" i="5"/>
  <c r="D32" i="5"/>
  <c r="D26" i="5"/>
  <c r="D33" i="5"/>
  <c r="D34" i="5"/>
  <c r="Q28" i="4"/>
  <c r="Q30" i="4"/>
  <c r="Q35" i="4"/>
  <c r="Q27" i="4"/>
  <c r="Q36" i="4"/>
  <c r="Q33" i="4"/>
  <c r="Q29" i="4"/>
  <c r="Q31" i="4"/>
  <c r="Q32" i="4"/>
  <c r="Q34" i="4"/>
  <c r="R167" i="3" l="1"/>
  <c r="R162" i="3"/>
  <c r="R142" i="3"/>
  <c r="R128" i="3"/>
  <c r="R113" i="3"/>
  <c r="R98" i="3"/>
  <c r="R42" i="3"/>
  <c r="R41" i="3"/>
  <c r="Q18" i="1"/>
  <c r="O19" i="1"/>
  <c r="N19" i="1"/>
  <c r="M19" i="1"/>
  <c r="L19" i="1"/>
  <c r="K19" i="1"/>
  <c r="J19" i="1"/>
  <c r="R74" i="3" l="1"/>
  <c r="R172" i="3"/>
  <c r="Q9" i="1"/>
  <c r="R175" i="3" l="1"/>
  <c r="J26" i="1"/>
  <c r="J24" i="1"/>
  <c r="I24" i="1"/>
  <c r="I25" i="1"/>
  <c r="J25" i="1"/>
  <c r="K25" i="1"/>
  <c r="L25" i="1"/>
  <c r="M25" i="1"/>
  <c r="N25" i="1"/>
  <c r="O25" i="1"/>
  <c r="P25" i="1"/>
  <c r="I19" i="1"/>
  <c r="Q17" i="1"/>
  <c r="H26" i="1"/>
  <c r="I26" i="1"/>
  <c r="K26" i="1"/>
  <c r="L26" i="1"/>
  <c r="M26" i="1"/>
  <c r="N26" i="1"/>
  <c r="O26" i="1"/>
  <c r="P26" i="1"/>
  <c r="G26" i="1"/>
  <c r="H24" i="1"/>
  <c r="K24" i="1"/>
  <c r="L24" i="1"/>
  <c r="M24" i="1"/>
  <c r="N24" i="1"/>
  <c r="O24" i="1"/>
  <c r="P24" i="1"/>
  <c r="G24" i="1"/>
  <c r="J22" i="1"/>
  <c r="K22" i="1"/>
  <c r="L22" i="1"/>
  <c r="M22" i="1"/>
  <c r="I22" i="1"/>
  <c r="G12" i="1"/>
  <c r="H12" i="1"/>
  <c r="I12" i="1"/>
  <c r="J12" i="1"/>
  <c r="K12" i="1"/>
  <c r="L12" i="1"/>
  <c r="M12" i="1"/>
  <c r="N12" i="1"/>
  <c r="O12" i="1"/>
  <c r="P12" i="1"/>
  <c r="Q25" i="1" l="1"/>
  <c r="Q26" i="1"/>
  <c r="Q24" i="1"/>
  <c r="Q12" i="1"/>
  <c r="Q23" i="1" l="1"/>
  <c r="Q13" i="1"/>
  <c r="Q14" i="1"/>
  <c r="Q15" i="1"/>
  <c r="Q16" i="1"/>
  <c r="Q19" i="1"/>
  <c r="Q20" i="1"/>
  <c r="Q21" i="1"/>
  <c r="Q22" i="1"/>
  <c r="Q4" i="1"/>
  <c r="Q5" i="1"/>
  <c r="Q6" i="1"/>
  <c r="Q7" i="1"/>
  <c r="Q8" i="1"/>
  <c r="Q10" i="1"/>
  <c r="Q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Derek Weston</author>
  </authors>
  <commentList>
    <comment ref="C44" authorId="0" shapeId="0" xr:uid="{C0D2FD89-A978-4ADF-9456-5BD8820F2A74}">
      <text>
        <r>
          <rPr>
            <b/>
            <sz val="9"/>
            <color indexed="81"/>
            <rFont val="Tahoma"/>
            <family val="2"/>
          </rPr>
          <t>Derek Weston:</t>
        </r>
        <r>
          <rPr>
            <sz val="9"/>
            <color indexed="81"/>
            <rFont val="Tahoma"/>
            <family val="2"/>
          </rPr>
          <t xml:space="preserve">
</t>
        </r>
        <r>
          <rPr>
            <sz val="10"/>
            <color indexed="81"/>
            <rFont val="Tahoma"/>
            <family val="2"/>
          </rPr>
          <t xml:space="preserve">See Breakdown of Componeent 1B  costs worksheet </t>
        </r>
      </text>
    </comment>
    <comment ref="B162" authorId="0" shapeId="0" xr:uid="{60F8EE45-55E6-41CE-9EAE-DE88198F3513}">
      <text>
        <r>
          <rPr>
            <b/>
            <sz val="9"/>
            <color indexed="81"/>
            <rFont val="Tahoma"/>
            <family val="2"/>
          </rPr>
          <t>Derek Weston:</t>
        </r>
        <r>
          <rPr>
            <sz val="9"/>
            <color indexed="81"/>
            <rFont val="Tahoma"/>
            <family val="2"/>
          </rPr>
          <t xml:space="preserve">
Detailed budget provided in worksheet
</t>
        </r>
      </text>
    </comment>
  </commentList>
</comments>
</file>

<file path=xl/sharedStrings.xml><?xml version="1.0" encoding="utf-8"?>
<sst xmlns="http://schemas.openxmlformats.org/spreadsheetml/2006/main" count="898" uniqueCount="366">
  <si>
    <t>Annex 4 Detailed budget plan</t>
  </si>
  <si>
    <t>Project/Programme Title: Water Reuse Programme (WRP)</t>
  </si>
  <si>
    <t>FY22</t>
  </si>
  <si>
    <t>FY23</t>
  </si>
  <si>
    <t>FY24</t>
  </si>
  <si>
    <t>FY25</t>
  </si>
  <si>
    <t>FY26</t>
  </si>
  <si>
    <t>FY27</t>
  </si>
  <si>
    <t>FY28</t>
  </si>
  <si>
    <t>FY29</t>
  </si>
  <si>
    <t>FY30</t>
  </si>
  <si>
    <t>FY31</t>
  </si>
  <si>
    <t>Component</t>
  </si>
  <si>
    <t>Outputs</t>
  </si>
  <si>
    <t>Financing Source</t>
  </si>
  <si>
    <t>Financing Instrument (Product Type)</t>
  </si>
  <si>
    <t xml:space="preserve">Budget Account Description </t>
  </si>
  <si>
    <t>Notes and Assumptions*</t>
  </si>
  <si>
    <t>Amount Year 1 (USD)</t>
  </si>
  <si>
    <t>Amount Year 2 (USD)</t>
  </si>
  <si>
    <t>Amount Year 3 (USD)</t>
  </si>
  <si>
    <t>Amount Year 4 (USD)</t>
  </si>
  <si>
    <t>Amount Year 5 (USD)</t>
  </si>
  <si>
    <t>Amount Year 6
(USD)</t>
  </si>
  <si>
    <t>Amount Year 7
(USD)</t>
  </si>
  <si>
    <t>Amount Year 8
(USD)</t>
  </si>
  <si>
    <t>Amount Year 9
(USD)</t>
  </si>
  <si>
    <t>Amount Year 10
(USD)</t>
  </si>
  <si>
    <t>Total (USD)</t>
  </si>
  <si>
    <t xml:space="preserve">Component 1: Establishing a WRP and Project Pipeline
</t>
  </si>
  <si>
    <t>1A: Establishment and Operationalisation of the WRP</t>
  </si>
  <si>
    <t>Country (National Treasury)</t>
  </si>
  <si>
    <t>Grant</t>
  </si>
  <si>
    <t>Core Staff Costs</t>
  </si>
  <si>
    <t>A1</t>
  </si>
  <si>
    <t>DBSA Shared Services Costs</t>
  </si>
  <si>
    <t>A2</t>
  </si>
  <si>
    <t>Office Costs</t>
  </si>
  <si>
    <t>A3</t>
  </si>
  <si>
    <t>Accredited Entity (DBSA)</t>
  </si>
  <si>
    <t>1B:  Project pipeline preparation</t>
  </si>
  <si>
    <t xml:space="preserve">GCF </t>
  </si>
  <si>
    <t xml:space="preserve">Project Preparation &amp; Transaction Advisory </t>
  </si>
  <si>
    <t>A4</t>
  </si>
  <si>
    <t>Total Component 1</t>
  </si>
  <si>
    <t xml:space="preserve">Component 2: Implementing Water Reuse Projects
</t>
  </si>
  <si>
    <t xml:space="preserve">
Provision of Technical Assistance for Project Procurement &amp; Development of the Blended Financing Solutions </t>
  </si>
  <si>
    <t>GCF</t>
  </si>
  <si>
    <t>Concesionnal Loans</t>
  </si>
  <si>
    <t>Project Implementation</t>
  </si>
  <si>
    <t>2A</t>
  </si>
  <si>
    <t xml:space="preserve">Private Development Partners </t>
  </si>
  <si>
    <t>Equity</t>
  </si>
  <si>
    <t>2B</t>
  </si>
  <si>
    <t xml:space="preserve">Private Debt Capital Partners </t>
  </si>
  <si>
    <t>Senior Debt</t>
  </si>
  <si>
    <t>2C</t>
  </si>
  <si>
    <t>Accredited Entity (and other DFI partners)</t>
  </si>
  <si>
    <t>Subordinated Debt</t>
  </si>
  <si>
    <t>2D</t>
  </si>
  <si>
    <t>Country (Participating Municipalities)</t>
  </si>
  <si>
    <t>Budget allocations</t>
  </si>
  <si>
    <t>2E</t>
  </si>
  <si>
    <t>Guarantee</t>
  </si>
  <si>
    <t>2F</t>
  </si>
  <si>
    <t>Total Component 2</t>
  </si>
  <si>
    <t xml:space="preserve">Component 3: Building Capacity and Awareness
</t>
  </si>
  <si>
    <t xml:space="preserve">
Communications and awareness creation &amp; Strengthen institutional and regulatory frameworks</t>
  </si>
  <si>
    <t>Capacity Development and Information Communication Education Program</t>
  </si>
  <si>
    <t>3A</t>
  </si>
  <si>
    <t>3B</t>
  </si>
  <si>
    <t>Total Component 3</t>
  </si>
  <si>
    <t>Total Amount (excl. Guarantee)</t>
  </si>
  <si>
    <t>Total Amount GCF (excl. Guarantee)</t>
  </si>
  <si>
    <t>Total Amount Country</t>
  </si>
  <si>
    <t>Total Amount AE</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</si>
  <si>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</si>
  <si>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Project</t>
  </si>
  <si>
    <t>Detailed Budget Notes</t>
  </si>
  <si>
    <t>Note: all USD values have been converted from South Africa Rand (ZAR) using a rate of ZAR 15 to 1 USD</t>
  </si>
  <si>
    <t>The PMO Core Costs will be shared between all programmes operating under the PMO and not allocated to the Water Reuse Programme alone. The Office Costs include office Rental (incl. cleaning); ICT Hardware &amp; Software; Telecoms &amp; Mobile; Travel (Prep); Travel (Construction); Travel (Operations); Auditor; Rates &amp; Utilities; Brand &amp; website development; Oversight Committee Reimbursables; Technical workshops</t>
  </si>
  <si>
    <t>Costs will be covered by a Blended Finance solution: Equity of approx. USD 315 mil from private development partners (based on a D:E ratio of 75:25). Nedbank has been engaged throughout the preparation of the WRP, and has informed the structure of the BFS, how project bonds could be used, and what magnitudes of debt could be allocated by private capital providers.</t>
  </si>
  <si>
    <t>Costs will be covered by a Blended Finance solution: Senior Debt of approx. USD 625 mil from private debt capital partners such as commercial banks and institutional investors, currently representing 50% of the total implementation cost cover.</t>
  </si>
  <si>
    <t>Costs will be covered by a Blended Finance solution: Subordinated Debt of approx. USD 110 mil from the DBSA and DFI Partners with the discreate purpose of enhancing the creditworthiness of individual projects. DBSA will undertake market soundings with other DFIs to provide support to projects, as project preparation support is being provided to ensure the production of bankable projects.</t>
  </si>
  <si>
    <t>Costs will be covered by a Blended Finance solution: Budget Allocations &amp; Grants of approx. USD 150 mil from participating authorities and the SA Infrastructure Fund.</t>
  </si>
  <si>
    <t xml:space="preserve">Development Partners
</t>
  </si>
  <si>
    <t>Office</t>
  </si>
  <si>
    <t>Office Rental (incl. cleaning)</t>
  </si>
  <si>
    <t>ICT Hardware &amp; Software</t>
  </si>
  <si>
    <t>Telecoms &amp; Mobile</t>
  </si>
  <si>
    <t>Travel (Prep)</t>
  </si>
  <si>
    <t>Travel (Construction)</t>
  </si>
  <si>
    <t>Travel (Operations)</t>
  </si>
  <si>
    <t>Auditor</t>
  </si>
  <si>
    <t>Rates &amp; Utilities</t>
  </si>
  <si>
    <t>Brand &amp; website development</t>
  </si>
  <si>
    <t>Oversight Committee Reimbursables</t>
  </si>
  <si>
    <t>Technical workshops</t>
  </si>
  <si>
    <t>Sub-Total: Office</t>
  </si>
  <si>
    <t>Head of PMO</t>
  </si>
  <si>
    <t>Office Administration Manager</t>
  </si>
  <si>
    <t>Financial Manager</t>
  </si>
  <si>
    <t>Monitoring &amp; Reporting Manager</t>
  </si>
  <si>
    <t>Technical Manager</t>
  </si>
  <si>
    <t>Project Officer</t>
  </si>
  <si>
    <t>Contracts Manager</t>
  </si>
  <si>
    <t>Procurement Officer</t>
  </si>
  <si>
    <t>Communications Officer</t>
  </si>
  <si>
    <t>Management</t>
  </si>
  <si>
    <t>Financial</t>
  </si>
  <si>
    <t>Impact</t>
  </si>
  <si>
    <t>Technical</t>
  </si>
  <si>
    <t>Contracting</t>
  </si>
  <si>
    <t>Communications</t>
  </si>
  <si>
    <t>Personnel</t>
  </si>
  <si>
    <t>Sub-Total: Personnel</t>
  </si>
  <si>
    <t>DBSA Shared Services</t>
  </si>
  <si>
    <t>Administrative Support</t>
  </si>
  <si>
    <t>Human Resources Support</t>
  </si>
  <si>
    <t>Accounting Support</t>
  </si>
  <si>
    <t xml:space="preserve">Financial </t>
  </si>
  <si>
    <t>Sub-Total: DBSA Shared Services</t>
  </si>
  <si>
    <t>CORE COSTS</t>
  </si>
  <si>
    <t>Sub-Total: CORE COSTS</t>
  </si>
  <si>
    <t>WRP Establishment &amp; Operationalisation</t>
  </si>
  <si>
    <t>Component 1: Establishing a WRP and Project Pipeline</t>
  </si>
  <si>
    <t>TOTAL FUNDING: Component 1</t>
  </si>
  <si>
    <t>TOTAL COST: Component 1</t>
  </si>
  <si>
    <t>Sub-Total: PROJECT PREP COSTS</t>
  </si>
  <si>
    <t>Core Costs</t>
  </si>
  <si>
    <t>TOTAL COST: Component 2</t>
  </si>
  <si>
    <t>Sub-Total: Concessional Loans Cost</t>
  </si>
  <si>
    <t>Sub-Total: Equity &amp; Budget Allocations Cost</t>
  </si>
  <si>
    <t>Development Corporation(s)</t>
  </si>
  <si>
    <t>Total Funding (excl. Guarantee)</t>
  </si>
  <si>
    <t>Total GCF Funding</t>
  </si>
  <si>
    <t>TOTAL FUNDING: Component 3</t>
  </si>
  <si>
    <t>TOTAL COST: Component 3</t>
  </si>
  <si>
    <t>Year 1
(USD)</t>
  </si>
  <si>
    <t>Year 2
(USD)</t>
  </si>
  <si>
    <t>Year 3
(USD)</t>
  </si>
  <si>
    <t>Year 4
(USD)</t>
  </si>
  <si>
    <t>Year 5
(USD)</t>
  </si>
  <si>
    <t>Year 6
(USD)</t>
  </si>
  <si>
    <t>Year 7
(USD)</t>
  </si>
  <si>
    <t>Year 8
(USD)</t>
  </si>
  <si>
    <t>Year 9
(USD)</t>
  </si>
  <si>
    <t>Year 10
(USD)</t>
  </si>
  <si>
    <t>Total
(USD)</t>
  </si>
  <si>
    <t>2: Implementation</t>
  </si>
  <si>
    <t xml:space="preserve">
3: Communications and awareness creation &amp; Strengthen institutional and regulatory frameworks</t>
  </si>
  <si>
    <t>Project 1</t>
  </si>
  <si>
    <t>Project 2</t>
  </si>
  <si>
    <t>Project 3</t>
  </si>
  <si>
    <t>Project 4</t>
  </si>
  <si>
    <t>Project 5</t>
  </si>
  <si>
    <t>Project 6</t>
  </si>
  <si>
    <t>Project 7</t>
  </si>
  <si>
    <t>Project 8</t>
  </si>
  <si>
    <t>Project 9</t>
  </si>
  <si>
    <t>Project 10</t>
  </si>
  <si>
    <t>Capacity Building, Communications and Awareness</t>
  </si>
  <si>
    <t>Institutional Strengthening</t>
  </si>
  <si>
    <t>1A</t>
  </si>
  <si>
    <t>1B</t>
  </si>
  <si>
    <t>1C</t>
  </si>
  <si>
    <t>1D</t>
  </si>
  <si>
    <t>1A, 1B, 1C</t>
  </si>
  <si>
    <t>Strengthening institutional and regulatory frameworks through regular and structured engagements to address important institutional and regulatory aspects and challenges that will assist in building adaptive institutional capacity and in entrenching water reuse as a strategically important part of climate resilience.</t>
  </si>
  <si>
    <t>USD $50 mil from Guarantee Provider (development corporation) to improve senior debt terms, thereby increasing the magnitude of private debt capital in the overall blended finance solution. The source of the guarantee still needs to be explored further, with development corporations and the GCF.</t>
  </si>
  <si>
    <t>Develop, manage, and maintain organizational brand and external presence of the WRP and execute a communications and outreach effort that promotes the objectives of the WRP working with the DBSA marketing team;
Lead direct outreach to project developers, commercial banks, DFI’s and other relevant stakeholders; roadshows etc
Build the reputation and brand of the WRP with donors, foundations, corporations, the media and public officials and agencies;
Establish strategic partnerships with lenders, contractors, developers, government agencies, utilities, business and industry associations, and community groups.</t>
  </si>
  <si>
    <t>uMhl. Ref.</t>
  </si>
  <si>
    <t>Description</t>
  </si>
  <si>
    <t>Amount
(ZAR)</t>
  </si>
  <si>
    <t>% Split</t>
  </si>
  <si>
    <t>Treated Effluent Collection</t>
  </si>
  <si>
    <t>C2P</t>
  </si>
  <si>
    <t>Advanced Treatment Plant</t>
  </si>
  <si>
    <t>T7*63.7</t>
  </si>
  <si>
    <t xml:space="preserve">   General Site Works</t>
  </si>
  <si>
    <t>T3&amp;T4</t>
  </si>
  <si>
    <t>Distribution Infrastructure</t>
  </si>
  <si>
    <t>T5</t>
  </si>
  <si>
    <t xml:space="preserve">   Reservoir</t>
  </si>
  <si>
    <t>D2,4L</t>
  </si>
  <si>
    <t>O5</t>
  </si>
  <si>
    <t>O7</t>
  </si>
  <si>
    <t>O8</t>
  </si>
  <si>
    <t>Total Capital Cost</t>
  </si>
  <si>
    <t>Civils (+ contingency)</t>
  </si>
  <si>
    <t>Other (+ contingency)</t>
  </si>
  <si>
    <r>
      <rPr>
        <b/>
        <sz val="9"/>
        <color theme="1"/>
        <rFont val="Calibri"/>
        <family val="2"/>
        <scheme val="minor"/>
      </rPr>
      <t>Capital Cost Proxy Explained:</t>
    </r>
    <r>
      <rPr>
        <sz val="9"/>
        <color theme="1"/>
        <rFont val="Calibri"/>
        <family val="2"/>
        <scheme val="minor"/>
      </rPr>
      <t xml:space="preserve">
This worksheet provides the capital cost breakdown that is applied across the 10 projects in the WRP portfolio. The costing has been extracted from a water reuse project in South Africa that is near financial close. The cost line items, and the cost splits across different cost categories has been checked against two other water reuse projects in South Africa, for consistency. In reality, when the WRP is established and projects are prepared, their capital costs will be determined on a project-by-project basis, through the requisite technical and financial feasibility studies.</t>
    </r>
  </si>
  <si>
    <t xml:space="preserve">   Mechnical &amp; Electrical</t>
  </si>
  <si>
    <t xml:space="preserve">   Civil &amp; Structural</t>
  </si>
  <si>
    <t xml:space="preserve">   Civils &amp; Pipelines</t>
  </si>
  <si>
    <t>Owner's Engineer, Health &amp; Safety</t>
  </si>
  <si>
    <t xml:space="preserve">   Pump Station &amp; Pipelines</t>
  </si>
  <si>
    <t>Total Funding (incl. Guarantee)</t>
  </si>
  <si>
    <t>CHECK</t>
  </si>
  <si>
    <t>Capital Cost Proxy</t>
  </si>
  <si>
    <t>Total</t>
  </si>
  <si>
    <t>Preliminary &amp; General (22%)</t>
  </si>
  <si>
    <t>Evaluative Data Collection &amp; Generation (3%)</t>
  </si>
  <si>
    <t>Mechanical &amp; Electrical (+ contingency)</t>
  </si>
  <si>
    <t>Contingency (10%)</t>
  </si>
  <si>
    <t>Total Programme Costs</t>
  </si>
  <si>
    <t>TOTAL FUNDING: Component 2
(incl. Guarantee)</t>
  </si>
  <si>
    <t>TOTAL FUNDING: Component 2
(exlc. Guarantee)</t>
  </si>
  <si>
    <t>Activity 3.1.1: Develop, manage, and maintain the WRP brand</t>
  </si>
  <si>
    <t>Activity 3.1.2: Development of knowledge products and collateral</t>
  </si>
  <si>
    <t>Activity 3.1.3: Undertake outreach and awareness creation events</t>
  </si>
  <si>
    <t>Activity 3.1.4: Facilitate and manage forum</t>
  </si>
  <si>
    <t>Activity 3.1.5: Provide strategic review and guidance on specific projects and interventions</t>
  </si>
  <si>
    <t>Activity 3.2.1: Develop a key stakeholder engagement framework</t>
  </si>
  <si>
    <t>Activity 3.2.2: Undertake targeted strategic outreach</t>
  </si>
  <si>
    <t>Activity 3.2.3: Establish and maintain strategic partnerships with key actors and institutions</t>
  </si>
  <si>
    <t>% Capex</t>
  </si>
  <si>
    <t>&lt;ZAR 1bn</t>
  </si>
  <si>
    <t>ZAR 1-2bn</t>
  </si>
  <si>
    <t>&gt;ZAR 2bn</t>
  </si>
  <si>
    <t>Pre-feasibility</t>
  </si>
  <si>
    <t>Feasibility</t>
  </si>
  <si>
    <t>Transaction Advisory</t>
  </si>
  <si>
    <t>Financial Close</t>
  </si>
  <si>
    <t>% Project Prep Outstanding</t>
  </si>
  <si>
    <t>Capex
(USD)</t>
  </si>
  <si>
    <t>Capex
(ZAR)</t>
  </si>
  <si>
    <t>Prep Scale</t>
  </si>
  <si>
    <t>%</t>
  </si>
  <si>
    <t xml:space="preserve">   Project Definition &amp; Climate Vulnerability Assessments</t>
  </si>
  <si>
    <t xml:space="preserve">   Pre-feasibility Assessment</t>
  </si>
  <si>
    <t xml:space="preserve">   Action Planning &amp; Terms of Reference</t>
  </si>
  <si>
    <t xml:space="preserve">   Feasibility Assessment</t>
  </si>
  <si>
    <t xml:space="preserve">   Financial &amp; Economic Appraisal</t>
  </si>
  <si>
    <t xml:space="preserve">   Delivery Model Finalisation</t>
  </si>
  <si>
    <t xml:space="preserve">   Financial &amp; Legal Structuring</t>
  </si>
  <si>
    <t xml:space="preserve">   Drafting Construction Contracts</t>
  </si>
  <si>
    <t xml:space="preserve">   Transaction Support</t>
  </si>
  <si>
    <t xml:space="preserve">   Drafting Financial &amp; Legal Agreements</t>
  </si>
  <si>
    <t xml:space="preserve">   Solicitation Approach Finalisation</t>
  </si>
  <si>
    <t xml:space="preserve">   Environmental, Social &amp; Gender Impact Assessments</t>
  </si>
  <si>
    <r>
      <rPr>
        <b/>
        <sz val="9"/>
        <color theme="1"/>
        <rFont val="Calibri"/>
        <family val="2"/>
        <scheme val="minor"/>
      </rPr>
      <t>Project Prep Proxy Explained:</t>
    </r>
    <r>
      <rPr>
        <sz val="9"/>
        <color theme="1"/>
        <rFont val="Calibri"/>
        <family val="2"/>
        <scheme val="minor"/>
      </rPr>
      <t xml:space="preserve">
This project preparation breakdown is calculated and presented for illustrative purposes only, as it relates to the indicative portoflio of projects for the Water Reuse Programme (WRP). Actual breakdowns will be determined on a project-by-project, after the WRP is established, and projects are engaged.</t>
    </r>
  </si>
  <si>
    <t>Project Prep Proxy</t>
  </si>
  <si>
    <t>Component 1 includes the operational costs of managing the water reuse programme, which is in the initial years covered from grant funding. This is not a sustainable long term solution and the programme needs to generate revenue to cover this cost. The approach is that revenue will be generated from the projects being implemented (component 2) to cover the operational costs of the programme (component 1). This revenue will be generated from the projects and will not be using GCF funding from component 2 to cover this cost. From there the deficit on component 1 and surplus on component 2. The budget, at a grand total level, therefore runs a cumulative surplus for 10 years, which tops out at around USD 50mil. We understand we need to show a cumulative surplus each year, to prevent the WRP from running a loss in any one year. Furthermore, at a component level, component 1 (core costs and project preparation costs) run at a cumulative deficit, from year six. This is because the surplus funding from component 2 (implementation) covers the core and project prep costs into perpetuity, to ensure the WRP is financially sustainable, and does not rely on grant funding into the long-term. In fact, the core costs (1A, 1B, 1C) are only covered by grants over the first three years, thereafter they are covered by implementation costs.</t>
  </si>
  <si>
    <t>General</t>
  </si>
  <si>
    <t>Number of staff</t>
  </si>
  <si>
    <t>Designation</t>
  </si>
  <si>
    <t>Function</t>
  </si>
  <si>
    <t>Level &amp; Affiliation</t>
  </si>
  <si>
    <t>Contract Type</t>
  </si>
  <si>
    <t>Cost Type</t>
  </si>
  <si>
    <r>
      <t xml:space="preserve">Base Unit Cost </t>
    </r>
    <r>
      <rPr>
        <b/>
        <sz val="7"/>
        <color theme="0"/>
        <rFont val="Arial"/>
        <family val="2"/>
      </rPr>
      <t>(USD starting FY22)</t>
    </r>
  </si>
  <si>
    <t>Executive - PMO</t>
  </si>
  <si>
    <t>FTEP</t>
  </si>
  <si>
    <t>Core</t>
  </si>
  <si>
    <t>Middle - PMO</t>
  </si>
  <si>
    <t>Senior - PMO</t>
  </si>
  <si>
    <r>
      <rPr>
        <b/>
        <u/>
        <sz val="12"/>
        <color theme="1"/>
        <rFont val="Calibri"/>
        <family val="2"/>
        <scheme val="minor"/>
      </rPr>
      <t>Detailed Budget Explained:</t>
    </r>
    <r>
      <rPr>
        <b/>
        <sz val="12"/>
        <color theme="1"/>
        <rFont val="Calibri"/>
        <family val="2"/>
        <scheme val="minor"/>
      </rPr>
      <t xml:space="preserve">
</t>
    </r>
    <r>
      <rPr>
        <sz val="12"/>
        <color theme="1"/>
        <rFont val="Calibri"/>
        <family val="2"/>
        <scheme val="minor"/>
      </rPr>
      <t>&gt; This detailed budget is for a list of 10 underlying indicative projects. The projects are stated and described throughout the funding application and supporting annexures.
&gt; The capital cost breakdown for the indicative portfolio of 10 projects has been determined using a capital cost breakdown proxy (see Tab "Capital Cost Proxy").
&gt; The project prep cost breakdown for the indicative portfolio of 10 projects has been determined using a project prep breakdown proxy  (see Tab "Capital Cost Proxy").
&gt; The budget shows three distinct components: (1) core and project preparation costs; (2) implementation costs; and (3) communication and awareness.
&gt; Component 1A provides a description of core costs of the whole Water Reuse Programme (WRP). The funding for 1A comes from National Treasury , for the first 3 years, only. Thereafter, these costs will be recovered through the implementation financing. Therefore, a budget deficit is shown for Component 1 from Year 4 onwards. However, there is a budget surplus in Component 2 from Year 4, which is sufficient to cover the budget deficit of Component 1.
&gt; Component 1 includes the operational costs of managing the water reuse programme, which is in the initial years covered from grant funding. This is not a sustainable long term solution and the programme needs to generate revenue to cover this cost. The approach is that revenue will be generated from the projects being implemented (component 2) to cover the operational costs of the programme (component 1). This revenue will be generated from the projects and will not be using GCF funding from component 2 to cover this cost. From there the deficit on component 1 and surplus on component 2. The budget, at a grand total level, therefore runs a cumulative surplus for 10 years, which tops out at around USD 50mil. We understand we need to show a cumulative surplus each year, to prevent the WRP from running a loss in any one year. Furthermore, at a component level, component 1 (core costs and project preparation costs) run at a cumulative deficit, from year six. This is because the surplus funding from component 2 (implementation) covers the core and project prep costs into perpetuity, to ensure the WRP is financially sustainable, and does not rely on grant funding into the long-term. In fact, the core costs (1A, 1B, 1C) are only covered by grants over the first three years, thereafter they are covered by implementation costs.</t>
    </r>
  </si>
  <si>
    <r>
      <t xml:space="preserve">These project preparation and transaction advisory services are to support the full development of bankable </t>
    </r>
    <r>
      <rPr>
        <b/>
        <sz val="11"/>
        <color theme="1"/>
        <rFont val="Calibri"/>
        <family val="2"/>
        <scheme val="minor"/>
      </rPr>
      <t>water reuse projects</t>
    </r>
    <r>
      <rPr>
        <sz val="11"/>
        <color theme="1"/>
        <rFont val="Calibri"/>
        <family val="2"/>
        <scheme val="minor"/>
      </rPr>
      <t>.</t>
    </r>
    <r>
      <rPr>
        <b/>
        <sz val="11"/>
        <color theme="1"/>
        <rFont val="Calibri"/>
        <family val="2"/>
        <scheme val="minor"/>
      </rPr>
      <t xml:space="preserve"> As such, these costs are only attributable to the Water Reuse Programme. </t>
    </r>
    <r>
      <rPr>
        <sz val="11"/>
        <color theme="1"/>
        <rFont val="Calibri"/>
        <family val="2"/>
        <scheme val="minor"/>
      </rPr>
      <t xml:space="preserve">The proposed USD 30 mil Grant from the GCF will be allocated alongside USD 30 mil of capital from National Treasury to finance the PP and TA activities of the Water Reuse Unit. These will include, inter alia:
&gt; Climate Vulnerability Assessments
&gt;Environmental, social and gender assessments in line with ESMF and Gender Action Plan of the  WRP
&gt;Project definition (identification of desired outputs; action planning; terms of reference, etc; pre-feasibility studies)
&gt;Project feasibility (organisational/administrative; financial modelling; economic, social, technical/engineering and environmental studies)
&gt; Project structuring (public/private options assessment; technical/engineering; project finance and legal structuring)
&gt; Transaction support (legal structuring; procurement; negotiation and post-signing financial agreements)
(This is a non-exhaustive list of project preparation activities supported)
NB: The project prep costs included are based on indicative projects. Actual projects will need to be scoped when the WRP is established and operational. The project portfolio will change.  Estimated Beakdown of costs has been provided under the Project Prep Proxy Tab of this workbook.  Approxiately 25% of the budegt would be for the Independent Blended Capital Faciltation while 75% of the budget would be used for project preparation including the panel of service providers to undertake pre-feasibility and feasibility studies. </t>
    </r>
  </si>
  <si>
    <t>Base Unit Costing for the WPO staffing, with costs refleced for the full staff cohort.</t>
  </si>
  <si>
    <t>Project Name: Water Reuse Programme (Component 3)</t>
  </si>
  <si>
    <t>Budget:</t>
  </si>
  <si>
    <t>Detailed Budget</t>
  </si>
  <si>
    <t>Annual Budget</t>
  </si>
  <si>
    <t>Budget Notes</t>
  </si>
  <si>
    <t>Output</t>
  </si>
  <si>
    <t>Activity</t>
  </si>
  <si>
    <t>Funding Source</t>
  </si>
  <si>
    <t xml:space="preserve">Budget Categories
</t>
  </si>
  <si>
    <t>Unit</t>
  </si>
  <si>
    <t># of Unit</t>
  </si>
  <si>
    <t>Unit Cost</t>
  </si>
  <si>
    <t xml:space="preserve">Total Cost 
</t>
  </si>
  <si>
    <t>Year 24</t>
  </si>
  <si>
    <t>Year 25</t>
  </si>
  <si>
    <t>Year 26</t>
  </si>
  <si>
    <t>Year 27</t>
  </si>
  <si>
    <t>Year 28</t>
  </si>
  <si>
    <t>Total Budget</t>
  </si>
  <si>
    <t xml:space="preserve">Component 3: Building capacity and creating awareness </t>
  </si>
  <si>
    <t>Sub-component 3.1: Communications and awareness creation</t>
  </si>
  <si>
    <t>Consultant  - local (Communications)</t>
  </si>
  <si>
    <t>Months</t>
  </si>
  <si>
    <t>Communications stratgey and implementation plan, in alignment with national and local imperatives</t>
  </si>
  <si>
    <t>Consultant  - local (Information Management and Systems)</t>
  </si>
  <si>
    <t>Develop and maintain website and information management systems, ongoing improvement in offerings etc.</t>
  </si>
  <si>
    <t>Travel and Disbursements</t>
  </si>
  <si>
    <t>2 strategic workshops per year, 15 people travel. Plus additional related and ad hoc meetings.</t>
  </si>
  <si>
    <t>Workshops</t>
  </si>
  <si>
    <t>20 participants per workshop</t>
  </si>
  <si>
    <t>Design and layout</t>
  </si>
  <si>
    <t>Development workshops and annual review workshops</t>
  </si>
  <si>
    <t>Knowledege Products / Communications Collateral</t>
  </si>
  <si>
    <t>Production and printing of knowledeg products, reports and other information</t>
  </si>
  <si>
    <t>Country/1</t>
  </si>
  <si>
    <t>Production of supporting water sector materials and strategies (assuming 10 page brochure/ reports)</t>
  </si>
  <si>
    <t>Sector specific and stakeholders. 40 participants</t>
  </si>
  <si>
    <t>Training</t>
  </si>
  <si>
    <t>Sector specific and stakeholders. 25 participants</t>
  </si>
  <si>
    <t>Government Actors (35 participants 5 sessions per year with differing Ministries and levels of Government)</t>
  </si>
  <si>
    <t>Government Actors (25 participants 12 sessions per year with differing Ministries and levels of Government, across provinces and projects)</t>
  </si>
  <si>
    <t>Travel to various workshops and trainings</t>
  </si>
  <si>
    <t>15 members, 4 meetings per year</t>
  </si>
  <si>
    <t>Stipends</t>
  </si>
  <si>
    <t>15 members per day/ 15 days per year</t>
  </si>
  <si>
    <t>Site visits, 2 per year, 10 projects, 6 people.</t>
  </si>
  <si>
    <t>Local on site workshops, 2 per year, 10 projects</t>
  </si>
  <si>
    <t>Consultant  - local (Strategic)</t>
  </si>
  <si>
    <t>Produce lessons learned guidance and tools</t>
  </si>
  <si>
    <t xml:space="preserve">SUB-TOTAL </t>
  </si>
  <si>
    <t>Sub-component 3.2: Strengthen institutional and regulatory frameworks</t>
  </si>
  <si>
    <t>Engagement stratgey and implementation plan plus technical support</t>
  </si>
  <si>
    <t>Ongoing communications preparation, planning for specific evenst and interventions etc</t>
  </si>
  <si>
    <t>Mid-term review of awareness and acceptance</t>
  </si>
  <si>
    <t>workshops</t>
  </si>
  <si>
    <t>Units</t>
  </si>
  <si>
    <t>Various workshops and events,  conferences etc.  4 per year</t>
  </si>
  <si>
    <t>Targetted outreach across a range of media (advertisements, radio, Televsion, social media)</t>
  </si>
  <si>
    <t>months</t>
  </si>
  <si>
    <t>Technical, legal and institutionl support to the  improvement fo institutional and regulatory instruments</t>
  </si>
  <si>
    <t>Institutional capacity assessemnts for each project to guide  capacity development and training interventions. 10 Projects</t>
  </si>
  <si>
    <t>Focused and structure trainings for each identified institutions.  Assume 2 sessions for 20 institutions (Municipal, Catchment Manasgement Agency, Water user Associations etc)</t>
  </si>
  <si>
    <t>Total Amount</t>
  </si>
  <si>
    <t>Sub-component 3.1</t>
  </si>
  <si>
    <t>Sub-component 3.2</t>
  </si>
  <si>
    <t>TOTAL GCF</t>
  </si>
  <si>
    <t>TOTAL COUNTRY</t>
  </si>
  <si>
    <t>USD 10 m</t>
  </si>
  <si>
    <t>Generalised Consultanct Rate  Calculation</t>
  </si>
  <si>
    <t>Position</t>
  </si>
  <si>
    <t>% Level of Effort</t>
  </si>
  <si>
    <t>Team Leader</t>
  </si>
  <si>
    <t>Senior Expert</t>
  </si>
  <si>
    <t>Junior Manager</t>
  </si>
  <si>
    <t>Consultant</t>
  </si>
  <si>
    <t>Monthly Rate (USD)</t>
  </si>
  <si>
    <t>Weighted Monthly Rate (USD)</t>
  </si>
  <si>
    <t>TOTAL</t>
  </si>
  <si>
    <t>Develop staekholder database and management protocols noting Protection of Private Information Act etc.</t>
  </si>
  <si>
    <t>Various outreach workshops and events,  conferences etc. 5 per year</t>
  </si>
  <si>
    <t>National workshops to align institutiuonal and regulatry instrurments. 20 workshops over 2 days, over the 5 years</t>
  </si>
  <si>
    <t>Project Name: Water Reuse Programme (Component 1)</t>
  </si>
  <si>
    <t>Sub-component 1.2:  Project pipeline preparation</t>
  </si>
  <si>
    <t xml:space="preserve">Activity 1.2.1: Design and launch an open-ended Request for Proposal (RFP). </t>
  </si>
  <si>
    <t>Activity 1.2.2: Procure and manage a panel of project preparation service providers</t>
  </si>
  <si>
    <t>Activity 1.2.3: Provide technical assistance for project structuring and preparation</t>
  </si>
  <si>
    <t>Sub-component 1.2</t>
  </si>
  <si>
    <t>Consultant  - local (Technical)</t>
  </si>
  <si>
    <t>Technical support for project conceptualisation including prefeasibility, action planning and terms of reference</t>
  </si>
  <si>
    <t>Technical and legal support in terms of procurement</t>
  </si>
  <si>
    <t>Panel preparation workshops</t>
  </si>
  <si>
    <t>To supoprt the specific technical and financial aspects of project</t>
  </si>
  <si>
    <t>Trainings</t>
  </si>
  <si>
    <t>Local workshops in support of project conceptualisation</t>
  </si>
  <si>
    <t>Site visits and local meetings, 10 projects</t>
  </si>
  <si>
    <t>Sub-total</t>
  </si>
  <si>
    <t>Technical support for project feasibility studies</t>
  </si>
  <si>
    <t>Technical support for transaction advisory and financial close</t>
  </si>
  <si>
    <t>Consultant  - local (Financial- legal)</t>
  </si>
  <si>
    <t>Project workshops. 10 Projects 4 per year</t>
  </si>
  <si>
    <t>Travel to various workshops and trainings.  Site visits, 6 per year, 10 projects, 6 people.</t>
  </si>
  <si>
    <t>USD 60 m</t>
  </si>
  <si>
    <t xml:space="preserve">The PMO Core Costs will be shared between all programmes operating under the PMO and not allocated to the Water Reuse Programme alone. The staff costs include: Head of PMO; Office Administration Manager; Financial Manager; Monitoring &amp; Reporting Manager; Technical Manager; Project Officer; Contracts Manager; Procurement Officer; and a Communications Officer. </t>
  </si>
  <si>
    <t>The PMO Core Costs will be shared between all programmes operating under the PMO and not allocated to the Water Reuse Programme alone. The DBSA Shared Services costs include administrative support, human resources support, and accounting support to be provided by the DBSA.   A breakdown of the costs for the Sub-component 1.2:  Project pipeline preparation is provided in worksheet and is aligend with budget provided in the detailed budget sheet.  This is then aligend to the Project Proxy Costs calcualtions, alos provided in a worksheet.</t>
  </si>
  <si>
    <t xml:space="preserve">Reserve Utilisation - Foreign Exchange </t>
  </si>
  <si>
    <t>Costs will be covered by a Blended Finance solution: Concessional Loans of approx. USD 190 mil, with a USD 10 mil foreign exchange reserve utilisation, from the GCF to target the gap financing requirements and ensure the financial viability of individual projects across the programme. The project implementation costs cover all costs indicated in the Capital Cost Proxy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</si>
</sst>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_-[$R-1C09]* #,##0_-;\-[$R-1C09]* #,##0_-;_-[$R-1C09]* &quot;-&quot;_-;_-@_-"/>
    <numFmt numFmtId="167" formatCode="0.0%"/>
  </numFmts>
  <fonts count="38">
    <font>
      <sz val="11"/>
      <color theme="1"/>
      <name val="Calibri"/>
      <family val="2"/>
      <scheme val="minor"/>
    </font>
    <font>
      <b/>
      <sz val="14"/>
      <color theme="1"/>
      <name val="Calibri"/>
      <family val="2"/>
      <scheme val="minor"/>
    </font>
    <font>
      <sz val="8"/>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b/>
      <sz val="10"/>
      <color rgb="FFFF0000"/>
      <name val="Calibri"/>
      <family val="2"/>
      <scheme val="minor"/>
    </font>
    <font>
      <b/>
      <i/>
      <sz val="11"/>
      <color theme="1"/>
      <name val="Calibri"/>
      <family val="2"/>
      <scheme val="minor"/>
    </font>
    <font>
      <sz val="9"/>
      <color theme="1"/>
      <name val="Calibri"/>
      <family val="2"/>
      <scheme val="minor"/>
    </font>
    <font>
      <b/>
      <sz val="9"/>
      <color theme="1"/>
      <name val="Calibri"/>
      <family val="2"/>
      <scheme val="minor"/>
    </font>
    <font>
      <b/>
      <sz val="11"/>
      <color rgb="FFFF0000"/>
      <name val="Calibri"/>
      <family val="2"/>
      <scheme val="minor"/>
    </font>
    <font>
      <b/>
      <sz val="10"/>
      <color theme="1"/>
      <name val="ArialMT"/>
    </font>
    <font>
      <sz val="10"/>
      <color indexed="62"/>
      <name val="Arial"/>
      <family val="2"/>
    </font>
    <font>
      <b/>
      <sz val="10"/>
      <color indexed="62"/>
      <name val="Arial"/>
      <family val="2"/>
    </font>
    <font>
      <b/>
      <sz val="9"/>
      <color theme="0"/>
      <name val="Arial"/>
      <family val="2"/>
    </font>
    <font>
      <b/>
      <sz val="7"/>
      <color theme="0"/>
      <name val="Arial"/>
      <family val="2"/>
    </font>
    <font>
      <b/>
      <sz val="9"/>
      <color rgb="FF4B4B55"/>
      <name val="Arial"/>
      <family val="2"/>
    </font>
    <font>
      <sz val="9"/>
      <color rgb="FF4B4B55"/>
      <name val="Arial"/>
      <family val="2"/>
    </font>
    <font>
      <b/>
      <sz val="12"/>
      <color theme="1"/>
      <name val="Calibri"/>
      <family val="2"/>
      <scheme val="minor"/>
    </font>
    <font>
      <b/>
      <u/>
      <sz val="12"/>
      <color theme="1"/>
      <name val="Calibri"/>
      <family val="2"/>
      <scheme val="minor"/>
    </font>
    <font>
      <sz val="12"/>
      <color theme="1"/>
      <name val="Calibri"/>
      <family val="2"/>
      <scheme val="minor"/>
    </font>
    <font>
      <sz val="10"/>
      <color theme="1"/>
      <name val="Arial"/>
      <family val="2"/>
    </font>
    <font>
      <b/>
      <sz val="9"/>
      <color theme="0"/>
      <name val="Cambria"/>
      <family val="1"/>
    </font>
    <font>
      <sz val="9"/>
      <color indexed="81"/>
      <name val="Tahoma"/>
      <family val="2"/>
    </font>
    <font>
      <b/>
      <sz val="9"/>
      <color indexed="81"/>
      <name val="Tahoma"/>
      <family val="2"/>
    </font>
    <font>
      <sz val="9"/>
      <color theme="1"/>
      <name val="Cambria"/>
      <family val="1"/>
    </font>
    <font>
      <b/>
      <sz val="8"/>
      <name val="Cambria"/>
      <family val="1"/>
    </font>
    <font>
      <sz val="8"/>
      <name val="Cambria"/>
      <family val="1"/>
    </font>
    <font>
      <sz val="8"/>
      <color theme="0" tint="-0.34998626667073579"/>
      <name val="Cambria"/>
      <family val="1"/>
    </font>
    <font>
      <sz val="8"/>
      <color theme="0" tint="-0.249977111117893"/>
      <name val="Cambria"/>
      <family val="1"/>
    </font>
    <font>
      <sz val="8"/>
      <color theme="1"/>
      <name val="Cambria"/>
      <family val="1"/>
    </font>
    <font>
      <b/>
      <sz val="9"/>
      <color theme="5" tint="0.59999389629810485"/>
      <name val="Cambria"/>
      <family val="1"/>
    </font>
    <font>
      <b/>
      <sz val="11"/>
      <color theme="5" tint="0.59999389629810485"/>
      <name val="Calibri"/>
      <family val="2"/>
      <scheme val="minor"/>
    </font>
    <font>
      <b/>
      <sz val="9"/>
      <color theme="1"/>
      <name val="Cambria"/>
      <family val="1"/>
    </font>
    <font>
      <sz val="10"/>
      <color indexed="81"/>
      <name val="Tahoma"/>
      <family val="2"/>
    </font>
  </fonts>
  <fills count="17">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rgb="FFCCCCFF"/>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rgb="FFFCD9BB"/>
      </patternFill>
    </fill>
    <fill>
      <patternFill patternType="solid">
        <fgColor rgb="FFFA6400"/>
        <bgColor indexed="64"/>
      </patternFill>
    </fill>
    <fill>
      <patternFill patternType="solid">
        <fgColor theme="9" tint="-0.249977111117893"/>
        <bgColor indexed="64"/>
      </patternFill>
    </fill>
    <fill>
      <patternFill patternType="solid">
        <fgColor rgb="FF376B54"/>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8" tint="0.59999389629810485"/>
        <bgColor indexed="64"/>
      </patternFill>
    </fill>
    <fill>
      <patternFill patternType="solid">
        <fgColor theme="0" tint="-0.149998474074526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thin">
        <color indexed="64"/>
      </left>
      <right/>
      <top/>
      <bottom style="thin">
        <color indexed="64"/>
      </bottom>
      <diagonal/>
    </border>
    <border>
      <left style="medium">
        <color rgb="FFFA6400"/>
      </left>
      <right/>
      <top style="medium">
        <color rgb="FFFA6400"/>
      </top>
      <bottom/>
      <diagonal/>
    </border>
    <border>
      <left/>
      <right/>
      <top style="medium">
        <color rgb="FFFA6400"/>
      </top>
      <bottom/>
      <diagonal/>
    </border>
    <border>
      <left/>
      <right style="medium">
        <color rgb="FFFA6400"/>
      </right>
      <top style="medium">
        <color rgb="FFFA6400"/>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164" fontId="6" fillId="0" borderId="0" applyFont="0" applyFill="0" applyBorder="0" applyAlignment="0" applyProtection="0"/>
    <xf numFmtId="9" fontId="6" fillId="0" borderId="0" applyFont="0" applyFill="0" applyBorder="0" applyAlignment="0" applyProtection="0"/>
    <xf numFmtId="10" fontId="15" fillId="8" borderId="36">
      <alignment horizontal="right"/>
      <protection locked="0"/>
    </xf>
  </cellStyleXfs>
  <cellXfs count="371">
    <xf numFmtId="0" fontId="0" fillId="0" borderId="0" xfId="0"/>
    <xf numFmtId="0" fontId="0" fillId="2" borderId="1" xfId="0" applyFill="1" applyBorder="1" applyAlignment="1">
      <alignment horizontal="center" vertical="center" wrapText="1"/>
    </xf>
    <xf numFmtId="0" fontId="0" fillId="2" borderId="1" xfId="0" applyFill="1" applyBorder="1"/>
    <xf numFmtId="0" fontId="0" fillId="0" borderId="1" xfId="0" applyBorder="1" applyAlignment="1">
      <alignment horizontal="center" wrapText="1"/>
    </xf>
    <xf numFmtId="0" fontId="0" fillId="3" borderId="1" xfId="0" applyFill="1" applyBorder="1" applyAlignment="1">
      <alignment horizontal="center" wrapText="1"/>
    </xf>
    <xf numFmtId="0" fontId="1" fillId="0" borderId="0" xfId="0" applyFont="1"/>
    <xf numFmtId="3" fontId="0" fillId="0" borderId="1" xfId="0" applyNumberFormat="1" applyBorder="1" applyAlignment="1">
      <alignment wrapText="1"/>
    </xf>
    <xf numFmtId="3" fontId="3" fillId="3" borderId="1" xfId="0" applyNumberFormat="1" applyFont="1" applyFill="1" applyBorder="1" applyAlignment="1">
      <alignment wrapText="1"/>
    </xf>
    <xf numFmtId="0" fontId="3" fillId="3" borderId="1" xfId="0" applyFont="1" applyFill="1" applyBorder="1" applyAlignment="1">
      <alignment wrapText="1"/>
    </xf>
    <xf numFmtId="3" fontId="3" fillId="2" borderId="1" xfId="0" applyNumberFormat="1" applyFont="1" applyFill="1" applyBorder="1"/>
    <xf numFmtId="3" fontId="0" fillId="0" borderId="0" xfId="0" applyNumberFormat="1"/>
    <xf numFmtId="3" fontId="3" fillId="0" borderId="0" xfId="0" applyNumberFormat="1" applyFont="1"/>
    <xf numFmtId="3" fontId="5" fillId="0" borderId="0" xfId="0" applyNumberFormat="1" applyFont="1"/>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0" borderId="1" xfId="0" applyBorder="1" applyAlignment="1">
      <alignment horizontal="left" vertical="center" wrapText="1"/>
    </xf>
    <xf numFmtId="0" fontId="3" fillId="3" borderId="1" xfId="0" applyFont="1" applyFill="1" applyBorder="1" applyAlignment="1">
      <alignment horizontal="left" vertical="center" wrapText="1"/>
    </xf>
    <xf numFmtId="0" fontId="0" fillId="4" borderId="1" xfId="0" applyFill="1" applyBorder="1" applyAlignment="1">
      <alignment horizontal="left" vertical="center"/>
    </xf>
    <xf numFmtId="0" fontId="0" fillId="4" borderId="1" xfId="0" applyFill="1" applyBorder="1" applyAlignment="1">
      <alignment horizontal="left" vertical="center" wrapText="1"/>
    </xf>
    <xf numFmtId="0" fontId="0" fillId="4" borderId="0" xfId="0" applyFill="1" applyAlignment="1">
      <alignment horizontal="left" vertical="center"/>
    </xf>
    <xf numFmtId="0" fontId="0" fillId="3" borderId="1" xfId="0" applyFill="1" applyBorder="1" applyAlignment="1">
      <alignment horizontal="left" vertical="center" wrapText="1"/>
    </xf>
    <xf numFmtId="0" fontId="3" fillId="2" borderId="1" xfId="0" applyFont="1" applyFill="1"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vertical="center"/>
    </xf>
    <xf numFmtId="0" fontId="0" fillId="0" borderId="0" xfId="0" applyAlignment="1">
      <alignment vertical="center"/>
    </xf>
    <xf numFmtId="0" fontId="3" fillId="0" borderId="0" xfId="0" applyFont="1"/>
    <xf numFmtId="0" fontId="3" fillId="0" borderId="0" xfId="0" applyFont="1" applyAlignment="1">
      <alignment horizontal="right" vertical="center"/>
    </xf>
    <xf numFmtId="0" fontId="7" fillId="0" borderId="1" xfId="0" applyFont="1" applyBorder="1" applyAlignment="1">
      <alignment horizontal="center" vertical="center" wrapText="1"/>
    </xf>
    <xf numFmtId="3" fontId="7" fillId="0" borderId="1" xfId="0" applyNumberFormat="1" applyFont="1" applyBorder="1" applyAlignment="1">
      <alignment vertical="center" wrapText="1"/>
    </xf>
    <xf numFmtId="0" fontId="8" fillId="0" borderId="1" xfId="0" applyFont="1" applyBorder="1" applyAlignment="1">
      <alignment horizontal="center" vertical="center" wrapText="1"/>
    </xf>
    <xf numFmtId="3" fontId="8" fillId="0" borderId="1" xfId="0" applyNumberFormat="1" applyFont="1" applyBorder="1" applyAlignment="1">
      <alignment vertical="center" wrapText="1"/>
    </xf>
    <xf numFmtId="38" fontId="7" fillId="0" borderId="1" xfId="1" applyNumberFormat="1" applyFont="1" applyBorder="1" applyAlignment="1">
      <alignment vertical="center" wrapText="1"/>
    </xf>
    <xf numFmtId="38" fontId="8" fillId="0" borderId="1" xfId="1" applyNumberFormat="1" applyFont="1" applyBorder="1" applyAlignment="1">
      <alignment vertical="center" wrapText="1"/>
    </xf>
    <xf numFmtId="0" fontId="8"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7" fillId="4"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3" fontId="8" fillId="2" borderId="1" xfId="0" applyNumberFormat="1" applyFont="1" applyFill="1" applyBorder="1" applyAlignment="1">
      <alignment vertical="center" wrapText="1"/>
    </xf>
    <xf numFmtId="0" fontId="8" fillId="0" borderId="1" xfId="0" applyFont="1" applyBorder="1" applyAlignment="1">
      <alignment horizontal="left" vertical="center" wrapText="1"/>
    </xf>
    <xf numFmtId="38" fontId="8" fillId="0" borderId="13" xfId="1" applyNumberFormat="1" applyFont="1" applyBorder="1" applyAlignment="1">
      <alignment vertical="center" wrapText="1"/>
    </xf>
    <xf numFmtId="3" fontId="8" fillId="2" borderId="10" xfId="0" applyNumberFormat="1" applyFont="1" applyFill="1" applyBorder="1" applyAlignment="1">
      <alignment vertical="center" wrapText="1"/>
    </xf>
    <xf numFmtId="0" fontId="8" fillId="2" borderId="2"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0" borderId="0" xfId="0" applyFont="1" applyAlignment="1">
      <alignment horizontal="center" vertical="center" wrapText="1"/>
    </xf>
    <xf numFmtId="0" fontId="8" fillId="5" borderId="1" xfId="0" applyFont="1" applyFill="1" applyBorder="1" applyAlignment="1">
      <alignment horizontal="left" vertical="center" wrapText="1"/>
    </xf>
    <xf numFmtId="38" fontId="8" fillId="5" borderId="1" xfId="1" applyNumberFormat="1" applyFont="1" applyFill="1" applyBorder="1" applyAlignment="1">
      <alignment vertical="center" wrapText="1"/>
    </xf>
    <xf numFmtId="0" fontId="8" fillId="5" borderId="15" xfId="0" applyFont="1" applyFill="1" applyBorder="1" applyAlignment="1">
      <alignment horizontal="left" vertical="center" wrapText="1"/>
    </xf>
    <xf numFmtId="38" fontId="8" fillId="5" borderId="15" xfId="1" applyNumberFormat="1" applyFont="1" applyFill="1" applyBorder="1" applyAlignment="1">
      <alignment vertical="center" wrapText="1"/>
    </xf>
    <xf numFmtId="0" fontId="8" fillId="2" borderId="10" xfId="0" applyFont="1" applyFill="1" applyBorder="1" applyAlignment="1">
      <alignment horizontal="left" vertical="center" wrapText="1"/>
    </xf>
    <xf numFmtId="0" fontId="8" fillId="2" borderId="10"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3" fontId="8" fillId="5" borderId="1" xfId="0" applyNumberFormat="1" applyFont="1" applyFill="1" applyBorder="1" applyAlignment="1">
      <alignment vertical="center" wrapText="1"/>
    </xf>
    <xf numFmtId="3" fontId="8" fillId="5" borderId="15" xfId="0" applyNumberFormat="1" applyFont="1" applyFill="1" applyBorder="1" applyAlignment="1">
      <alignment vertical="center" wrapText="1"/>
    </xf>
    <xf numFmtId="0" fontId="8" fillId="5" borderId="1"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6" borderId="18" xfId="0" applyFont="1" applyFill="1" applyBorder="1" applyAlignment="1">
      <alignment horizontal="left" vertical="center" wrapText="1"/>
    </xf>
    <xf numFmtId="0" fontId="8" fillId="6" borderId="10" xfId="0" applyFont="1" applyFill="1" applyBorder="1" applyAlignment="1">
      <alignment horizontal="left" vertical="center" wrapText="1"/>
    </xf>
    <xf numFmtId="3" fontId="8" fillId="6" borderId="10" xfId="0" applyNumberFormat="1" applyFont="1" applyFill="1" applyBorder="1" applyAlignment="1">
      <alignment vertical="center" wrapText="1"/>
    </xf>
    <xf numFmtId="0" fontId="8" fillId="6" borderId="19" xfId="0" applyFont="1" applyFill="1" applyBorder="1" applyAlignment="1">
      <alignment horizontal="left" vertical="center" wrapText="1"/>
    </xf>
    <xf numFmtId="0" fontId="8" fillId="6" borderId="1" xfId="0" applyFont="1" applyFill="1" applyBorder="1" applyAlignment="1">
      <alignment horizontal="left" vertical="center" wrapText="1"/>
    </xf>
    <xf numFmtId="3" fontId="8" fillId="6" borderId="1" xfId="0" applyNumberFormat="1" applyFont="1" applyFill="1" applyBorder="1" applyAlignment="1">
      <alignment vertical="center" wrapText="1"/>
    </xf>
    <xf numFmtId="0" fontId="8" fillId="6" borderId="20" xfId="0" applyFont="1" applyFill="1" applyBorder="1" applyAlignment="1">
      <alignment horizontal="left" vertical="center" wrapText="1"/>
    </xf>
    <xf numFmtId="0" fontId="8" fillId="6" borderId="15" xfId="0" applyFont="1" applyFill="1" applyBorder="1" applyAlignment="1">
      <alignment horizontal="left" vertical="center" wrapText="1"/>
    </xf>
    <xf numFmtId="3" fontId="8" fillId="6" borderId="15" xfId="0" applyNumberFormat="1" applyFont="1" applyFill="1" applyBorder="1" applyAlignment="1">
      <alignment vertical="center" wrapText="1"/>
    </xf>
    <xf numFmtId="0" fontId="7" fillId="0" borderId="1" xfId="0" applyFont="1" applyBorder="1" applyAlignment="1">
      <alignment horizontal="left" vertical="center" wrapText="1"/>
    </xf>
    <xf numFmtId="38" fontId="7" fillId="0" borderId="13" xfId="1" applyNumberFormat="1" applyFont="1" applyBorder="1" applyAlignment="1">
      <alignment vertical="center" wrapText="1"/>
    </xf>
    <xf numFmtId="0" fontId="0" fillId="0" borderId="1" xfId="0" applyBorder="1" applyAlignment="1">
      <alignment vertical="center" wrapText="1"/>
    </xf>
    <xf numFmtId="0" fontId="3" fillId="0" borderId="1" xfId="0" applyFont="1" applyBorder="1" applyAlignment="1">
      <alignment horizontal="center" vertical="center" wrapText="1"/>
    </xf>
    <xf numFmtId="0" fontId="3" fillId="0" borderId="0" xfId="0" applyFont="1" applyAlignment="1">
      <alignment vertical="center"/>
    </xf>
    <xf numFmtId="0" fontId="3" fillId="7" borderId="0" xfId="0" applyFont="1" applyFill="1" applyAlignment="1">
      <alignment vertical="center"/>
    </xf>
    <xf numFmtId="166" fontId="3" fillId="7" borderId="0" xfId="0" applyNumberFormat="1" applyFont="1" applyFill="1" applyAlignment="1">
      <alignment horizontal="right" vertical="center" wrapText="1"/>
    </xf>
    <xf numFmtId="167" fontId="3" fillId="7" borderId="0" xfId="2" applyNumberFormat="1" applyFont="1" applyFill="1" applyAlignment="1">
      <alignment horizontal="center" vertical="center"/>
    </xf>
    <xf numFmtId="166" fontId="3" fillId="0" borderId="0" xfId="0" applyNumberFormat="1" applyFont="1" applyAlignment="1">
      <alignment horizontal="right" vertical="center"/>
    </xf>
    <xf numFmtId="167" fontId="3" fillId="0" borderId="0" xfId="2" applyNumberFormat="1" applyFont="1" applyAlignment="1">
      <alignment horizontal="center" vertical="center"/>
    </xf>
    <xf numFmtId="0" fontId="4" fillId="0" borderId="0" xfId="0" applyFont="1" applyAlignment="1">
      <alignment vertical="center"/>
    </xf>
    <xf numFmtId="166" fontId="4" fillId="0" borderId="0" xfId="0" applyNumberFormat="1" applyFont="1" applyAlignment="1">
      <alignment horizontal="right" vertical="center"/>
    </xf>
    <xf numFmtId="167" fontId="4" fillId="0" borderId="0" xfId="2" applyNumberFormat="1" applyFont="1" applyAlignment="1">
      <alignment horizontal="center" vertical="center"/>
    </xf>
    <xf numFmtId="166" fontId="0" fillId="0" borderId="0" xfId="0" applyNumberFormat="1" applyAlignment="1">
      <alignment horizontal="right" vertical="center"/>
    </xf>
    <xf numFmtId="167" fontId="0" fillId="0" borderId="0" xfId="2" applyNumberFormat="1" applyFont="1" applyAlignment="1">
      <alignment horizontal="center" vertical="center"/>
    </xf>
    <xf numFmtId="0" fontId="10" fillId="0" borderId="0" xfId="0" applyFont="1" applyAlignment="1">
      <alignment vertical="center"/>
    </xf>
    <xf numFmtId="166" fontId="3" fillId="0" borderId="8" xfId="0" applyNumberFormat="1" applyFont="1" applyBorder="1" applyAlignment="1">
      <alignment horizontal="right" vertical="center"/>
    </xf>
    <xf numFmtId="166" fontId="3" fillId="0" borderId="23" xfId="0" applyNumberFormat="1" applyFont="1" applyBorder="1" applyAlignment="1">
      <alignment horizontal="right" vertical="center"/>
    </xf>
    <xf numFmtId="166" fontId="3" fillId="0" borderId="22" xfId="0" applyNumberFormat="1" applyFont="1" applyBorder="1" applyAlignment="1">
      <alignment horizontal="right" vertical="center"/>
    </xf>
    <xf numFmtId="0" fontId="8" fillId="6" borderId="24" xfId="0" applyFont="1" applyFill="1" applyBorder="1" applyAlignment="1">
      <alignment horizontal="left" vertical="center" wrapText="1"/>
    </xf>
    <xf numFmtId="0" fontId="8" fillId="6" borderId="4" xfId="0" applyFont="1" applyFill="1" applyBorder="1" applyAlignment="1">
      <alignment horizontal="left" vertical="center" wrapText="1"/>
    </xf>
    <xf numFmtId="3" fontId="8" fillId="6" borderId="4" xfId="0" applyNumberFormat="1" applyFont="1" applyFill="1" applyBorder="1" applyAlignment="1">
      <alignment vertical="center" wrapText="1"/>
    </xf>
    <xf numFmtId="38" fontId="0" fillId="0" borderId="0" xfId="0" applyNumberFormat="1" applyAlignment="1">
      <alignment vertical="center"/>
    </xf>
    <xf numFmtId="0" fontId="13" fillId="0" borderId="0" xfId="0" applyFont="1" applyAlignment="1">
      <alignment horizontal="right" vertical="center"/>
    </xf>
    <xf numFmtId="38" fontId="13" fillId="0" borderId="0" xfId="0" applyNumberFormat="1" applyFont="1" applyAlignment="1">
      <alignment horizontal="right" vertical="center"/>
    </xf>
    <xf numFmtId="38" fontId="3" fillId="0" borderId="0" xfId="0" applyNumberFormat="1" applyFont="1" applyAlignment="1">
      <alignment vertical="center"/>
    </xf>
    <xf numFmtId="38" fontId="0" fillId="0" borderId="22" xfId="0" applyNumberFormat="1" applyBorder="1" applyAlignment="1">
      <alignment vertical="center"/>
    </xf>
    <xf numFmtId="0" fontId="8" fillId="0" borderId="0" xfId="0" applyFont="1" applyAlignment="1">
      <alignment horizontal="right" vertical="center" wrapText="1"/>
    </xf>
    <xf numFmtId="0" fontId="8" fillId="2" borderId="2" xfId="0" applyFont="1" applyFill="1" applyBorder="1" applyAlignment="1">
      <alignment horizontal="right" vertical="center" wrapText="1"/>
    </xf>
    <xf numFmtId="3" fontId="8" fillId="2" borderId="11" xfId="0" applyNumberFormat="1" applyFont="1" applyFill="1" applyBorder="1" applyAlignment="1">
      <alignment horizontal="right" vertical="center" wrapText="1"/>
    </xf>
    <xf numFmtId="3" fontId="8" fillId="0" borderId="13" xfId="0" applyNumberFormat="1" applyFont="1" applyBorder="1" applyAlignment="1">
      <alignment horizontal="right" vertical="center" wrapText="1"/>
    </xf>
    <xf numFmtId="3" fontId="8" fillId="2" borderId="13" xfId="0" applyNumberFormat="1" applyFont="1" applyFill="1" applyBorder="1" applyAlignment="1">
      <alignment horizontal="right" vertical="center" wrapText="1"/>
    </xf>
    <xf numFmtId="38" fontId="8" fillId="0" borderId="13" xfId="0" applyNumberFormat="1" applyFont="1" applyBorder="1" applyAlignment="1">
      <alignment horizontal="right" vertical="center" wrapText="1"/>
    </xf>
    <xf numFmtId="3" fontId="8" fillId="5" borderId="13" xfId="0" applyNumberFormat="1" applyFont="1" applyFill="1" applyBorder="1" applyAlignment="1">
      <alignment horizontal="right" vertical="center" wrapText="1"/>
    </xf>
    <xf numFmtId="38" fontId="8" fillId="5" borderId="13" xfId="1" applyNumberFormat="1" applyFont="1" applyFill="1" applyBorder="1" applyAlignment="1">
      <alignment horizontal="right" vertical="center" wrapText="1"/>
    </xf>
    <xf numFmtId="3" fontId="8" fillId="5" borderId="16" xfId="0" applyNumberFormat="1" applyFont="1" applyFill="1" applyBorder="1" applyAlignment="1">
      <alignment horizontal="right" vertical="center" wrapText="1"/>
    </xf>
    <xf numFmtId="38" fontId="8" fillId="5" borderId="16" xfId="1" applyNumberFormat="1" applyFont="1" applyFill="1" applyBorder="1" applyAlignment="1">
      <alignment horizontal="right" vertical="center" wrapText="1"/>
    </xf>
    <xf numFmtId="3" fontId="8" fillId="6" borderId="11" xfId="0" applyNumberFormat="1" applyFont="1" applyFill="1" applyBorder="1" applyAlignment="1">
      <alignment horizontal="right" vertical="center" wrapText="1"/>
    </xf>
    <xf numFmtId="3" fontId="8" fillId="6" borderId="25" xfId="0" applyNumberFormat="1" applyFont="1" applyFill="1" applyBorder="1" applyAlignment="1">
      <alignment horizontal="right" vertical="center" wrapText="1"/>
    </xf>
    <xf numFmtId="3" fontId="8" fillId="6" borderId="13" xfId="0" applyNumberFormat="1" applyFont="1" applyFill="1" applyBorder="1" applyAlignment="1">
      <alignment horizontal="right" vertical="center" wrapText="1"/>
    </xf>
    <xf numFmtId="3" fontId="8" fillId="0" borderId="0" xfId="0" applyNumberFormat="1" applyFont="1" applyAlignment="1">
      <alignment horizontal="right" vertical="center" wrapText="1"/>
    </xf>
    <xf numFmtId="3" fontId="9" fillId="0" borderId="0" xfId="0" applyNumberFormat="1" applyFont="1" applyAlignment="1">
      <alignment horizontal="right" vertical="center" wrapText="1"/>
    </xf>
    <xf numFmtId="38" fontId="7" fillId="0" borderId="4" xfId="1" applyNumberFormat="1" applyFont="1" applyBorder="1" applyAlignment="1">
      <alignment vertical="center" wrapText="1"/>
    </xf>
    <xf numFmtId="38" fontId="8" fillId="0" borderId="27" xfId="1" applyNumberFormat="1" applyFont="1" applyBorder="1" applyAlignment="1">
      <alignment vertical="center" wrapText="1"/>
    </xf>
    <xf numFmtId="0" fontId="8" fillId="5" borderId="28"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0" borderId="28" xfId="0" applyFont="1" applyBorder="1" applyAlignment="1">
      <alignment horizontal="left" vertical="center" wrapText="1"/>
    </xf>
    <xf numFmtId="38" fontId="7" fillId="0" borderId="28" xfId="1" applyNumberFormat="1" applyFont="1" applyBorder="1" applyAlignment="1">
      <alignment vertical="center" wrapText="1"/>
    </xf>
    <xf numFmtId="38" fontId="8" fillId="0" borderId="32" xfId="1" applyNumberFormat="1" applyFont="1" applyBorder="1" applyAlignment="1">
      <alignment vertical="center" wrapText="1"/>
    </xf>
    <xf numFmtId="38" fontId="7" fillId="0" borderId="31" xfId="1" applyNumberFormat="1" applyFont="1" applyBorder="1" applyAlignment="1">
      <alignment vertical="center" wrapText="1"/>
    </xf>
    <xf numFmtId="38" fontId="8" fillId="0" borderId="28" xfId="1" applyNumberFormat="1" applyFont="1" applyBorder="1" applyAlignment="1">
      <alignment vertical="center" wrapText="1"/>
    </xf>
    <xf numFmtId="0" fontId="8" fillId="5" borderId="31" xfId="0" applyFont="1" applyFill="1" applyBorder="1" applyAlignment="1">
      <alignment horizontal="left" vertical="center" wrapText="1"/>
    </xf>
    <xf numFmtId="0" fontId="8" fillId="0" borderId="10" xfId="0" applyFont="1" applyBorder="1" applyAlignment="1">
      <alignment horizontal="left" vertical="center" wrapText="1"/>
    </xf>
    <xf numFmtId="38" fontId="8" fillId="0" borderId="33" xfId="1" applyNumberFormat="1" applyFont="1" applyBorder="1" applyAlignment="1">
      <alignment vertical="center" wrapText="1"/>
    </xf>
    <xf numFmtId="38" fontId="8" fillId="0" borderId="11" xfId="1" applyNumberFormat="1" applyFont="1" applyBorder="1" applyAlignment="1">
      <alignment vertical="center" wrapText="1"/>
    </xf>
    <xf numFmtId="38" fontId="8" fillId="0" borderId="34" xfId="1" applyNumberFormat="1" applyFont="1" applyBorder="1" applyAlignment="1">
      <alignment vertical="center" wrapText="1"/>
    </xf>
    <xf numFmtId="38" fontId="7" fillId="0" borderId="25" xfId="1" applyNumberFormat="1" applyFont="1" applyBorder="1" applyAlignment="1">
      <alignment vertical="center" wrapText="1"/>
    </xf>
    <xf numFmtId="0" fontId="8" fillId="0" borderId="10" xfId="0" applyFont="1" applyBorder="1" applyAlignment="1">
      <alignment horizontal="center" vertical="center" wrapText="1"/>
    </xf>
    <xf numFmtId="0" fontId="7" fillId="0" borderId="0" xfId="0" applyFont="1" applyAlignment="1">
      <alignment horizontal="center" vertical="center" wrapText="1"/>
    </xf>
    <xf numFmtId="0" fontId="8" fillId="6" borderId="10"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0" borderId="0" xfId="0" applyFont="1" applyAlignment="1">
      <alignment horizontal="left" vertical="center"/>
    </xf>
    <xf numFmtId="0" fontId="7" fillId="0" borderId="22" xfId="0" applyFont="1" applyBorder="1" applyAlignment="1">
      <alignment horizontal="center" vertical="center" wrapText="1"/>
    </xf>
    <xf numFmtId="0" fontId="14" fillId="0" borderId="0" xfId="0" applyFont="1" applyAlignment="1">
      <alignment horizontal="right" vertical="center"/>
    </xf>
    <xf numFmtId="10" fontId="15" fillId="8" borderId="36" xfId="3" applyAlignment="1">
      <alignment horizontal="right" vertical="center"/>
      <protection locked="0"/>
    </xf>
    <xf numFmtId="0" fontId="3"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1" fontId="14" fillId="0" borderId="0" xfId="2" applyNumberFormat="1" applyFont="1" applyBorder="1" applyAlignment="1">
      <alignment vertical="center"/>
    </xf>
    <xf numFmtId="9" fontId="8" fillId="0" borderId="0" xfId="2" applyFont="1" applyFill="1" applyBorder="1" applyAlignment="1">
      <alignment horizontal="center" vertical="center" wrapText="1"/>
    </xf>
    <xf numFmtId="9" fontId="7" fillId="0" borderId="0" xfId="2" applyFont="1" applyFill="1" applyBorder="1" applyAlignment="1">
      <alignment horizontal="center" vertical="center" wrapText="1"/>
    </xf>
    <xf numFmtId="9" fontId="6" fillId="0" borderId="0" xfId="2" applyFont="1" applyAlignment="1">
      <alignment horizontal="center" vertical="center"/>
    </xf>
    <xf numFmtId="10" fontId="16" fillId="8" borderId="36" xfId="3" applyFont="1" applyAlignment="1">
      <alignment horizontal="right" vertical="center"/>
      <protection locked="0"/>
    </xf>
    <xf numFmtId="0" fontId="3" fillId="0" borderId="0" xfId="0" applyFont="1" applyAlignment="1">
      <alignment horizontal="center" vertical="center" wrapText="1"/>
    </xf>
    <xf numFmtId="10" fontId="7" fillId="0" borderId="0" xfId="2" applyNumberFormat="1" applyFont="1" applyFill="1" applyBorder="1" applyAlignment="1">
      <alignment horizontal="right" vertical="center" wrapText="1"/>
    </xf>
    <xf numFmtId="10" fontId="3" fillId="0" borderId="0" xfId="0" applyNumberFormat="1" applyFont="1" applyAlignment="1">
      <alignment horizontal="right" vertical="center"/>
    </xf>
    <xf numFmtId="38" fontId="13" fillId="0" borderId="0" xfId="0" applyNumberFormat="1" applyFont="1" applyAlignment="1">
      <alignment vertical="center"/>
    </xf>
    <xf numFmtId="167" fontId="3" fillId="0" borderId="0" xfId="2" applyNumberFormat="1" applyFont="1" applyFill="1" applyAlignment="1">
      <alignment vertical="center"/>
    </xf>
    <xf numFmtId="167" fontId="6" fillId="0" borderId="0" xfId="2" applyNumberFormat="1" applyFont="1" applyFill="1" applyAlignment="1">
      <alignment vertical="center"/>
    </xf>
    <xf numFmtId="167" fontId="3" fillId="0" borderId="0" xfId="2" applyNumberFormat="1" applyFont="1" applyFill="1" applyAlignment="1">
      <alignment horizontal="center" vertical="center"/>
    </xf>
    <xf numFmtId="0" fontId="7" fillId="0" borderId="37" xfId="0" applyFont="1" applyBorder="1" applyAlignment="1">
      <alignment horizontal="center" vertical="center" wrapText="1"/>
    </xf>
    <xf numFmtId="0" fontId="8" fillId="0" borderId="8" xfId="0" applyFont="1" applyBorder="1" applyAlignment="1">
      <alignment horizontal="left" vertical="center" wrapText="1"/>
    </xf>
    <xf numFmtId="38" fontId="8" fillId="0" borderId="8" xfId="1" applyNumberFormat="1" applyFont="1" applyBorder="1" applyAlignment="1">
      <alignment vertical="center" wrapText="1"/>
    </xf>
    <xf numFmtId="38" fontId="8" fillId="0" borderId="21" xfId="0" applyNumberFormat="1" applyFont="1" applyBorder="1" applyAlignment="1">
      <alignment horizontal="right" vertical="center" wrapText="1"/>
    </xf>
    <xf numFmtId="38" fontId="7" fillId="0" borderId="13" xfId="0" applyNumberFormat="1" applyFont="1" applyBorder="1" applyAlignment="1">
      <alignment horizontal="right" vertical="center" wrapText="1"/>
    </xf>
    <xf numFmtId="0" fontId="3" fillId="4" borderId="1" xfId="0" applyFont="1" applyFill="1" applyBorder="1" applyAlignment="1">
      <alignment horizontal="center" vertical="center"/>
    </xf>
    <xf numFmtId="0" fontId="3" fillId="0" borderId="1" xfId="0" applyFont="1" applyBorder="1" applyAlignment="1">
      <alignment horizontal="lef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17" fillId="9" borderId="38" xfId="0" applyFont="1" applyFill="1" applyBorder="1" applyAlignment="1">
      <alignment horizontal="left" vertical="center" wrapText="1"/>
    </xf>
    <xf numFmtId="0" fontId="17" fillId="9" borderId="39" xfId="0" applyFont="1" applyFill="1" applyBorder="1" applyAlignment="1">
      <alignment horizontal="left" vertical="center" wrapText="1"/>
    </xf>
    <xf numFmtId="0" fontId="17" fillId="9" borderId="40" xfId="0" applyFont="1" applyFill="1" applyBorder="1" applyAlignment="1">
      <alignment horizontal="right" vertical="center" wrapText="1"/>
    </xf>
    <xf numFmtId="0" fontId="19"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3" fontId="24" fillId="0" borderId="1" xfId="0" applyNumberFormat="1" applyFont="1" applyBorder="1" applyAlignment="1">
      <alignment vertical="center" wrapText="1"/>
    </xf>
    <xf numFmtId="0" fontId="24" fillId="0" borderId="1" xfId="0" applyFont="1" applyBorder="1"/>
    <xf numFmtId="165" fontId="25" fillId="10" borderId="0" xfId="1" applyNumberFormat="1" applyFont="1" applyFill="1"/>
    <xf numFmtId="0" fontId="28" fillId="0" borderId="0" xfId="0" applyFont="1" applyProtection="1">
      <protection locked="0"/>
    </xf>
    <xf numFmtId="0" fontId="0" fillId="0" borderId="0" xfId="0" applyAlignment="1">
      <alignment horizontal="left"/>
    </xf>
    <xf numFmtId="0" fontId="0" fillId="0" borderId="0" xfId="0" applyAlignment="1">
      <alignment horizontal="center"/>
    </xf>
    <xf numFmtId="0" fontId="25" fillId="11" borderId="41" xfId="0" applyFont="1" applyFill="1" applyBorder="1" applyAlignment="1" applyProtection="1">
      <alignment vertical="center" wrapText="1"/>
      <protection locked="0"/>
    </xf>
    <xf numFmtId="0" fontId="25" fillId="11" borderId="42" xfId="0" applyFont="1" applyFill="1" applyBorder="1" applyAlignment="1" applyProtection="1">
      <alignment vertical="center" wrapText="1"/>
      <protection locked="0"/>
    </xf>
    <xf numFmtId="0" fontId="25" fillId="11" borderId="42" xfId="0" applyFont="1" applyFill="1" applyBorder="1" applyAlignment="1" applyProtection="1">
      <alignment horizontal="center" vertical="center" wrapText="1"/>
      <protection locked="0"/>
    </xf>
    <xf numFmtId="0" fontId="25" fillId="11" borderId="47" xfId="0" applyFont="1" applyFill="1" applyBorder="1" applyAlignment="1" applyProtection="1">
      <alignment horizontal="center" vertical="center" wrapText="1"/>
      <protection locked="0"/>
    </xf>
    <xf numFmtId="0" fontId="25" fillId="11" borderId="0" xfId="0" applyFont="1" applyFill="1" applyAlignment="1" applyProtection="1">
      <alignment horizontal="center" vertical="center" wrapText="1"/>
      <protection locked="0"/>
    </xf>
    <xf numFmtId="0" fontId="25" fillId="11" borderId="35" xfId="0" applyFont="1" applyFill="1" applyBorder="1" applyAlignment="1" applyProtection="1">
      <alignment horizontal="center" vertical="center" wrapText="1"/>
      <protection locked="0"/>
    </xf>
    <xf numFmtId="0" fontId="25" fillId="11" borderId="47" xfId="0" applyFont="1" applyFill="1" applyBorder="1" applyAlignment="1" applyProtection="1">
      <alignment vertical="center" wrapText="1"/>
      <protection locked="0"/>
    </xf>
    <xf numFmtId="0" fontId="25" fillId="11" borderId="0" xfId="0" applyFont="1" applyFill="1" applyAlignment="1" applyProtection="1">
      <alignment vertical="center" wrapText="1"/>
      <protection locked="0"/>
    </xf>
    <xf numFmtId="0" fontId="25" fillId="11" borderId="49" xfId="0" applyFont="1" applyFill="1" applyBorder="1" applyAlignment="1" applyProtection="1">
      <alignment horizontal="center" vertical="center" wrapText="1"/>
      <protection locked="0"/>
    </xf>
    <xf numFmtId="0" fontId="25" fillId="11" borderId="50" xfId="0" applyFont="1" applyFill="1" applyBorder="1" applyAlignment="1" applyProtection="1">
      <alignment horizontal="center" vertical="center" wrapText="1"/>
      <protection locked="0"/>
    </xf>
    <xf numFmtId="0" fontId="25" fillId="11" borderId="50" xfId="0" applyFont="1" applyFill="1" applyBorder="1" applyAlignment="1" applyProtection="1">
      <alignment horizontal="center" vertical="top" wrapText="1"/>
      <protection locked="0"/>
    </xf>
    <xf numFmtId="0" fontId="25" fillId="11" borderId="51" xfId="0" applyFont="1" applyFill="1" applyBorder="1" applyAlignment="1" applyProtection="1">
      <alignment horizontal="center" wrapText="1"/>
      <protection locked="0"/>
    </xf>
    <xf numFmtId="0" fontId="29" fillId="12" borderId="17" xfId="0" applyFont="1" applyFill="1" applyBorder="1" applyAlignment="1" applyProtection="1">
      <alignment horizontal="left" vertical="center" wrapText="1"/>
      <protection locked="0"/>
    </xf>
    <xf numFmtId="0" fontId="30" fillId="12" borderId="17" xfId="0" applyFont="1" applyFill="1" applyBorder="1" applyAlignment="1" applyProtection="1">
      <alignment horizontal="center" vertical="center" wrapText="1"/>
      <protection locked="0"/>
    </xf>
    <xf numFmtId="0" fontId="30" fillId="12" borderId="31" xfId="0" applyFont="1" applyFill="1" applyBorder="1" applyAlignment="1" applyProtection="1">
      <alignment horizontal="left" vertical="top" wrapText="1"/>
      <protection locked="0"/>
    </xf>
    <xf numFmtId="0" fontId="30" fillId="12" borderId="4" xfId="0" applyFont="1" applyFill="1" applyBorder="1" applyAlignment="1" applyProtection="1">
      <alignment horizontal="left" vertical="top" wrapText="1"/>
      <protection locked="0"/>
    </xf>
    <xf numFmtId="0" fontId="30" fillId="0" borderId="4" xfId="0" applyFont="1" applyBorder="1" applyAlignment="1" applyProtection="1">
      <alignment horizontal="left" vertical="top"/>
      <protection locked="0"/>
    </xf>
    <xf numFmtId="165" fontId="30" fillId="0" borderId="4" xfId="1" applyNumberFormat="1" applyFont="1" applyBorder="1" applyAlignment="1" applyProtection="1">
      <alignment horizontal="right" vertical="top"/>
      <protection locked="0"/>
    </xf>
    <xf numFmtId="165" fontId="30" fillId="0" borderId="4" xfId="1" applyNumberFormat="1" applyFont="1" applyBorder="1" applyAlignment="1" applyProtection="1">
      <alignment horizontal="right" vertical="top"/>
    </xf>
    <xf numFmtId="165" fontId="30" fillId="0" borderId="1" xfId="1" applyNumberFormat="1" applyFont="1" applyBorder="1" applyAlignment="1" applyProtection="1">
      <alignment horizontal="right" vertical="top"/>
      <protection locked="0"/>
    </xf>
    <xf numFmtId="0" fontId="30" fillId="0" borderId="4" xfId="0" applyFont="1" applyBorder="1" applyAlignment="1" applyProtection="1">
      <alignment horizontal="center" vertical="center" wrapText="1"/>
      <protection locked="0"/>
    </xf>
    <xf numFmtId="0" fontId="30" fillId="12" borderId="3" xfId="0" applyFont="1" applyFill="1" applyBorder="1" applyAlignment="1" applyProtection="1">
      <alignment horizontal="center" vertical="center" wrapText="1"/>
      <protection locked="0"/>
    </xf>
    <xf numFmtId="165" fontId="30" fillId="0" borderId="37" xfId="1" applyNumberFormat="1" applyFont="1" applyBorder="1" applyAlignment="1" applyProtection="1">
      <alignment horizontal="right" vertical="top"/>
    </xf>
    <xf numFmtId="0" fontId="30" fillId="0" borderId="4" xfId="0" applyFont="1" applyBorder="1" applyAlignment="1" applyProtection="1">
      <alignment horizontal="left" vertical="top" wrapText="1"/>
      <protection locked="0"/>
    </xf>
    <xf numFmtId="0" fontId="31" fillId="13" borderId="1" xfId="0" applyFont="1" applyFill="1" applyBorder="1" applyAlignment="1" applyProtection="1">
      <alignment horizontal="left" vertical="top" wrapText="1"/>
      <protection locked="0"/>
    </xf>
    <xf numFmtId="0" fontId="30" fillId="13" borderId="31" xfId="0" applyFont="1" applyFill="1" applyBorder="1" applyAlignment="1" applyProtection="1">
      <alignment horizontal="left" vertical="top" wrapText="1"/>
      <protection locked="0"/>
    </xf>
    <xf numFmtId="0" fontId="30" fillId="13" borderId="4" xfId="0" applyFont="1" applyFill="1" applyBorder="1" applyAlignment="1" applyProtection="1">
      <alignment horizontal="left" vertical="top" wrapText="1"/>
      <protection locked="0"/>
    </xf>
    <xf numFmtId="0" fontId="30" fillId="13" borderId="4" xfId="0" applyFont="1" applyFill="1" applyBorder="1" applyAlignment="1" applyProtection="1">
      <alignment horizontal="left" vertical="top"/>
      <protection locked="0"/>
    </xf>
    <xf numFmtId="165" fontId="30" fillId="13" borderId="4" xfId="1" applyNumberFormat="1" applyFont="1" applyFill="1" applyBorder="1" applyAlignment="1" applyProtection="1">
      <alignment horizontal="right" vertical="top"/>
      <protection locked="0"/>
    </xf>
    <xf numFmtId="165" fontId="30" fillId="13" borderId="4" xfId="1" applyNumberFormat="1" applyFont="1" applyFill="1" applyBorder="1" applyAlignment="1" applyProtection="1">
      <alignment horizontal="right" vertical="top"/>
    </xf>
    <xf numFmtId="0" fontId="32" fillId="13" borderId="4" xfId="0" applyFont="1" applyFill="1" applyBorder="1" applyAlignment="1" applyProtection="1">
      <alignment horizontal="center" vertical="center" wrapText="1"/>
      <protection locked="0"/>
    </xf>
    <xf numFmtId="0" fontId="30" fillId="13" borderId="4" xfId="0" applyFont="1" applyFill="1" applyBorder="1" applyAlignment="1" applyProtection="1">
      <alignment horizontal="center" vertical="center" wrapText="1"/>
      <protection locked="0"/>
    </xf>
    <xf numFmtId="0" fontId="30" fillId="12" borderId="1" xfId="0" applyFont="1" applyFill="1" applyBorder="1" applyAlignment="1" applyProtection="1">
      <alignment horizontal="left" vertical="top" wrapText="1"/>
      <protection locked="0"/>
    </xf>
    <xf numFmtId="0" fontId="30" fillId="12" borderId="28" xfId="0" applyFont="1" applyFill="1" applyBorder="1" applyAlignment="1" applyProtection="1">
      <alignment horizontal="left" vertical="top" wrapText="1"/>
      <protection locked="0"/>
    </xf>
    <xf numFmtId="0" fontId="30" fillId="13" borderId="1" xfId="0" applyFont="1" applyFill="1" applyBorder="1" applyAlignment="1" applyProtection="1">
      <alignment horizontal="center" vertical="center"/>
      <protection locked="0"/>
    </xf>
    <xf numFmtId="0" fontId="30" fillId="13" borderId="30" xfId="0" applyFont="1" applyFill="1" applyBorder="1" applyAlignment="1" applyProtection="1">
      <alignment horizontal="left" vertical="top" wrapText="1"/>
      <protection locked="0"/>
    </xf>
    <xf numFmtId="0" fontId="30" fillId="13" borderId="2" xfId="0" applyFont="1" applyFill="1" applyBorder="1" applyAlignment="1" applyProtection="1">
      <alignment horizontal="left" vertical="top" wrapText="1"/>
      <protection locked="0"/>
    </xf>
    <xf numFmtId="0" fontId="30" fillId="13" borderId="1" xfId="0" applyFont="1" applyFill="1" applyBorder="1" applyAlignment="1" applyProtection="1">
      <alignment horizontal="left" vertical="top"/>
      <protection locked="0"/>
    </xf>
    <xf numFmtId="165" fontId="30" fillId="13" borderId="2" xfId="1" applyNumberFormat="1" applyFont="1" applyFill="1" applyBorder="1" applyAlignment="1" applyProtection="1">
      <alignment horizontal="right" vertical="top"/>
      <protection locked="0"/>
    </xf>
    <xf numFmtId="165" fontId="30" fillId="13" borderId="1" xfId="1" applyNumberFormat="1" applyFont="1" applyFill="1" applyBorder="1" applyAlignment="1" applyProtection="1">
      <alignment horizontal="right" vertical="top"/>
    </xf>
    <xf numFmtId="165" fontId="30" fillId="13" borderId="1" xfId="1" applyNumberFormat="1" applyFont="1" applyFill="1" applyBorder="1" applyAlignment="1" applyProtection="1">
      <alignment horizontal="right" vertical="top"/>
      <protection locked="0"/>
    </xf>
    <xf numFmtId="0" fontId="30" fillId="13" borderId="1" xfId="0" applyFont="1" applyFill="1" applyBorder="1" applyAlignment="1" applyProtection="1">
      <alignment horizontal="center" vertical="center" wrapText="1"/>
      <protection locked="0"/>
    </xf>
    <xf numFmtId="0" fontId="30" fillId="12" borderId="30" xfId="0" applyFont="1" applyFill="1" applyBorder="1" applyAlignment="1" applyProtection="1">
      <alignment horizontal="left" vertical="top" wrapText="1"/>
      <protection locked="0"/>
    </xf>
    <xf numFmtId="0" fontId="30" fillId="0" borderId="1" xfId="0" applyFont="1" applyBorder="1" applyAlignment="1" applyProtection="1">
      <alignment horizontal="center" vertical="center" wrapText="1"/>
      <protection locked="0"/>
    </xf>
    <xf numFmtId="0" fontId="30" fillId="12" borderId="2" xfId="0" applyFont="1" applyFill="1" applyBorder="1" applyAlignment="1" applyProtection="1">
      <alignment horizontal="left" vertical="top" wrapText="1"/>
      <protection locked="0"/>
    </xf>
    <xf numFmtId="0" fontId="30" fillId="0" borderId="2" xfId="0" applyFont="1" applyBorder="1" applyAlignment="1" applyProtection="1">
      <alignment horizontal="left" vertical="top"/>
      <protection locked="0"/>
    </xf>
    <xf numFmtId="165" fontId="30" fillId="0" borderId="2" xfId="1" applyNumberFormat="1" applyFont="1" applyBorder="1" applyAlignment="1" applyProtection="1">
      <alignment horizontal="right" vertical="top"/>
      <protection locked="0"/>
    </xf>
    <xf numFmtId="0" fontId="30" fillId="13" borderId="2" xfId="0" applyFont="1" applyFill="1" applyBorder="1" applyAlignment="1" applyProtection="1">
      <alignment horizontal="left" vertical="top"/>
      <protection locked="0"/>
    </xf>
    <xf numFmtId="0" fontId="29" fillId="12" borderId="54" xfId="0" applyFont="1" applyFill="1" applyBorder="1" applyAlignment="1" applyProtection="1">
      <alignment horizontal="left" vertical="top" wrapText="1"/>
      <protection locked="0"/>
    </xf>
    <xf numFmtId="0" fontId="31" fillId="12" borderId="54" xfId="0" applyFont="1" applyFill="1" applyBorder="1" applyAlignment="1" applyProtection="1">
      <alignment horizontal="left" vertical="top" wrapText="1"/>
      <protection locked="0"/>
    </xf>
    <xf numFmtId="0" fontId="30" fillId="12" borderId="55" xfId="0" applyFont="1" applyFill="1" applyBorder="1" applyAlignment="1" applyProtection="1">
      <alignment horizontal="left" vertical="top" wrapText="1"/>
      <protection locked="0"/>
    </xf>
    <xf numFmtId="0" fontId="30" fillId="12" borderId="54" xfId="0" applyFont="1" applyFill="1" applyBorder="1" applyAlignment="1" applyProtection="1">
      <alignment horizontal="left" vertical="top" wrapText="1"/>
      <protection locked="0"/>
    </xf>
    <xf numFmtId="0" fontId="30" fillId="0" borderId="54" xfId="0" applyFont="1" applyBorder="1" applyAlignment="1" applyProtection="1">
      <alignment horizontal="left" vertical="top"/>
      <protection locked="0"/>
    </xf>
    <xf numFmtId="165" fontId="30" fillId="0" borderId="54" xfId="1" applyNumberFormat="1" applyFont="1" applyBorder="1" applyAlignment="1" applyProtection="1">
      <alignment horizontal="right" vertical="top"/>
      <protection locked="0"/>
    </xf>
    <xf numFmtId="165" fontId="29" fillId="0" borderId="54" xfId="1" applyNumberFormat="1" applyFont="1" applyBorder="1" applyAlignment="1" applyProtection="1">
      <alignment horizontal="right" vertical="top"/>
      <protection locked="0"/>
    </xf>
    <xf numFmtId="0" fontId="32" fillId="0" borderId="54" xfId="0" applyFont="1" applyBorder="1" applyAlignment="1" applyProtection="1">
      <alignment horizontal="center" vertical="center" wrapText="1"/>
      <protection locked="0"/>
    </xf>
    <xf numFmtId="0" fontId="30" fillId="12" borderId="2" xfId="0" applyFont="1" applyFill="1" applyBorder="1" applyAlignment="1" applyProtection="1">
      <alignment horizontal="left" vertical="center" wrapText="1"/>
      <protection locked="0"/>
    </xf>
    <xf numFmtId="0" fontId="30" fillId="12" borderId="3" xfId="0" applyFont="1" applyFill="1" applyBorder="1" applyAlignment="1" applyProtection="1">
      <alignment horizontal="left" vertical="center" wrapText="1"/>
      <protection locked="0"/>
    </xf>
    <xf numFmtId="0" fontId="30" fillId="13" borderId="1" xfId="0" applyFont="1" applyFill="1" applyBorder="1" applyAlignment="1" applyProtection="1">
      <alignment horizontal="left" vertical="center" wrapText="1"/>
      <protection locked="0"/>
    </xf>
    <xf numFmtId="0" fontId="31" fillId="13" borderId="4" xfId="0" applyFont="1" applyFill="1" applyBorder="1" applyAlignment="1" applyProtection="1">
      <alignment horizontal="left" vertical="top" wrapText="1"/>
      <protection locked="0"/>
    </xf>
    <xf numFmtId="0" fontId="30" fillId="0" borderId="1" xfId="0" applyFont="1" applyBorder="1" applyAlignment="1" applyProtection="1">
      <alignment horizontal="left" vertical="top"/>
      <protection locked="0"/>
    </xf>
    <xf numFmtId="0" fontId="30" fillId="14" borderId="4" xfId="0" applyFont="1" applyFill="1" applyBorder="1" applyAlignment="1" applyProtection="1">
      <alignment horizontal="left" vertical="center" wrapText="1"/>
      <protection locked="0"/>
    </xf>
    <xf numFmtId="0" fontId="30" fillId="14" borderId="28" xfId="0" applyFont="1" applyFill="1" applyBorder="1" applyAlignment="1" applyProtection="1">
      <alignment horizontal="left" vertical="top" wrapText="1"/>
      <protection locked="0"/>
    </xf>
    <xf numFmtId="0" fontId="30" fillId="14" borderId="1" xfId="0" applyFont="1" applyFill="1" applyBorder="1" applyAlignment="1" applyProtection="1">
      <alignment horizontal="left" vertical="top" wrapText="1"/>
      <protection locked="0"/>
    </xf>
    <xf numFmtId="0" fontId="30" fillId="14" borderId="1" xfId="0" applyFont="1" applyFill="1" applyBorder="1" applyAlignment="1" applyProtection="1">
      <alignment horizontal="left" vertical="top"/>
      <protection locked="0"/>
    </xf>
    <xf numFmtId="165" fontId="30" fillId="14" borderId="1" xfId="1" applyNumberFormat="1" applyFont="1" applyFill="1" applyBorder="1" applyAlignment="1" applyProtection="1">
      <alignment horizontal="right" vertical="top"/>
      <protection locked="0"/>
    </xf>
    <xf numFmtId="165" fontId="30" fillId="14" borderId="4" xfId="1" applyNumberFormat="1" applyFont="1" applyFill="1" applyBorder="1" applyAlignment="1" applyProtection="1">
      <alignment horizontal="right" vertical="top"/>
    </xf>
    <xf numFmtId="165" fontId="30" fillId="14" borderId="4" xfId="1" applyNumberFormat="1" applyFont="1" applyFill="1" applyBorder="1" applyAlignment="1" applyProtection="1">
      <alignment horizontal="right" vertical="top"/>
      <protection locked="0"/>
    </xf>
    <xf numFmtId="0" fontId="30" fillId="14" borderId="4" xfId="0" applyFont="1" applyFill="1" applyBorder="1" applyAlignment="1" applyProtection="1">
      <alignment horizontal="center" vertical="center" wrapText="1"/>
      <protection locked="0"/>
    </xf>
    <xf numFmtId="0" fontId="29" fillId="12" borderId="1" xfId="0" applyFont="1" applyFill="1" applyBorder="1" applyAlignment="1" applyProtection="1">
      <alignment horizontal="left" vertical="top" wrapText="1"/>
      <protection locked="0"/>
    </xf>
    <xf numFmtId="0" fontId="33" fillId="12" borderId="1" xfId="0" applyFont="1" applyFill="1" applyBorder="1" applyAlignment="1" applyProtection="1">
      <alignment horizontal="left" vertical="top" wrapText="1"/>
      <protection locked="0"/>
    </xf>
    <xf numFmtId="0" fontId="32" fillId="0" borderId="4" xfId="0" applyFont="1" applyBorder="1" applyAlignment="1" applyProtection="1">
      <alignment horizontal="center" vertical="center" wrapText="1"/>
      <protection locked="0"/>
    </xf>
    <xf numFmtId="0" fontId="25" fillId="10" borderId="0" xfId="0" applyFont="1" applyFill="1" applyAlignment="1">
      <alignment horizontal="left" vertical="top"/>
    </xf>
    <xf numFmtId="0" fontId="25" fillId="10" borderId="0" xfId="0" applyFont="1" applyFill="1"/>
    <xf numFmtId="0" fontId="25" fillId="10" borderId="0" xfId="0" applyFont="1" applyFill="1" applyAlignment="1">
      <alignment horizontal="left"/>
    </xf>
    <xf numFmtId="0" fontId="25" fillId="10" borderId="0" xfId="0" applyFont="1" applyFill="1" applyAlignment="1">
      <alignment horizontal="center"/>
    </xf>
    <xf numFmtId="165" fontId="35" fillId="10" borderId="1" xfId="0" applyNumberFormat="1" applyFont="1" applyFill="1" applyBorder="1"/>
    <xf numFmtId="0" fontId="0" fillId="10" borderId="0" xfId="0" applyFill="1"/>
    <xf numFmtId="0" fontId="36" fillId="0" borderId="0" xfId="0" applyFont="1" applyProtection="1">
      <protection locked="0"/>
    </xf>
    <xf numFmtId="0" fontId="3" fillId="0" borderId="0" xfId="0" applyFont="1" applyAlignment="1">
      <alignment horizontal="left"/>
    </xf>
    <xf numFmtId="0" fontId="8" fillId="0" borderId="2" xfId="0" applyFont="1" applyBorder="1" applyAlignment="1">
      <alignment horizontal="left" vertical="center" wrapText="1"/>
    </xf>
    <xf numFmtId="38" fontId="8" fillId="0" borderId="2" xfId="1" applyNumberFormat="1" applyFont="1" applyBorder="1" applyAlignment="1">
      <alignment vertical="center" wrapText="1"/>
    </xf>
    <xf numFmtId="38" fontId="8" fillId="0" borderId="58" xfId="0" applyNumberFormat="1" applyFont="1" applyBorder="1" applyAlignment="1">
      <alignment horizontal="right" vertical="center" wrapText="1"/>
    </xf>
    <xf numFmtId="38" fontId="8" fillId="0" borderId="4" xfId="1" applyNumberFormat="1" applyFont="1" applyBorder="1" applyAlignment="1">
      <alignment vertical="center" wrapText="1"/>
    </xf>
    <xf numFmtId="38" fontId="8" fillId="0" borderId="25" xfId="0" applyNumberFormat="1" applyFont="1" applyBorder="1" applyAlignment="1">
      <alignment horizontal="right" vertical="center" wrapText="1"/>
    </xf>
    <xf numFmtId="0" fontId="8" fillId="2" borderId="59" xfId="0" applyFont="1" applyFill="1" applyBorder="1" applyAlignment="1">
      <alignment horizontal="left" vertical="center" wrapText="1"/>
    </xf>
    <xf numFmtId="0" fontId="8" fillId="2" borderId="59" xfId="0" applyFont="1" applyFill="1" applyBorder="1" applyAlignment="1">
      <alignment horizontal="center" vertical="center" wrapText="1"/>
    </xf>
    <xf numFmtId="3" fontId="8" fillId="2" borderId="59" xfId="0" applyNumberFormat="1" applyFont="1" applyFill="1" applyBorder="1" applyAlignment="1">
      <alignment vertical="center" wrapText="1"/>
    </xf>
    <xf numFmtId="3" fontId="8" fillId="2" borderId="57" xfId="0" applyNumberFormat="1" applyFont="1" applyFill="1" applyBorder="1" applyAlignment="1">
      <alignment horizontal="right" vertical="center" wrapText="1"/>
    </xf>
    <xf numFmtId="0" fontId="3" fillId="15" borderId="1" xfId="0" applyFont="1" applyFill="1" applyBorder="1"/>
    <xf numFmtId="0" fontId="0" fillId="15" borderId="1" xfId="0" applyFill="1" applyBorder="1"/>
    <xf numFmtId="0" fontId="3" fillId="0" borderId="1" xfId="0" applyFont="1" applyBorder="1" applyAlignment="1">
      <alignment horizontal="center" wrapText="1"/>
    </xf>
    <xf numFmtId="0" fontId="0" fillId="0" borderId="1" xfId="0" applyBorder="1"/>
    <xf numFmtId="9" fontId="0" fillId="0" borderId="1" xfId="0" applyNumberFormat="1" applyBorder="1" applyAlignment="1">
      <alignment horizontal="center"/>
    </xf>
    <xf numFmtId="0" fontId="3" fillId="16" borderId="1" xfId="0" applyFont="1" applyFill="1" applyBorder="1"/>
    <xf numFmtId="165" fontId="30" fillId="0" borderId="3" xfId="1" applyNumberFormat="1" applyFont="1" applyFill="1" applyBorder="1" applyAlignment="1" applyProtection="1">
      <alignment horizontal="right" vertical="top"/>
      <protection locked="0"/>
    </xf>
    <xf numFmtId="0" fontId="30" fillId="0" borderId="3" xfId="0" applyFont="1" applyBorder="1" applyAlignment="1" applyProtection="1">
      <alignment horizontal="center" vertical="center" wrapText="1"/>
      <protection locked="0"/>
    </xf>
    <xf numFmtId="165" fontId="30" fillId="0" borderId="1" xfId="1" applyNumberFormat="1" applyFont="1" applyBorder="1" applyAlignment="1" applyProtection="1">
      <alignment horizontal="right" vertical="top"/>
    </xf>
    <xf numFmtId="165" fontId="30" fillId="0" borderId="3" xfId="1" applyNumberFormat="1" applyFont="1" applyBorder="1" applyAlignment="1" applyProtection="1">
      <alignment horizontal="right" vertical="top"/>
      <protection locked="0"/>
    </xf>
    <xf numFmtId="165" fontId="30" fillId="0" borderId="3" xfId="1" applyNumberFormat="1" applyFont="1" applyBorder="1" applyAlignment="1" applyProtection="1">
      <alignment horizontal="right" vertical="top"/>
    </xf>
    <xf numFmtId="0" fontId="30" fillId="12" borderId="7" xfId="0" applyFont="1" applyFill="1" applyBorder="1" applyAlignment="1" applyProtection="1">
      <alignment horizontal="left" vertical="top" wrapText="1"/>
      <protection locked="0"/>
    </xf>
    <xf numFmtId="0" fontId="30" fillId="12" borderId="3" xfId="0" applyFont="1" applyFill="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29" fillId="12" borderId="59" xfId="0" applyFont="1" applyFill="1" applyBorder="1" applyAlignment="1" applyProtection="1">
      <alignment horizontal="center" vertical="center" wrapText="1"/>
      <protection locked="0"/>
    </xf>
    <xf numFmtId="0" fontId="30" fillId="12" borderId="60" xfId="0" applyFont="1" applyFill="1" applyBorder="1" applyAlignment="1" applyProtection="1">
      <alignment horizontal="left" vertical="top" wrapText="1"/>
      <protection locked="0"/>
    </xf>
    <xf numFmtId="0" fontId="30" fillId="12" borderId="59" xfId="0" applyFont="1" applyFill="1" applyBorder="1" applyAlignment="1" applyProtection="1">
      <alignment horizontal="left" vertical="top" wrapText="1"/>
      <protection locked="0"/>
    </xf>
    <xf numFmtId="0" fontId="30" fillId="0" borderId="59" xfId="0" applyFont="1" applyBorder="1" applyAlignment="1" applyProtection="1">
      <alignment horizontal="left" vertical="top" wrapText="1"/>
      <protection locked="0"/>
    </xf>
    <xf numFmtId="165" fontId="30" fillId="0" borderId="59" xfId="1" applyNumberFormat="1" applyFont="1" applyBorder="1" applyAlignment="1" applyProtection="1">
      <alignment horizontal="right" vertical="top"/>
      <protection locked="0"/>
    </xf>
    <xf numFmtId="165" fontId="30" fillId="0" borderId="59" xfId="1" applyNumberFormat="1" applyFont="1" applyBorder="1" applyAlignment="1" applyProtection="1">
      <alignment horizontal="right" vertical="top"/>
    </xf>
    <xf numFmtId="0" fontId="30" fillId="0" borderId="59" xfId="0" applyFont="1" applyBorder="1" applyAlignment="1" applyProtection="1">
      <alignment horizontal="center" vertical="center" wrapText="1"/>
      <protection locked="0"/>
    </xf>
    <xf numFmtId="165" fontId="30" fillId="0" borderId="15" xfId="1" applyNumberFormat="1" applyFont="1" applyBorder="1" applyAlignment="1" applyProtection="1">
      <alignment horizontal="right" vertical="top"/>
      <protection locked="0"/>
    </xf>
    <xf numFmtId="165" fontId="30" fillId="0" borderId="15" xfId="1" applyNumberFormat="1" applyFont="1" applyBorder="1" applyAlignment="1" applyProtection="1">
      <alignment horizontal="right" vertical="top"/>
    </xf>
    <xf numFmtId="165" fontId="0" fillId="0" borderId="0" xfId="0" applyNumberFormat="1"/>
    <xf numFmtId="3" fontId="7" fillId="0" borderId="0" xfId="0" applyNumberFormat="1" applyFont="1" applyAlignment="1">
      <alignment vertical="center" wrapText="1"/>
    </xf>
    <xf numFmtId="3" fontId="8" fillId="0" borderId="0" xfId="0" applyNumberFormat="1" applyFont="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7" xfId="0" applyFont="1" applyBorder="1" applyAlignment="1">
      <alignment horizontal="center" vertical="center" wrapText="1"/>
    </xf>
    <xf numFmtId="0" fontId="8" fillId="0" borderId="9" xfId="0" applyFont="1" applyBorder="1" applyAlignment="1">
      <alignment horizontal="left" vertical="center" wrapText="1"/>
    </xf>
    <xf numFmtId="0" fontId="8" fillId="0" borderId="12" xfId="0" applyFont="1" applyBorder="1" applyAlignment="1">
      <alignment horizontal="left" vertical="center" wrapText="1"/>
    </xf>
    <xf numFmtId="0" fontId="8" fillId="0" borderId="14" xfId="0" applyFont="1" applyBorder="1" applyAlignment="1">
      <alignment horizontal="left"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35" xfId="0" applyFont="1" applyBorder="1" applyAlignment="1">
      <alignment horizontal="center" vertical="center" wrapText="1"/>
    </xf>
    <xf numFmtId="0" fontId="7" fillId="4" borderId="5"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8" xfId="0" applyFont="1" applyBorder="1" applyAlignment="1">
      <alignment horizontal="left" vertical="center" wrapText="1"/>
    </xf>
    <xf numFmtId="0" fontId="7" fillId="0" borderId="22" xfId="0" applyFont="1" applyBorder="1" applyAlignment="1">
      <alignment horizontal="center" vertical="center" wrapText="1"/>
    </xf>
    <xf numFmtId="0" fontId="7" fillId="0" borderId="2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7"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7" fillId="0" borderId="37" xfId="0" applyFont="1" applyBorder="1" applyAlignment="1">
      <alignment horizontal="center" vertical="center" wrapText="1"/>
    </xf>
    <xf numFmtId="0" fontId="21" fillId="0" borderId="0" xfId="0" applyFont="1" applyAlignment="1">
      <alignment horizontal="left" vertical="center" wrapText="1"/>
    </xf>
    <xf numFmtId="0" fontId="4" fillId="4" borderId="1" xfId="0" applyFont="1" applyFill="1" applyBorder="1" applyAlignment="1">
      <alignment horizontal="left" vertical="center"/>
    </xf>
    <xf numFmtId="0" fontId="30" fillId="12" borderId="2" xfId="0" applyFont="1" applyFill="1" applyBorder="1" applyAlignment="1" applyProtection="1">
      <alignment vertical="top" wrapText="1"/>
      <protection locked="0"/>
    </xf>
    <xf numFmtId="0" fontId="30" fillId="12" borderId="3" xfId="0" applyFont="1" applyFill="1" applyBorder="1" applyAlignment="1" applyProtection="1">
      <alignment vertical="top" wrapText="1"/>
      <protection locked="0"/>
    </xf>
    <xf numFmtId="0" fontId="0" fillId="0" borderId="3" xfId="0" applyBorder="1" applyAlignment="1">
      <alignment wrapText="1"/>
    </xf>
    <xf numFmtId="0" fontId="0" fillId="0" borderId="61" xfId="0" applyBorder="1" applyAlignment="1">
      <alignment wrapText="1"/>
    </xf>
    <xf numFmtId="0" fontId="30" fillId="0" borderId="2" xfId="0" applyFont="1" applyBorder="1" applyAlignment="1" applyProtection="1">
      <alignment horizontal="center" vertical="center" wrapText="1"/>
      <protection locked="0"/>
    </xf>
    <xf numFmtId="0" fontId="29" fillId="12" borderId="17" xfId="0" applyFont="1" applyFill="1" applyBorder="1" applyAlignment="1" applyProtection="1">
      <alignment horizontal="left" vertical="center" wrapText="1"/>
      <protection locked="0"/>
    </xf>
    <xf numFmtId="0" fontId="0" fillId="0" borderId="3" xfId="0" applyBorder="1" applyAlignment="1">
      <alignment horizontal="left" wrapText="1"/>
    </xf>
    <xf numFmtId="0" fontId="0" fillId="0" borderId="4" xfId="0" applyBorder="1" applyAlignment="1">
      <alignment horizontal="left" wrapText="1"/>
    </xf>
    <xf numFmtId="0" fontId="25" fillId="11" borderId="43" xfId="0" applyFont="1" applyFill="1" applyBorder="1" applyAlignment="1" applyProtection="1">
      <alignment horizontal="center" vertical="center" wrapText="1"/>
      <protection locked="0"/>
    </xf>
    <xf numFmtId="0" fontId="25" fillId="11" borderId="44" xfId="0" applyFont="1" applyFill="1" applyBorder="1" applyAlignment="1" applyProtection="1">
      <alignment horizontal="center" vertical="center" wrapText="1"/>
      <protection locked="0"/>
    </xf>
    <xf numFmtId="0" fontId="25" fillId="11" borderId="45" xfId="0" applyFont="1" applyFill="1" applyBorder="1" applyAlignment="1" applyProtection="1">
      <alignment horizontal="center" vertical="center" wrapText="1"/>
      <protection locked="0"/>
    </xf>
    <xf numFmtId="0" fontId="25" fillId="11" borderId="46" xfId="0" applyFont="1" applyFill="1" applyBorder="1" applyAlignment="1" applyProtection="1">
      <alignment horizontal="center" vertical="center" wrapText="1"/>
      <protection locked="0"/>
    </xf>
    <xf numFmtId="0" fontId="25" fillId="11" borderId="48" xfId="0" applyFont="1" applyFill="1" applyBorder="1" applyAlignment="1" applyProtection="1">
      <alignment horizontal="center" vertical="center" wrapText="1"/>
      <protection locked="0"/>
    </xf>
    <xf numFmtId="0" fontId="25" fillId="11" borderId="52" xfId="0" applyFont="1" applyFill="1" applyBorder="1" applyAlignment="1" applyProtection="1">
      <alignment horizontal="center" vertical="center" wrapText="1"/>
      <protection locked="0"/>
    </xf>
    <xf numFmtId="0" fontId="29" fillId="12" borderId="17" xfId="0" applyFont="1" applyFill="1" applyBorder="1" applyAlignment="1" applyProtection="1">
      <alignment horizontal="center" vertical="center" wrapText="1"/>
      <protection locked="0"/>
    </xf>
    <xf numFmtId="0" fontId="0" fillId="0" borderId="3" xfId="0" applyBorder="1" applyAlignment="1">
      <alignment vertical="center" wrapText="1"/>
    </xf>
    <xf numFmtId="0" fontId="0" fillId="0" borderId="53" xfId="0" applyBorder="1" applyAlignment="1">
      <alignment vertical="center" wrapText="1"/>
    </xf>
    <xf numFmtId="0" fontId="30" fillId="12" borderId="2" xfId="0" applyFont="1" applyFill="1" applyBorder="1" applyAlignment="1" applyProtection="1">
      <alignment horizontal="center" vertical="center" wrapText="1"/>
      <protection locked="0"/>
    </xf>
    <xf numFmtId="0" fontId="30" fillId="12" borderId="3" xfId="0" applyFont="1" applyFill="1" applyBorder="1" applyAlignment="1" applyProtection="1">
      <alignment horizontal="center" vertical="center" wrapText="1"/>
      <protection locked="0"/>
    </xf>
    <xf numFmtId="0" fontId="34" fillId="10" borderId="5" xfId="0" applyFont="1" applyFill="1" applyBorder="1" applyAlignment="1">
      <alignment horizontal="center"/>
    </xf>
    <xf numFmtId="0" fontId="34" fillId="10" borderId="8" xfId="0" applyFont="1" applyFill="1" applyBorder="1" applyAlignment="1">
      <alignment horizontal="center"/>
    </xf>
    <xf numFmtId="0" fontId="34" fillId="10" borderId="28" xfId="0" applyFont="1" applyFill="1" applyBorder="1" applyAlignment="1">
      <alignment horizontal="center"/>
    </xf>
    <xf numFmtId="0" fontId="29" fillId="12" borderId="17" xfId="0" applyFont="1" applyFill="1" applyBorder="1" applyAlignment="1" applyProtection="1">
      <alignment horizontal="center" vertical="top" wrapText="1"/>
      <protection locked="0"/>
    </xf>
    <xf numFmtId="0" fontId="0" fillId="0" borderId="3" xfId="0" applyBorder="1" applyAlignment="1">
      <alignment vertical="top" wrapText="1"/>
    </xf>
    <xf numFmtId="0" fontId="0" fillId="0" borderId="53" xfId="0" applyBorder="1" applyAlignment="1">
      <alignment vertical="top" wrapText="1"/>
    </xf>
    <xf numFmtId="0" fontId="29" fillId="12" borderId="3" xfId="0" applyFont="1" applyFill="1" applyBorder="1" applyAlignment="1" applyProtection="1">
      <alignment horizontal="left" vertical="center" wrapText="1"/>
      <protection locked="0"/>
    </xf>
    <xf numFmtId="0" fontId="0" fillId="0" borderId="53" xfId="0" applyBorder="1" applyAlignment="1">
      <alignment horizontal="left" wrapText="1"/>
    </xf>
    <xf numFmtId="0" fontId="0" fillId="0" borderId="4" xfId="0" applyBorder="1" applyAlignment="1">
      <alignment wrapText="1"/>
    </xf>
    <xf numFmtId="0" fontId="30" fillId="12" borderId="2" xfId="0" applyFont="1" applyFill="1" applyBorder="1" applyAlignment="1" applyProtection="1">
      <alignment horizontal="center" vertical="top" wrapText="1"/>
      <protection locked="0"/>
    </xf>
    <xf numFmtId="0" fontId="30" fillId="12" borderId="3" xfId="0" applyFont="1" applyFill="1" applyBorder="1" applyAlignment="1" applyProtection="1">
      <alignment horizontal="center" vertical="top" wrapText="1"/>
      <protection locked="0"/>
    </xf>
    <xf numFmtId="0" fontId="30" fillId="12" borderId="4" xfId="0" applyFont="1" applyFill="1" applyBorder="1" applyAlignment="1" applyProtection="1">
      <alignment horizontal="center" vertical="top" wrapText="1"/>
      <protection locked="0"/>
    </xf>
    <xf numFmtId="0" fontId="30" fillId="12" borderId="4" xfId="0" applyFont="1" applyFill="1" applyBorder="1" applyAlignment="1" applyProtection="1">
      <alignment horizontal="center" vertical="center" wrapText="1"/>
      <protection locked="0"/>
    </xf>
    <xf numFmtId="0" fontId="29" fillId="12" borderId="56" xfId="0" applyFont="1" applyFill="1" applyBorder="1" applyAlignment="1" applyProtection="1">
      <alignment horizontal="left" vertical="top" wrapText="1"/>
      <protection locked="0"/>
    </xf>
    <xf numFmtId="0" fontId="0" fillId="0" borderId="3" xfId="0" applyBorder="1" applyAlignment="1">
      <alignment horizontal="left" vertical="top" wrapText="1"/>
    </xf>
    <xf numFmtId="0" fontId="0" fillId="0" borderId="53" xfId="0" applyBorder="1" applyAlignment="1">
      <alignment horizontal="left" vertical="top" wrapText="1"/>
    </xf>
    <xf numFmtId="0" fontId="30" fillId="12" borderId="2" xfId="0" applyFont="1" applyFill="1" applyBorder="1" applyAlignment="1" applyProtection="1">
      <alignment horizontal="left" vertical="center" wrapText="1"/>
      <protection locked="0"/>
    </xf>
    <xf numFmtId="0" fontId="30" fillId="12" borderId="3" xfId="0" applyFont="1" applyFill="1" applyBorder="1" applyAlignment="1" applyProtection="1">
      <alignment horizontal="left" vertical="center" wrapText="1"/>
      <protection locked="0"/>
    </xf>
    <xf numFmtId="0" fontId="30" fillId="0" borderId="3" xfId="0" applyFont="1" applyBorder="1" applyAlignment="1" applyProtection="1">
      <alignment horizontal="center" vertical="center" wrapText="1"/>
      <protection locked="0"/>
    </xf>
    <xf numFmtId="0" fontId="11" fillId="0" borderId="0" xfId="0" applyFont="1" applyAlignment="1">
      <alignment horizontal="left" vertical="center" wrapText="1"/>
    </xf>
  </cellXfs>
  <cellStyles count="4">
    <cellStyle name="Comma" xfId="1" builtinId="3"/>
    <cellStyle name="input_cell_Perc" xfId="3" xr:uid="{A766A366-5F27-4595-B30C-BD34ED6B03C6}"/>
    <cellStyle name="Normal" xfId="0" builtinId="0"/>
    <cellStyle name="Percent" xfId="2" builtinId="5"/>
  </cellStyles>
  <dxfs count="5">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egasys1.sharepoint.com/personal/derek_pegasys_co_za/Documents/Derek%20Pegasys/DBSA%20Water%20Reuse/financial%20case/DBSA_WRP_Component%203A%20budget-details-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ashboard"/>
      <sheetName val="Detailed Budget Plan"/>
      <sheetName val="Title Lists"/>
    </sheetNames>
    <sheetDataSet>
      <sheetData sheetId="0" refreshError="1"/>
      <sheetData sheetId="1" refreshError="1"/>
      <sheetData sheetId="2" refreshError="1"/>
      <sheetData sheetId="3" refreshError="1">
        <row r="1">
          <cell r="B1" t="str">
            <v>Components</v>
          </cell>
          <cell r="D1" t="str">
            <v>Outputs</v>
          </cell>
          <cell r="F1" t="str">
            <v>Budget Categories</v>
          </cell>
          <cell r="H1" t="str">
            <v>List of Funding Source</v>
          </cell>
        </row>
        <row r="2">
          <cell r="B2" t="str">
            <v xml:space="preserve">Component 3: Building capacity and creating awareness </v>
          </cell>
          <cell r="D2" t="str">
            <v>Sub-component 3.1: Communications and awareness creation</v>
          </cell>
          <cell r="F2" t="str">
            <v>Consultant  - local (Strategic)</v>
          </cell>
          <cell r="H2" t="str">
            <v>GCF</v>
          </cell>
        </row>
        <row r="3">
          <cell r="D3" t="str">
            <v>Sub-component 3.2: Strengthen institutional and regulatory frameworks</v>
          </cell>
          <cell r="F3" t="str">
            <v>Consultant  - local (Information Management and Systems)</v>
          </cell>
          <cell r="H3" t="str">
            <v>Country/1</v>
          </cell>
        </row>
        <row r="4">
          <cell r="F4" t="str">
            <v>Consultant  - local (Communications)</v>
          </cell>
          <cell r="H4" t="str">
            <v>Cofinancier-2</v>
          </cell>
        </row>
        <row r="5">
          <cell r="D5" t="str">
            <v>Output 4</v>
          </cell>
          <cell r="F5" t="str">
            <v>Knowledege Products / Communications Collateral</v>
          </cell>
        </row>
        <row r="6">
          <cell r="D6" t="str">
            <v>Output 5</v>
          </cell>
          <cell r="F6" t="str">
            <v>Travel and Disbursements</v>
          </cell>
        </row>
        <row r="7">
          <cell r="D7" t="str">
            <v>Output 6</v>
          </cell>
          <cell r="F7" t="str">
            <v>Workshops</v>
          </cell>
        </row>
        <row r="8">
          <cell r="D8" t="str">
            <v>Output 7</v>
          </cell>
          <cell r="F8" t="str">
            <v>Training</v>
          </cell>
        </row>
        <row r="9">
          <cell r="F9" t="str">
            <v>Stipends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7"/>
  <sheetViews>
    <sheetView topLeftCell="B7" zoomScale="145" zoomScaleNormal="145" workbookViewId="0">
      <pane xSplit="4" topLeftCell="F1" activePane="topRight" state="frozen"/>
      <selection activeCell="B1" sqref="B1"/>
      <selection pane="topRight" activeCell="P18" sqref="G18:P18"/>
    </sheetView>
  </sheetViews>
  <sheetFormatPr defaultColWidth="8.85546875" defaultRowHeight="15"/>
  <cols>
    <col min="1" max="1" width="46.42578125" customWidth="1"/>
    <col min="2" max="2" width="44.42578125" customWidth="1"/>
    <col min="3" max="3" width="33.140625" customWidth="1"/>
    <col min="4" max="4" width="26.42578125" customWidth="1"/>
    <col min="5" max="5" width="28.140625" customWidth="1"/>
    <col min="6" max="6" width="13.42578125" customWidth="1"/>
    <col min="7" max="7" width="16.7109375" customWidth="1"/>
    <col min="8" max="8" width="16.42578125" customWidth="1"/>
    <col min="9" max="10" width="22" bestFit="1" customWidth="1"/>
    <col min="11" max="11" width="19.85546875" customWidth="1"/>
    <col min="12" max="12" width="16.140625" customWidth="1"/>
    <col min="13" max="14" width="16.140625" bestFit="1" customWidth="1"/>
    <col min="15" max="15" width="16.85546875" customWidth="1"/>
    <col min="16" max="16" width="17" customWidth="1"/>
    <col min="17" max="17" width="18" bestFit="1" customWidth="1"/>
  </cols>
  <sheetData>
    <row r="1" spans="1:17" ht="18.75">
      <c r="A1" s="5" t="s">
        <v>0</v>
      </c>
    </row>
    <row r="2" spans="1:17" s="25" customFormat="1" ht="18.75">
      <c r="A2" s="5" t="s">
        <v>1</v>
      </c>
      <c r="G2" s="26" t="s">
        <v>2</v>
      </c>
      <c r="H2" s="26" t="s">
        <v>3</v>
      </c>
      <c r="I2" s="26" t="s">
        <v>4</v>
      </c>
      <c r="J2" s="26" t="s">
        <v>5</v>
      </c>
      <c r="K2" s="26" t="s">
        <v>6</v>
      </c>
      <c r="L2" s="26" t="s">
        <v>7</v>
      </c>
      <c r="M2" s="26" t="s">
        <v>8</v>
      </c>
      <c r="N2" s="26" t="s">
        <v>9</v>
      </c>
      <c r="O2" s="26" t="s">
        <v>10</v>
      </c>
      <c r="P2" s="26" t="s">
        <v>11</v>
      </c>
    </row>
    <row r="3" spans="1:17" ht="40.700000000000003" customHeight="1">
      <c r="A3" s="13" t="s">
        <v>12</v>
      </c>
      <c r="B3" s="13" t="s">
        <v>13</v>
      </c>
      <c r="C3" s="13" t="s">
        <v>14</v>
      </c>
      <c r="D3" s="14" t="s">
        <v>15</v>
      </c>
      <c r="E3" s="14" t="s">
        <v>16</v>
      </c>
      <c r="F3" s="1" t="s">
        <v>17</v>
      </c>
      <c r="G3" s="1" t="s">
        <v>18</v>
      </c>
      <c r="H3" s="1" t="s">
        <v>19</v>
      </c>
      <c r="I3" s="1" t="s">
        <v>20</v>
      </c>
      <c r="J3" s="1" t="s">
        <v>21</v>
      </c>
      <c r="K3" s="1" t="s">
        <v>22</v>
      </c>
      <c r="L3" s="1" t="s">
        <v>23</v>
      </c>
      <c r="M3" s="1" t="s">
        <v>24</v>
      </c>
      <c r="N3" s="1" t="s">
        <v>25</v>
      </c>
      <c r="O3" s="1" t="s">
        <v>26</v>
      </c>
      <c r="P3" s="1" t="s">
        <v>27</v>
      </c>
      <c r="Q3" s="1" t="s">
        <v>28</v>
      </c>
    </row>
    <row r="4" spans="1:17">
      <c r="A4" s="288" t="s">
        <v>29</v>
      </c>
      <c r="B4" s="288" t="s">
        <v>30</v>
      </c>
      <c r="C4" s="287" t="s">
        <v>31</v>
      </c>
      <c r="D4" s="287" t="s">
        <v>32</v>
      </c>
      <c r="E4" s="17" t="s">
        <v>33</v>
      </c>
      <c r="F4" s="3" t="s">
        <v>34</v>
      </c>
      <c r="G4" s="6">
        <v>300000</v>
      </c>
      <c r="H4" s="6">
        <v>500000</v>
      </c>
      <c r="I4" s="6">
        <v>600000</v>
      </c>
      <c r="J4" s="6"/>
      <c r="K4" s="6"/>
      <c r="L4" s="6"/>
      <c r="M4" s="6"/>
      <c r="N4" s="6"/>
      <c r="O4" s="6"/>
      <c r="P4" s="6"/>
      <c r="Q4" s="6">
        <f t="shared" ref="Q4:Q24" si="0">SUM(G4:P4)</f>
        <v>1400000</v>
      </c>
    </row>
    <row r="5" spans="1:17">
      <c r="A5" s="288"/>
      <c r="B5" s="288"/>
      <c r="C5" s="288"/>
      <c r="D5" s="288"/>
      <c r="E5" s="18" t="s">
        <v>35</v>
      </c>
      <c r="F5" s="3" t="s">
        <v>36</v>
      </c>
      <c r="G5" s="6">
        <v>60000</v>
      </c>
      <c r="H5" s="6">
        <v>70000</v>
      </c>
      <c r="I5" s="6">
        <v>80000</v>
      </c>
      <c r="J5" s="6"/>
      <c r="K5" s="6"/>
      <c r="L5" s="6"/>
      <c r="M5" s="6"/>
      <c r="N5" s="6"/>
      <c r="O5" s="6"/>
      <c r="P5" s="6"/>
      <c r="Q5" s="6">
        <f t="shared" si="0"/>
        <v>210000</v>
      </c>
    </row>
    <row r="6" spans="1:17">
      <c r="A6" s="288"/>
      <c r="B6" s="288"/>
      <c r="C6" s="288"/>
      <c r="D6" s="288"/>
      <c r="E6" s="18" t="s">
        <v>37</v>
      </c>
      <c r="F6" s="3" t="s">
        <v>38</v>
      </c>
      <c r="G6" s="6">
        <v>50000</v>
      </c>
      <c r="H6" s="6">
        <v>140000</v>
      </c>
      <c r="I6" s="6">
        <v>200000</v>
      </c>
      <c r="J6" s="6"/>
      <c r="K6" s="6"/>
      <c r="L6" s="6"/>
      <c r="M6" s="6"/>
      <c r="N6" s="6"/>
      <c r="O6" s="6"/>
      <c r="P6" s="6"/>
      <c r="Q6" s="6">
        <f t="shared" si="0"/>
        <v>390000</v>
      </c>
    </row>
    <row r="7" spans="1:17" ht="14.25" customHeight="1">
      <c r="A7" s="288"/>
      <c r="B7" s="288"/>
      <c r="C7" s="287" t="s">
        <v>39</v>
      </c>
      <c r="D7" s="287" t="s">
        <v>32</v>
      </c>
      <c r="E7" s="19" t="s">
        <v>33</v>
      </c>
      <c r="F7" s="3" t="s">
        <v>34</v>
      </c>
      <c r="G7" s="6"/>
      <c r="H7" s="6"/>
      <c r="I7" s="6"/>
      <c r="J7" s="6">
        <v>650000</v>
      </c>
      <c r="K7" s="6">
        <v>700000</v>
      </c>
      <c r="L7" s="6">
        <v>760000</v>
      </c>
      <c r="M7" s="6">
        <v>820000</v>
      </c>
      <c r="N7" s="6">
        <v>880000</v>
      </c>
      <c r="O7" s="6">
        <v>960000</v>
      </c>
      <c r="P7" s="6">
        <v>1045000</v>
      </c>
      <c r="Q7" s="6">
        <f t="shared" si="0"/>
        <v>5815000</v>
      </c>
    </row>
    <row r="8" spans="1:17">
      <c r="A8" s="288"/>
      <c r="B8" s="288"/>
      <c r="C8" s="288"/>
      <c r="D8" s="288"/>
      <c r="E8" s="18" t="s">
        <v>35</v>
      </c>
      <c r="F8" s="3" t="s">
        <v>36</v>
      </c>
      <c r="G8" s="6"/>
      <c r="H8" s="6"/>
      <c r="I8" s="6"/>
      <c r="J8" s="6">
        <v>90000</v>
      </c>
      <c r="K8" s="6">
        <v>65000</v>
      </c>
      <c r="L8" s="6">
        <v>50000</v>
      </c>
      <c r="M8" s="6">
        <v>40000</v>
      </c>
      <c r="N8" s="6">
        <v>40000</v>
      </c>
      <c r="O8" s="6">
        <v>30000</v>
      </c>
      <c r="P8" s="6">
        <v>30000</v>
      </c>
      <c r="Q8" s="6">
        <f t="shared" si="0"/>
        <v>345000</v>
      </c>
    </row>
    <row r="9" spans="1:17">
      <c r="A9" s="288"/>
      <c r="B9" s="288"/>
      <c r="C9" s="288"/>
      <c r="D9" s="288"/>
      <c r="E9" s="18" t="s">
        <v>37</v>
      </c>
      <c r="F9" s="3" t="s">
        <v>38</v>
      </c>
      <c r="G9" s="6"/>
      <c r="H9" s="6"/>
      <c r="I9" s="6"/>
      <c r="J9" s="6">
        <v>90000</v>
      </c>
      <c r="K9" s="6">
        <v>100000</v>
      </c>
      <c r="L9" s="6">
        <v>110000</v>
      </c>
      <c r="M9" s="6">
        <v>120000</v>
      </c>
      <c r="N9" s="6">
        <v>130000</v>
      </c>
      <c r="O9" s="6">
        <v>140000</v>
      </c>
      <c r="P9" s="6">
        <v>150000</v>
      </c>
      <c r="Q9" s="6">
        <f>SUM(G9:P9)</f>
        <v>840000</v>
      </c>
    </row>
    <row r="10" spans="1:17" ht="30">
      <c r="A10" s="288"/>
      <c r="B10" s="287" t="s">
        <v>40</v>
      </c>
      <c r="C10" s="15" t="s">
        <v>41</v>
      </c>
      <c r="D10" s="15" t="s">
        <v>32</v>
      </c>
      <c r="E10" s="15" t="s">
        <v>42</v>
      </c>
      <c r="F10" s="3" t="s">
        <v>43</v>
      </c>
      <c r="G10" s="6"/>
      <c r="H10" s="6">
        <v>10000000</v>
      </c>
      <c r="I10" s="6">
        <v>5000000</v>
      </c>
      <c r="J10" s="6">
        <v>5000000</v>
      </c>
      <c r="K10" s="6">
        <v>5000000</v>
      </c>
      <c r="L10" s="6">
        <v>5000000</v>
      </c>
      <c r="M10" s="6"/>
      <c r="N10" s="6"/>
      <c r="O10" s="6"/>
      <c r="P10" s="6"/>
      <c r="Q10" s="6">
        <f t="shared" si="0"/>
        <v>30000000</v>
      </c>
    </row>
    <row r="11" spans="1:17" ht="30">
      <c r="A11" s="288"/>
      <c r="B11" s="288"/>
      <c r="C11" s="15" t="s">
        <v>31</v>
      </c>
      <c r="D11" s="15" t="s">
        <v>32</v>
      </c>
      <c r="E11" s="15" t="s">
        <v>42</v>
      </c>
      <c r="F11" s="3" t="s">
        <v>43</v>
      </c>
      <c r="G11" s="6"/>
      <c r="H11" s="6">
        <v>10000000</v>
      </c>
      <c r="I11" s="6">
        <v>5000000</v>
      </c>
      <c r="J11" s="6">
        <v>5000000</v>
      </c>
      <c r="K11" s="6">
        <v>5000000</v>
      </c>
      <c r="L11" s="6">
        <v>5000000</v>
      </c>
      <c r="M11" s="6"/>
      <c r="N11" s="6"/>
      <c r="O11" s="6"/>
      <c r="P11" s="6"/>
      <c r="Q11" s="6">
        <f t="shared" si="0"/>
        <v>30000000</v>
      </c>
    </row>
    <row r="12" spans="1:17">
      <c r="A12" s="289"/>
      <c r="B12" s="16" t="s">
        <v>44</v>
      </c>
      <c r="C12" s="20"/>
      <c r="D12" s="20"/>
      <c r="E12" s="20"/>
      <c r="F12" s="4"/>
      <c r="G12" s="7">
        <f t="shared" ref="G12:P12" si="1">SUM(G4:G11)</f>
        <v>410000</v>
      </c>
      <c r="H12" s="7">
        <f t="shared" si="1"/>
        <v>20710000</v>
      </c>
      <c r="I12" s="7">
        <f t="shared" si="1"/>
        <v>10880000</v>
      </c>
      <c r="J12" s="7">
        <f t="shared" si="1"/>
        <v>10830000</v>
      </c>
      <c r="K12" s="7">
        <f t="shared" si="1"/>
        <v>10865000</v>
      </c>
      <c r="L12" s="7">
        <f t="shared" si="1"/>
        <v>10920000</v>
      </c>
      <c r="M12" s="7">
        <f t="shared" si="1"/>
        <v>980000</v>
      </c>
      <c r="N12" s="7">
        <f t="shared" si="1"/>
        <v>1050000</v>
      </c>
      <c r="O12" s="7">
        <f t="shared" si="1"/>
        <v>1130000</v>
      </c>
      <c r="P12" s="7">
        <f t="shared" si="1"/>
        <v>1225000</v>
      </c>
      <c r="Q12" s="7">
        <f t="shared" si="0"/>
        <v>69000000</v>
      </c>
    </row>
    <row r="13" spans="1:17" ht="14.25" customHeight="1">
      <c r="A13" s="287" t="s">
        <v>45</v>
      </c>
      <c r="B13" s="290" t="s">
        <v>46</v>
      </c>
      <c r="C13" s="15" t="s">
        <v>47</v>
      </c>
      <c r="D13" s="15" t="s">
        <v>48</v>
      </c>
      <c r="E13" s="15" t="s">
        <v>49</v>
      </c>
      <c r="F13" s="3" t="s">
        <v>50</v>
      </c>
      <c r="G13" s="6"/>
      <c r="H13" s="6"/>
      <c r="I13" s="6">
        <v>20000000</v>
      </c>
      <c r="J13" s="6">
        <v>20000000</v>
      </c>
      <c r="K13" s="6">
        <v>35000000</v>
      </c>
      <c r="L13" s="6">
        <v>55000000</v>
      </c>
      <c r="M13" s="6">
        <v>40000000</v>
      </c>
      <c r="N13" s="6">
        <v>20000000</v>
      </c>
      <c r="O13" s="6">
        <v>10000000</v>
      </c>
      <c r="P13" s="6"/>
      <c r="Q13" s="6">
        <f>SUM(G13:P13)</f>
        <v>200000000</v>
      </c>
    </row>
    <row r="14" spans="1:17">
      <c r="A14" s="288"/>
      <c r="B14" s="291"/>
      <c r="C14" s="15" t="s">
        <v>51</v>
      </c>
      <c r="D14" s="15" t="s">
        <v>52</v>
      </c>
      <c r="E14" s="15" t="s">
        <v>49</v>
      </c>
      <c r="F14" s="3" t="s">
        <v>53</v>
      </c>
      <c r="G14" s="6"/>
      <c r="H14" s="6"/>
      <c r="I14" s="6">
        <v>20000000</v>
      </c>
      <c r="J14" s="6">
        <v>20000000</v>
      </c>
      <c r="K14" s="6">
        <v>20000000</v>
      </c>
      <c r="L14" s="6">
        <v>40000000</v>
      </c>
      <c r="M14" s="6">
        <v>50000000</v>
      </c>
      <c r="N14" s="6">
        <v>30000000</v>
      </c>
      <c r="O14" s="6">
        <v>20000000</v>
      </c>
      <c r="P14" s="6"/>
      <c r="Q14" s="6">
        <f t="shared" si="0"/>
        <v>200000000</v>
      </c>
    </row>
    <row r="15" spans="1:17">
      <c r="A15" s="288"/>
      <c r="B15" s="291"/>
      <c r="C15" s="15" t="s">
        <v>54</v>
      </c>
      <c r="D15" s="15" t="s">
        <v>55</v>
      </c>
      <c r="E15" s="15" t="s">
        <v>49</v>
      </c>
      <c r="F15" s="3" t="s">
        <v>56</v>
      </c>
      <c r="G15" s="6"/>
      <c r="H15" s="6"/>
      <c r="I15" s="6">
        <v>40000000</v>
      </c>
      <c r="J15" s="6">
        <v>50000000</v>
      </c>
      <c r="K15" s="6">
        <v>50000000</v>
      </c>
      <c r="L15" s="6">
        <v>140000000</v>
      </c>
      <c r="M15" s="6">
        <v>160000000</v>
      </c>
      <c r="N15" s="6">
        <v>130000000</v>
      </c>
      <c r="O15" s="6">
        <v>80000000</v>
      </c>
      <c r="P15" s="6"/>
      <c r="Q15" s="6">
        <f t="shared" si="0"/>
        <v>650000000</v>
      </c>
    </row>
    <row r="16" spans="1:17" ht="30">
      <c r="A16" s="288"/>
      <c r="B16" s="291"/>
      <c r="C16" s="15" t="s">
        <v>57</v>
      </c>
      <c r="D16" s="15" t="s">
        <v>58</v>
      </c>
      <c r="E16" s="15" t="s">
        <v>49</v>
      </c>
      <c r="F16" s="3" t="s">
        <v>59</v>
      </c>
      <c r="G16" s="6"/>
      <c r="H16" s="6"/>
      <c r="I16" s="6">
        <v>10000000</v>
      </c>
      <c r="J16" s="6">
        <v>10000000</v>
      </c>
      <c r="K16" s="6">
        <v>20000000</v>
      </c>
      <c r="L16" s="6">
        <v>30000000</v>
      </c>
      <c r="M16" s="6">
        <v>30000000</v>
      </c>
      <c r="N16" s="6">
        <v>30000000</v>
      </c>
      <c r="O16" s="6">
        <v>20000000</v>
      </c>
      <c r="P16" s="6"/>
      <c r="Q16" s="6">
        <f t="shared" si="0"/>
        <v>150000000</v>
      </c>
    </row>
    <row r="17" spans="1:18" ht="30">
      <c r="A17" s="288"/>
      <c r="B17" s="291"/>
      <c r="C17" s="15" t="s">
        <v>60</v>
      </c>
      <c r="D17" s="15" t="s">
        <v>61</v>
      </c>
      <c r="E17" s="15" t="s">
        <v>49</v>
      </c>
      <c r="F17" s="3" t="s">
        <v>62</v>
      </c>
      <c r="G17" s="6"/>
      <c r="H17" s="6"/>
      <c r="I17" s="6">
        <v>10000000</v>
      </c>
      <c r="J17" s="6">
        <v>10000000</v>
      </c>
      <c r="K17" s="6">
        <v>20000000</v>
      </c>
      <c r="L17" s="6">
        <v>30000000</v>
      </c>
      <c r="M17" s="6">
        <v>30000000</v>
      </c>
      <c r="N17" s="6">
        <v>30000000</v>
      </c>
      <c r="O17" s="6">
        <v>20000000</v>
      </c>
      <c r="P17" s="6"/>
      <c r="Q17" s="6">
        <f t="shared" si="0"/>
        <v>150000000</v>
      </c>
    </row>
    <row r="18" spans="1:18">
      <c r="A18" s="288"/>
      <c r="B18" s="292"/>
      <c r="C18" s="15" t="s">
        <v>47</v>
      </c>
      <c r="D18" s="15" t="s">
        <v>63</v>
      </c>
      <c r="E18" s="15" t="s">
        <v>49</v>
      </c>
      <c r="F18" s="3" t="s">
        <v>64</v>
      </c>
      <c r="G18" s="6"/>
      <c r="H18" s="6"/>
      <c r="I18" s="6"/>
      <c r="J18" s="6">
        <v>4000000</v>
      </c>
      <c r="K18" s="6">
        <v>8000000</v>
      </c>
      <c r="L18" s="6">
        <v>12000000</v>
      </c>
      <c r="M18" s="6">
        <v>12000000</v>
      </c>
      <c r="N18" s="6">
        <v>10000000</v>
      </c>
      <c r="O18" s="6">
        <v>4000000</v>
      </c>
      <c r="P18" s="6"/>
      <c r="Q18" s="6">
        <f t="shared" si="0"/>
        <v>50000000</v>
      </c>
    </row>
    <row r="19" spans="1:18">
      <c r="A19" s="289"/>
      <c r="B19" s="16" t="s">
        <v>65</v>
      </c>
      <c r="C19" s="20"/>
      <c r="D19" s="20"/>
      <c r="E19" s="20"/>
      <c r="F19" s="4"/>
      <c r="G19" s="8"/>
      <c r="H19" s="8"/>
      <c r="I19" s="7">
        <f>SUM(I13:I17)</f>
        <v>100000000</v>
      </c>
      <c r="J19" s="7">
        <f t="shared" ref="J19:O19" si="2">SUM(J13:J18)</f>
        <v>114000000</v>
      </c>
      <c r="K19" s="7">
        <f t="shared" si="2"/>
        <v>153000000</v>
      </c>
      <c r="L19" s="7">
        <f t="shared" si="2"/>
        <v>307000000</v>
      </c>
      <c r="M19" s="7">
        <f t="shared" si="2"/>
        <v>322000000</v>
      </c>
      <c r="N19" s="7">
        <f t="shared" si="2"/>
        <v>250000000</v>
      </c>
      <c r="O19" s="7">
        <f t="shared" si="2"/>
        <v>154000000</v>
      </c>
      <c r="P19" s="7"/>
      <c r="Q19" s="7">
        <f t="shared" si="0"/>
        <v>1400000000</v>
      </c>
    </row>
    <row r="20" spans="1:18" ht="45">
      <c r="A20" s="287" t="s">
        <v>66</v>
      </c>
      <c r="B20" s="287" t="s">
        <v>67</v>
      </c>
      <c r="C20" s="15" t="s">
        <v>47</v>
      </c>
      <c r="D20" s="15" t="s">
        <v>32</v>
      </c>
      <c r="E20" s="15" t="s">
        <v>68</v>
      </c>
      <c r="F20" s="3" t="s">
        <v>69</v>
      </c>
      <c r="G20" s="6"/>
      <c r="H20" s="6"/>
      <c r="I20" s="6">
        <v>1000000</v>
      </c>
      <c r="J20" s="6">
        <v>1000000</v>
      </c>
      <c r="K20" s="6">
        <v>1000000</v>
      </c>
      <c r="L20" s="6">
        <v>1000000</v>
      </c>
      <c r="M20" s="6">
        <v>1000000</v>
      </c>
      <c r="N20" s="6"/>
      <c r="O20" s="6"/>
      <c r="P20" s="6"/>
      <c r="Q20" s="6">
        <f t="shared" si="0"/>
        <v>5000000</v>
      </c>
    </row>
    <row r="21" spans="1:18" ht="45">
      <c r="A21" s="288"/>
      <c r="B21" s="289"/>
      <c r="C21" s="15" t="s">
        <v>31</v>
      </c>
      <c r="D21" s="15" t="s">
        <v>32</v>
      </c>
      <c r="E21" s="15" t="s">
        <v>68</v>
      </c>
      <c r="F21" s="3" t="s">
        <v>70</v>
      </c>
      <c r="G21" s="6"/>
      <c r="H21" s="6"/>
      <c r="I21" s="6">
        <v>1000000</v>
      </c>
      <c r="J21" s="6">
        <v>1000000</v>
      </c>
      <c r="K21" s="6">
        <v>1000000</v>
      </c>
      <c r="L21" s="6">
        <v>1000000</v>
      </c>
      <c r="M21" s="6">
        <v>1000000</v>
      </c>
      <c r="N21" s="6"/>
      <c r="O21" s="6"/>
      <c r="P21" s="6"/>
      <c r="Q21" s="6">
        <f t="shared" si="0"/>
        <v>5000000</v>
      </c>
    </row>
    <row r="22" spans="1:18">
      <c r="A22" s="289"/>
      <c r="B22" s="16" t="s">
        <v>71</v>
      </c>
      <c r="C22" s="20"/>
      <c r="D22" s="20"/>
      <c r="E22" s="20"/>
      <c r="F22" s="4"/>
      <c r="G22" s="8"/>
      <c r="H22" s="8"/>
      <c r="I22" s="7">
        <f>SUM(I20:I21)</f>
        <v>2000000</v>
      </c>
      <c r="J22" s="7">
        <f t="shared" ref="J22:M22" si="3">SUM(J20:J21)</f>
        <v>2000000</v>
      </c>
      <c r="K22" s="7">
        <f t="shared" si="3"/>
        <v>2000000</v>
      </c>
      <c r="L22" s="7">
        <f t="shared" si="3"/>
        <v>2000000</v>
      </c>
      <c r="M22" s="7">
        <f t="shared" si="3"/>
        <v>2000000</v>
      </c>
      <c r="N22" s="8"/>
      <c r="O22" s="8"/>
      <c r="P22" s="8"/>
      <c r="Q22" s="7">
        <f t="shared" si="0"/>
        <v>10000000</v>
      </c>
    </row>
    <row r="23" spans="1:18">
      <c r="A23" s="21" t="s">
        <v>72</v>
      </c>
      <c r="B23" s="22"/>
      <c r="C23" s="22"/>
      <c r="D23" s="22"/>
      <c r="E23" s="22"/>
      <c r="F23" s="2"/>
      <c r="G23" s="9">
        <f t="shared" ref="G23:P23" si="4">SUM(G12,G19,G22)-G18</f>
        <v>410000</v>
      </c>
      <c r="H23" s="9">
        <f t="shared" si="4"/>
        <v>20710000</v>
      </c>
      <c r="I23" s="9">
        <f t="shared" si="4"/>
        <v>112880000</v>
      </c>
      <c r="J23" s="9">
        <f t="shared" si="4"/>
        <v>122830000</v>
      </c>
      <c r="K23" s="9">
        <f t="shared" si="4"/>
        <v>157865000</v>
      </c>
      <c r="L23" s="9">
        <f t="shared" si="4"/>
        <v>307920000</v>
      </c>
      <c r="M23" s="9">
        <f t="shared" si="4"/>
        <v>312980000</v>
      </c>
      <c r="N23" s="9">
        <f t="shared" si="4"/>
        <v>241050000</v>
      </c>
      <c r="O23" s="9">
        <f t="shared" si="4"/>
        <v>151130000</v>
      </c>
      <c r="P23" s="9">
        <f t="shared" si="4"/>
        <v>1225000</v>
      </c>
      <c r="Q23" s="9">
        <f>SUM(G23:P23)</f>
        <v>1429000000</v>
      </c>
      <c r="R23" s="10"/>
    </row>
    <row r="24" spans="1:18">
      <c r="A24" s="21" t="s">
        <v>73</v>
      </c>
      <c r="B24" s="22"/>
      <c r="C24" s="22"/>
      <c r="D24" s="22"/>
      <c r="E24" s="22"/>
      <c r="F24" s="2"/>
      <c r="G24" s="9">
        <f>SUM(G10,G13,G20)</f>
        <v>0</v>
      </c>
      <c r="H24" s="9">
        <f t="shared" ref="H24:P24" si="5">SUM(H10,H13,H20)</f>
        <v>10000000</v>
      </c>
      <c r="I24" s="9">
        <f>SUM(I10,I13,I20)</f>
        <v>26000000</v>
      </c>
      <c r="J24" s="9">
        <f>SUM(J10,J13,J20)</f>
        <v>26000000</v>
      </c>
      <c r="K24" s="9">
        <f t="shared" si="5"/>
        <v>41000000</v>
      </c>
      <c r="L24" s="9">
        <f t="shared" si="5"/>
        <v>61000000</v>
      </c>
      <c r="M24" s="9">
        <f t="shared" si="5"/>
        <v>41000000</v>
      </c>
      <c r="N24" s="9">
        <f t="shared" si="5"/>
        <v>20000000</v>
      </c>
      <c r="O24" s="9">
        <f t="shared" si="5"/>
        <v>10000000</v>
      </c>
      <c r="P24" s="9">
        <f t="shared" si="5"/>
        <v>0</v>
      </c>
      <c r="Q24" s="9">
        <f t="shared" si="0"/>
        <v>235000000</v>
      </c>
    </row>
    <row r="25" spans="1:18">
      <c r="A25" s="21" t="s">
        <v>74</v>
      </c>
      <c r="B25" s="22"/>
      <c r="C25" s="22"/>
      <c r="D25" s="22"/>
      <c r="E25" s="22"/>
      <c r="F25" s="2"/>
      <c r="G25" s="9">
        <f>SUM(G21,G17,G11,G4,G5,G62)</f>
        <v>360000</v>
      </c>
      <c r="H25" s="9">
        <f>SUM(H21,H17,H11,H4,H5,H62)</f>
        <v>10570000</v>
      </c>
      <c r="I25" s="9">
        <f t="shared" ref="I25:P25" si="6">SUM(I21,I17,I11,I4,I5,I62)</f>
        <v>16680000</v>
      </c>
      <c r="J25" s="9">
        <f t="shared" si="6"/>
        <v>16000000</v>
      </c>
      <c r="K25" s="9">
        <f t="shared" si="6"/>
        <v>26000000</v>
      </c>
      <c r="L25" s="9">
        <f t="shared" si="6"/>
        <v>36000000</v>
      </c>
      <c r="M25" s="9">
        <f t="shared" si="6"/>
        <v>31000000</v>
      </c>
      <c r="N25" s="9">
        <f t="shared" si="6"/>
        <v>30000000</v>
      </c>
      <c r="O25" s="9">
        <f t="shared" si="6"/>
        <v>20000000</v>
      </c>
      <c r="P25" s="9">
        <f t="shared" si="6"/>
        <v>0</v>
      </c>
      <c r="Q25" s="9">
        <f>SUM(G25:P25)</f>
        <v>186610000</v>
      </c>
    </row>
    <row r="26" spans="1:18">
      <c r="A26" s="21" t="s">
        <v>75</v>
      </c>
      <c r="B26" s="22"/>
      <c r="C26" s="22"/>
      <c r="D26" s="22"/>
      <c r="E26" s="22"/>
      <c r="F26" s="2"/>
      <c r="G26" s="9">
        <f t="shared" ref="G26:P26" si="7">SUM(G7,G8,G9,G16)</f>
        <v>0</v>
      </c>
      <c r="H26" s="9">
        <f t="shared" si="7"/>
        <v>0</v>
      </c>
      <c r="I26" s="9">
        <f t="shared" si="7"/>
        <v>10000000</v>
      </c>
      <c r="J26" s="9">
        <f t="shared" si="7"/>
        <v>10830000</v>
      </c>
      <c r="K26" s="9">
        <f t="shared" si="7"/>
        <v>20865000</v>
      </c>
      <c r="L26" s="9">
        <f t="shared" si="7"/>
        <v>30920000</v>
      </c>
      <c r="M26" s="9">
        <f t="shared" si="7"/>
        <v>30980000</v>
      </c>
      <c r="N26" s="9">
        <f t="shared" si="7"/>
        <v>31050000</v>
      </c>
      <c r="O26" s="9">
        <f t="shared" si="7"/>
        <v>21130000</v>
      </c>
      <c r="P26" s="9">
        <f t="shared" si="7"/>
        <v>1225000</v>
      </c>
      <c r="Q26" s="9">
        <f>SUM(G26:P26)</f>
        <v>157000000</v>
      </c>
    </row>
    <row r="29" spans="1:18">
      <c r="A29" t="s">
        <v>76</v>
      </c>
    </row>
    <row r="32" spans="1:18">
      <c r="Q32" s="10"/>
    </row>
    <row r="38" spans="17:17">
      <c r="Q38" s="10"/>
    </row>
    <row r="45" spans="17:17">
      <c r="Q45" s="11"/>
    </row>
    <row r="47" spans="17:17">
      <c r="Q47" s="12"/>
    </row>
  </sheetData>
  <mergeCells count="11">
    <mergeCell ref="D4:D6"/>
    <mergeCell ref="D7:D9"/>
    <mergeCell ref="A20:A22"/>
    <mergeCell ref="B10:B11"/>
    <mergeCell ref="B20:B21"/>
    <mergeCell ref="C4:C6"/>
    <mergeCell ref="C7:C9"/>
    <mergeCell ref="A4:A12"/>
    <mergeCell ref="B4:B9"/>
    <mergeCell ref="A13:A19"/>
    <mergeCell ref="B13:B18"/>
  </mergeCells>
  <phoneticPr fontId="2" type="noConversion"/>
  <pageMargins left="0.70866141732283472" right="0.70866141732283472" top="0.74803149606299213" bottom="0.74803149606299213" header="0.31496062992125984" footer="0.31496062992125984"/>
  <pageSetup paperSize="9" scale="43" orientation="landscape" r:id="rId1"/>
  <headerFooter>
    <oddHeader xml:space="preserve">&amp;CDetailed budget breakdown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BC6C7-A3A1-3B4F-AFF0-8C75EAE0F138}">
  <sheetPr>
    <pageSetUpPr fitToPage="1"/>
  </sheetPr>
  <dimension ref="A1:AC190"/>
  <sheetViews>
    <sheetView tabSelected="1" zoomScale="70" zoomScaleNormal="70" workbookViewId="0">
      <pane xSplit="4" topLeftCell="E1" activePane="topRight" state="frozen"/>
      <selection activeCell="A10" sqref="A10"/>
      <selection pane="topRight" activeCell="C44" sqref="C44:C54"/>
    </sheetView>
  </sheetViews>
  <sheetFormatPr defaultColWidth="8.85546875" defaultRowHeight="12.75"/>
  <cols>
    <col min="1" max="1" width="30.7109375" style="36" customWidth="1"/>
    <col min="2" max="2" width="33.5703125" style="36" customWidth="1"/>
    <col min="3" max="3" width="24.85546875" style="34" customWidth="1"/>
    <col min="4" max="4" width="20.7109375" style="34" customWidth="1"/>
    <col min="5" max="5" width="37.140625" style="34" customWidth="1"/>
    <col min="6" max="6" width="15.5703125" style="126" customWidth="1"/>
    <col min="7" max="7" width="47.28515625" style="35" customWidth="1"/>
    <col min="8" max="8" width="12.7109375" style="34" customWidth="1"/>
    <col min="9" max="9" width="16.7109375" style="34" customWidth="1"/>
    <col min="10" max="10" width="15.28515625" style="34" customWidth="1"/>
    <col min="11" max="11" width="16.5703125" style="34" customWidth="1"/>
    <col min="12" max="12" width="17.28515625" style="34" customWidth="1"/>
    <col min="13" max="13" width="16.28515625" style="34" customWidth="1"/>
    <col min="14" max="15" width="17.42578125" style="34" customWidth="1"/>
    <col min="16" max="16" width="16.140625" style="34" customWidth="1"/>
    <col min="17" max="17" width="12.7109375" style="34" customWidth="1"/>
    <col min="18" max="18" width="18" style="94" customWidth="1"/>
    <col min="19" max="29" width="12.7109375" style="34" customWidth="1"/>
    <col min="30" max="16384" width="8.85546875" style="34"/>
  </cols>
  <sheetData>
    <row r="1" spans="1:18" ht="380.25" customHeight="1">
      <c r="A1" s="330" t="s">
        <v>257</v>
      </c>
      <c r="B1" s="330"/>
      <c r="C1" s="330"/>
      <c r="D1" s="330"/>
      <c r="E1" s="330"/>
    </row>
    <row r="3" spans="1:18">
      <c r="A3" s="131" t="s">
        <v>0</v>
      </c>
    </row>
    <row r="4" spans="1:18" s="33" customFormat="1">
      <c r="A4" s="131" t="s">
        <v>1</v>
      </c>
      <c r="B4" s="36"/>
      <c r="F4" s="45"/>
      <c r="G4" s="36"/>
      <c r="H4" s="45" t="s">
        <v>2</v>
      </c>
      <c r="I4" s="45" t="s">
        <v>3</v>
      </c>
      <c r="J4" s="45" t="s">
        <v>4</v>
      </c>
      <c r="K4" s="45" t="s">
        <v>5</v>
      </c>
      <c r="L4" s="45" t="s">
        <v>6</v>
      </c>
      <c r="M4" s="45" t="s">
        <v>7</v>
      </c>
      <c r="N4" s="45" t="s">
        <v>8</v>
      </c>
      <c r="O4" s="45" t="s">
        <v>9</v>
      </c>
      <c r="P4" s="45" t="s">
        <v>10</v>
      </c>
      <c r="Q4" s="45" t="s">
        <v>11</v>
      </c>
      <c r="R4" s="94"/>
    </row>
    <row r="5" spans="1:18" s="33" customFormat="1" ht="25.5">
      <c r="A5" s="43" t="s">
        <v>12</v>
      </c>
      <c r="B5" s="43" t="s">
        <v>13</v>
      </c>
      <c r="C5" s="43" t="s">
        <v>14</v>
      </c>
      <c r="D5" s="43" t="s">
        <v>15</v>
      </c>
      <c r="E5" s="43" t="s">
        <v>16</v>
      </c>
      <c r="F5" s="44" t="s">
        <v>17</v>
      </c>
      <c r="G5" s="43" t="s">
        <v>77</v>
      </c>
      <c r="H5" s="44" t="s">
        <v>138</v>
      </c>
      <c r="I5" s="44" t="s">
        <v>139</v>
      </c>
      <c r="J5" s="44" t="s">
        <v>140</v>
      </c>
      <c r="K5" s="44" t="s">
        <v>141</v>
      </c>
      <c r="L5" s="44" t="s">
        <v>142</v>
      </c>
      <c r="M5" s="44" t="s">
        <v>143</v>
      </c>
      <c r="N5" s="44" t="s">
        <v>144</v>
      </c>
      <c r="O5" s="44" t="s">
        <v>145</v>
      </c>
      <c r="P5" s="44" t="s">
        <v>146</v>
      </c>
      <c r="Q5" s="44" t="s">
        <v>147</v>
      </c>
      <c r="R5" s="95" t="s">
        <v>148</v>
      </c>
    </row>
    <row r="6" spans="1:18" ht="13.5" thickBot="1">
      <c r="A6" s="294"/>
      <c r="B6" s="294"/>
      <c r="C6" s="294"/>
      <c r="D6" s="294"/>
      <c r="E6" s="294"/>
      <c r="F6" s="294"/>
      <c r="G6" s="294"/>
      <c r="H6" s="294"/>
      <c r="I6" s="294"/>
      <c r="J6" s="294"/>
      <c r="K6" s="294"/>
      <c r="L6" s="294"/>
      <c r="M6" s="294"/>
      <c r="N6" s="294"/>
      <c r="O6" s="294"/>
      <c r="P6" s="294"/>
      <c r="Q6" s="294"/>
      <c r="R6" s="294"/>
    </row>
    <row r="7" spans="1:18">
      <c r="A7" s="296" t="s">
        <v>125</v>
      </c>
      <c r="B7" s="308" t="s">
        <v>30</v>
      </c>
      <c r="C7" s="50" t="s">
        <v>31</v>
      </c>
      <c r="D7" s="50" t="s">
        <v>32</v>
      </c>
      <c r="E7" s="50" t="s">
        <v>124</v>
      </c>
      <c r="F7" s="51" t="s">
        <v>167</v>
      </c>
      <c r="G7" s="50"/>
      <c r="H7" s="42">
        <v>450000</v>
      </c>
      <c r="I7" s="42">
        <v>700000</v>
      </c>
      <c r="J7" s="42">
        <v>850000</v>
      </c>
      <c r="K7" s="42">
        <v>0</v>
      </c>
      <c r="L7" s="42">
        <v>0</v>
      </c>
      <c r="M7" s="42">
        <v>0</v>
      </c>
      <c r="N7" s="42">
        <v>0</v>
      </c>
      <c r="O7" s="42">
        <v>0</v>
      </c>
      <c r="P7" s="42">
        <v>0</v>
      </c>
      <c r="Q7" s="42">
        <v>0</v>
      </c>
      <c r="R7" s="96">
        <f>SUM(H7:Q7)</f>
        <v>2000000</v>
      </c>
    </row>
    <row r="8" spans="1:18">
      <c r="A8" s="297"/>
      <c r="B8" s="309"/>
      <c r="C8" s="310" t="s">
        <v>129</v>
      </c>
      <c r="D8" s="310" t="s">
        <v>129</v>
      </c>
      <c r="E8" s="317"/>
      <c r="F8" s="318"/>
      <c r="G8" s="318"/>
      <c r="H8" s="318"/>
      <c r="I8" s="318"/>
      <c r="J8" s="318"/>
      <c r="K8" s="318"/>
      <c r="L8" s="318"/>
      <c r="M8" s="318"/>
      <c r="N8" s="318"/>
      <c r="O8" s="318"/>
      <c r="P8" s="318"/>
      <c r="Q8" s="318"/>
      <c r="R8" s="319"/>
    </row>
    <row r="9" spans="1:18">
      <c r="A9" s="297"/>
      <c r="B9" s="309"/>
      <c r="C9" s="310"/>
      <c r="D9" s="310"/>
      <c r="E9" s="37" t="s">
        <v>86</v>
      </c>
      <c r="F9" s="27" t="s">
        <v>86</v>
      </c>
      <c r="G9" s="67" t="s">
        <v>87</v>
      </c>
      <c r="H9" s="28">
        <v>15750</v>
      </c>
      <c r="I9" s="28">
        <v>42997.5</v>
      </c>
      <c r="J9" s="28">
        <v>62511.750000000007</v>
      </c>
      <c r="K9" s="28">
        <v>69283.856249999997</v>
      </c>
      <c r="L9" s="28">
        <v>76576.893750000017</v>
      </c>
      <c r="M9" s="28">
        <v>80405.738437499997</v>
      </c>
      <c r="N9" s="28">
        <v>84426.025359375009</v>
      </c>
      <c r="O9" s="28">
        <v>88647.326627343748</v>
      </c>
      <c r="P9" s="28">
        <v>93079.692958710948</v>
      </c>
      <c r="Q9" s="28">
        <v>97733.67760664651</v>
      </c>
      <c r="R9" s="97">
        <f t="shared" ref="R9:R39" si="0">SUM(H9:Q9)</f>
        <v>711412.46098957618</v>
      </c>
    </row>
    <row r="10" spans="1:18">
      <c r="A10" s="297"/>
      <c r="B10" s="309"/>
      <c r="C10" s="310"/>
      <c r="D10" s="310"/>
      <c r="E10" s="37" t="s">
        <v>86</v>
      </c>
      <c r="F10" s="27" t="s">
        <v>86</v>
      </c>
      <c r="G10" s="67" t="s">
        <v>88</v>
      </c>
      <c r="H10" s="28">
        <v>5625</v>
      </c>
      <c r="I10" s="28">
        <v>15356.25</v>
      </c>
      <c r="J10" s="28">
        <v>22325.625000000004</v>
      </c>
      <c r="K10" s="28">
        <v>24744.234375</v>
      </c>
      <c r="L10" s="28">
        <v>27348.890625</v>
      </c>
      <c r="M10" s="28">
        <v>28716.335156249996</v>
      </c>
      <c r="N10" s="28">
        <v>30152.151914062502</v>
      </c>
      <c r="O10" s="28">
        <v>31659.759509765627</v>
      </c>
      <c r="P10" s="28">
        <v>33242.747485253909</v>
      </c>
      <c r="Q10" s="28">
        <v>34904.884859516606</v>
      </c>
      <c r="R10" s="97">
        <f t="shared" si="0"/>
        <v>254075.87892484863</v>
      </c>
    </row>
    <row r="11" spans="1:18">
      <c r="A11" s="297"/>
      <c r="B11" s="309"/>
      <c r="C11" s="310"/>
      <c r="D11" s="310"/>
      <c r="E11" s="37" t="s">
        <v>86</v>
      </c>
      <c r="F11" s="27" t="s">
        <v>86</v>
      </c>
      <c r="G11" s="67" t="s">
        <v>89</v>
      </c>
      <c r="H11" s="28">
        <v>1875</v>
      </c>
      <c r="I11" s="28">
        <v>5118.75</v>
      </c>
      <c r="J11" s="28">
        <v>7441.8750000000009</v>
      </c>
      <c r="K11" s="28">
        <v>8248.078125</v>
      </c>
      <c r="L11" s="28">
        <v>9116.2968750000018</v>
      </c>
      <c r="M11" s="28">
        <v>9572.1117187500004</v>
      </c>
      <c r="N11" s="28">
        <v>10050.717304687501</v>
      </c>
      <c r="O11" s="28">
        <v>10553.253169921876</v>
      </c>
      <c r="P11" s="28">
        <v>11080.91582841797</v>
      </c>
      <c r="Q11" s="28">
        <v>11634.961619838869</v>
      </c>
      <c r="R11" s="97">
        <f t="shared" si="0"/>
        <v>84691.959641616209</v>
      </c>
    </row>
    <row r="12" spans="1:18">
      <c r="A12" s="297"/>
      <c r="B12" s="309"/>
      <c r="C12" s="310"/>
      <c r="D12" s="310"/>
      <c r="E12" s="37" t="s">
        <v>86</v>
      </c>
      <c r="F12" s="27" t="s">
        <v>86</v>
      </c>
      <c r="G12" s="67" t="s">
        <v>90</v>
      </c>
      <c r="H12" s="28">
        <v>10312.5</v>
      </c>
      <c r="I12" s="28">
        <v>17325</v>
      </c>
      <c r="J12" s="28">
        <v>11369.531250000002</v>
      </c>
      <c r="K12" s="28">
        <v>2387.6015625</v>
      </c>
      <c r="L12" s="28">
        <v>2506.9816406250002</v>
      </c>
      <c r="M12" s="28">
        <v>0</v>
      </c>
      <c r="N12" s="28">
        <v>0</v>
      </c>
      <c r="O12" s="28">
        <v>0</v>
      </c>
      <c r="P12" s="28">
        <v>0</v>
      </c>
      <c r="Q12" s="28">
        <v>0</v>
      </c>
      <c r="R12" s="97">
        <f t="shared" si="0"/>
        <v>43901.614453125003</v>
      </c>
    </row>
    <row r="13" spans="1:18">
      <c r="A13" s="297"/>
      <c r="B13" s="309"/>
      <c r="C13" s="310"/>
      <c r="D13" s="310"/>
      <c r="E13" s="37" t="s">
        <v>86</v>
      </c>
      <c r="F13" s="27" t="s">
        <v>86</v>
      </c>
      <c r="G13" s="67" t="s">
        <v>91</v>
      </c>
      <c r="H13" s="28">
        <v>3750</v>
      </c>
      <c r="I13" s="28">
        <v>6300</v>
      </c>
      <c r="J13" s="28">
        <v>4134.3750000000009</v>
      </c>
      <c r="K13" s="28">
        <v>868.21875</v>
      </c>
      <c r="L13" s="28">
        <v>911.62968750000005</v>
      </c>
      <c r="M13" s="28">
        <v>0</v>
      </c>
      <c r="N13" s="28">
        <v>0</v>
      </c>
      <c r="O13" s="28">
        <v>0</v>
      </c>
      <c r="P13" s="28">
        <v>0</v>
      </c>
      <c r="Q13" s="28">
        <v>0</v>
      </c>
      <c r="R13" s="97">
        <f t="shared" si="0"/>
        <v>15964.223437500001</v>
      </c>
    </row>
    <row r="14" spans="1:18">
      <c r="A14" s="297"/>
      <c r="B14" s="309"/>
      <c r="C14" s="310"/>
      <c r="D14" s="310"/>
      <c r="E14" s="37" t="s">
        <v>86</v>
      </c>
      <c r="F14" s="27" t="s">
        <v>86</v>
      </c>
      <c r="G14" s="67" t="s">
        <v>92</v>
      </c>
      <c r="H14" s="28">
        <v>2812.5</v>
      </c>
      <c r="I14" s="28">
        <v>4725</v>
      </c>
      <c r="J14" s="28">
        <v>3100.7812500000005</v>
      </c>
      <c r="K14" s="28">
        <v>651.1640625</v>
      </c>
      <c r="L14" s="28">
        <v>683.72226562499998</v>
      </c>
      <c r="M14" s="28">
        <v>0</v>
      </c>
      <c r="N14" s="28">
        <v>0</v>
      </c>
      <c r="O14" s="28">
        <v>0</v>
      </c>
      <c r="P14" s="28">
        <v>0</v>
      </c>
      <c r="Q14" s="28">
        <v>0</v>
      </c>
      <c r="R14" s="97">
        <f t="shared" si="0"/>
        <v>11973.167578125</v>
      </c>
    </row>
    <row r="15" spans="1:18">
      <c r="A15" s="297"/>
      <c r="B15" s="309"/>
      <c r="C15" s="310"/>
      <c r="D15" s="310"/>
      <c r="E15" s="37" t="s">
        <v>86</v>
      </c>
      <c r="F15" s="27" t="s">
        <v>86</v>
      </c>
      <c r="G15" s="67" t="s">
        <v>93</v>
      </c>
      <c r="H15" s="28">
        <v>18750</v>
      </c>
      <c r="I15" s="28">
        <v>19687.5</v>
      </c>
      <c r="J15" s="28">
        <v>20671.875000000004</v>
      </c>
      <c r="K15" s="28">
        <v>21705.46875</v>
      </c>
      <c r="L15" s="28">
        <v>22790.742187500004</v>
      </c>
      <c r="M15" s="28">
        <v>23930.279296875</v>
      </c>
      <c r="N15" s="28">
        <v>25126.793261718754</v>
      </c>
      <c r="O15" s="28">
        <v>26383.13292480469</v>
      </c>
      <c r="P15" s="28">
        <v>27702.289571044927</v>
      </c>
      <c r="Q15" s="28">
        <v>29087.404049597168</v>
      </c>
      <c r="R15" s="97">
        <f t="shared" si="0"/>
        <v>235835.48504154055</v>
      </c>
    </row>
    <row r="16" spans="1:18">
      <c r="A16" s="297"/>
      <c r="B16" s="309"/>
      <c r="C16" s="310"/>
      <c r="D16" s="310"/>
      <c r="E16" s="37" t="s">
        <v>86</v>
      </c>
      <c r="F16" s="27" t="s">
        <v>86</v>
      </c>
      <c r="G16" s="67" t="s">
        <v>94</v>
      </c>
      <c r="H16" s="28">
        <v>1312.5</v>
      </c>
      <c r="I16" s="28">
        <v>3583.125</v>
      </c>
      <c r="J16" s="28">
        <v>5209.3125000000009</v>
      </c>
      <c r="K16" s="28">
        <v>5773.6546875000004</v>
      </c>
      <c r="L16" s="28">
        <v>6381.4078125000005</v>
      </c>
      <c r="M16" s="28">
        <v>6700.4782031249997</v>
      </c>
      <c r="N16" s="28">
        <v>7035.5021132812526</v>
      </c>
      <c r="O16" s="28">
        <v>7387.2772189453117</v>
      </c>
      <c r="P16" s="28">
        <v>7756.641079892579</v>
      </c>
      <c r="Q16" s="28">
        <v>8144.473133887208</v>
      </c>
      <c r="R16" s="97">
        <f t="shared" si="0"/>
        <v>59284.371749131351</v>
      </c>
    </row>
    <row r="17" spans="1:28">
      <c r="A17" s="297"/>
      <c r="B17" s="309"/>
      <c r="C17" s="310"/>
      <c r="D17" s="310"/>
      <c r="E17" s="37" t="s">
        <v>86</v>
      </c>
      <c r="F17" s="27" t="s">
        <v>86</v>
      </c>
      <c r="G17" s="67" t="s">
        <v>95</v>
      </c>
      <c r="H17" s="28">
        <v>1125</v>
      </c>
      <c r="I17" s="28">
        <v>1181.25</v>
      </c>
      <c r="J17" s="28">
        <v>1240.3125000000002</v>
      </c>
      <c r="K17" s="28">
        <v>1302.328125</v>
      </c>
      <c r="L17" s="28">
        <v>1367.44453125</v>
      </c>
      <c r="M17" s="28">
        <v>1435.8167578124999</v>
      </c>
      <c r="N17" s="28">
        <v>1507.6075957031251</v>
      </c>
      <c r="O17" s="28">
        <v>1582.9879754882811</v>
      </c>
      <c r="P17" s="28">
        <v>1662.1373742626954</v>
      </c>
      <c r="Q17" s="28">
        <v>1745.2442429758303</v>
      </c>
      <c r="R17" s="97">
        <f t="shared" si="0"/>
        <v>14150.12910249243</v>
      </c>
    </row>
    <row r="18" spans="1:28">
      <c r="A18" s="297"/>
      <c r="B18" s="309"/>
      <c r="C18" s="310"/>
      <c r="D18" s="310"/>
      <c r="E18" s="37" t="s">
        <v>86</v>
      </c>
      <c r="F18" s="27" t="s">
        <v>86</v>
      </c>
      <c r="G18" s="67" t="s">
        <v>96</v>
      </c>
      <c r="H18" s="28">
        <v>3375</v>
      </c>
      <c r="I18" s="28">
        <v>3543.75</v>
      </c>
      <c r="J18" s="28">
        <v>3720.9375000000005</v>
      </c>
      <c r="K18" s="28">
        <v>3906.984375</v>
      </c>
      <c r="L18" s="28">
        <v>4102.3335937500005</v>
      </c>
      <c r="M18" s="28">
        <v>4307.4502734375001</v>
      </c>
      <c r="N18" s="28">
        <v>4522.8227871093759</v>
      </c>
      <c r="O18" s="28">
        <v>4748.963926464844</v>
      </c>
      <c r="P18" s="28">
        <v>4986.4121227880869</v>
      </c>
      <c r="Q18" s="28">
        <v>5235.7327289274908</v>
      </c>
      <c r="R18" s="97">
        <f t="shared" si="0"/>
        <v>42450.3873074773</v>
      </c>
    </row>
    <row r="19" spans="1:28">
      <c r="A19" s="297"/>
      <c r="B19" s="309"/>
      <c r="C19" s="310"/>
      <c r="D19" s="310"/>
      <c r="E19" s="37" t="s">
        <v>86</v>
      </c>
      <c r="F19" s="27" t="s">
        <v>86</v>
      </c>
      <c r="G19" s="67" t="s">
        <v>97</v>
      </c>
      <c r="H19" s="28">
        <v>4125</v>
      </c>
      <c r="I19" s="28">
        <v>4331.25</v>
      </c>
      <c r="J19" s="28">
        <v>4547.8125000000009</v>
      </c>
      <c r="K19" s="28">
        <v>4775.203125</v>
      </c>
      <c r="L19" s="28">
        <v>5013.9632812500004</v>
      </c>
      <c r="M19" s="28">
        <v>5264.6614453125003</v>
      </c>
      <c r="N19" s="28">
        <v>5527.8945175781264</v>
      </c>
      <c r="O19" s="28">
        <v>5804.2892434570313</v>
      </c>
      <c r="P19" s="28">
        <v>6094.5037056298834</v>
      </c>
      <c r="Q19" s="28">
        <v>6399.2288909113777</v>
      </c>
      <c r="R19" s="97">
        <f t="shared" si="0"/>
        <v>51883.806709138917</v>
      </c>
    </row>
    <row r="20" spans="1:28" s="33" customFormat="1">
      <c r="A20" s="297"/>
      <c r="B20" s="309"/>
      <c r="C20" s="310"/>
      <c r="D20" s="310"/>
      <c r="E20" s="38" t="s">
        <v>86</v>
      </c>
      <c r="F20" s="29" t="s">
        <v>86</v>
      </c>
      <c r="G20" s="40" t="s">
        <v>98</v>
      </c>
      <c r="H20" s="30">
        <f>SUM(H9:H19)</f>
        <v>68812.5</v>
      </c>
      <c r="I20" s="30">
        <f t="shared" ref="I20:Q20" si="1">SUM(I9:I19)</f>
        <v>124149.375</v>
      </c>
      <c r="J20" s="30">
        <f t="shared" si="1"/>
        <v>146274.18750000003</v>
      </c>
      <c r="K20" s="30">
        <f t="shared" si="1"/>
        <v>143646.79218749999</v>
      </c>
      <c r="L20" s="30">
        <f t="shared" si="1"/>
        <v>156800.30624999999</v>
      </c>
      <c r="M20" s="30">
        <f t="shared" si="1"/>
        <v>160332.87128906252</v>
      </c>
      <c r="N20" s="30">
        <f t="shared" si="1"/>
        <v>168349.51485351566</v>
      </c>
      <c r="O20" s="30">
        <f t="shared" si="1"/>
        <v>176766.9905961914</v>
      </c>
      <c r="P20" s="30">
        <f t="shared" si="1"/>
        <v>185605.34012600099</v>
      </c>
      <c r="Q20" s="30">
        <f t="shared" si="1"/>
        <v>194885.60713230105</v>
      </c>
      <c r="R20" s="97">
        <f t="shared" si="0"/>
        <v>1525623.4849345717</v>
      </c>
    </row>
    <row r="21" spans="1:28">
      <c r="A21" s="297"/>
      <c r="B21" s="309"/>
      <c r="C21" s="310"/>
      <c r="D21" s="310"/>
      <c r="E21" s="37"/>
      <c r="F21" s="27"/>
      <c r="G21" s="67"/>
      <c r="H21" s="28"/>
      <c r="I21" s="28"/>
      <c r="J21" s="28"/>
      <c r="K21" s="28"/>
      <c r="L21" s="28"/>
      <c r="M21" s="28"/>
      <c r="N21" s="28"/>
      <c r="O21" s="28"/>
      <c r="P21" s="28"/>
      <c r="Q21" s="28"/>
      <c r="R21" s="97"/>
    </row>
    <row r="22" spans="1:28">
      <c r="A22" s="297"/>
      <c r="B22" s="309"/>
      <c r="C22" s="310"/>
      <c r="D22" s="310"/>
      <c r="E22" s="37" t="s">
        <v>114</v>
      </c>
      <c r="F22" s="27" t="s">
        <v>108</v>
      </c>
      <c r="G22" s="67" t="s">
        <v>99</v>
      </c>
      <c r="H22" s="28">
        <v>124875</v>
      </c>
      <c r="I22" s="28">
        <v>131118.75</v>
      </c>
      <c r="J22" s="28">
        <v>137674.68750000003</v>
      </c>
      <c r="K22" s="28">
        <v>144558.421875</v>
      </c>
      <c r="L22" s="28">
        <v>151786.34296875005</v>
      </c>
      <c r="M22" s="28">
        <v>159375.66011718751</v>
      </c>
      <c r="N22" s="28">
        <v>167344.44312304692</v>
      </c>
      <c r="O22" s="28">
        <v>175711.66527919922</v>
      </c>
      <c r="P22" s="28">
        <v>184497.24854315922</v>
      </c>
      <c r="Q22" s="28">
        <v>193722.11097031718</v>
      </c>
      <c r="R22" s="97">
        <f t="shared" si="0"/>
        <v>1570664.3303766602</v>
      </c>
      <c r="S22" s="285"/>
      <c r="T22" s="285"/>
      <c r="U22" s="285"/>
      <c r="V22" s="285"/>
      <c r="W22" s="285"/>
      <c r="X22" s="285"/>
      <c r="Y22" s="285"/>
      <c r="Z22" s="285"/>
      <c r="AA22" s="285"/>
      <c r="AB22" s="285"/>
    </row>
    <row r="23" spans="1:28">
      <c r="A23" s="297"/>
      <c r="B23" s="309"/>
      <c r="C23" s="310"/>
      <c r="D23" s="310"/>
      <c r="E23" s="37" t="s">
        <v>114</v>
      </c>
      <c r="F23" s="27" t="s">
        <v>108</v>
      </c>
      <c r="G23" s="67" t="s">
        <v>100</v>
      </c>
      <c r="H23" s="28">
        <v>0</v>
      </c>
      <c r="I23" s="28">
        <v>36421.875</v>
      </c>
      <c r="J23" s="28">
        <v>38242.968750000007</v>
      </c>
      <c r="K23" s="28">
        <v>40155.1171875</v>
      </c>
      <c r="L23" s="28">
        <v>42162.873046875007</v>
      </c>
      <c r="M23" s="28">
        <v>44271.016699218751</v>
      </c>
      <c r="N23" s="28">
        <v>46484.567534179696</v>
      </c>
      <c r="O23" s="28">
        <v>48808.795910888679</v>
      </c>
      <c r="P23" s="28">
        <v>51249.235706433115</v>
      </c>
      <c r="Q23" s="28">
        <v>53811.697491754763</v>
      </c>
      <c r="R23" s="97">
        <f t="shared" si="0"/>
        <v>401608.14732685004</v>
      </c>
      <c r="S23" s="285"/>
      <c r="T23" s="285"/>
      <c r="U23" s="285"/>
      <c r="V23" s="285"/>
      <c r="W23" s="285"/>
      <c r="X23" s="285"/>
      <c r="Y23" s="285"/>
      <c r="Z23" s="285"/>
      <c r="AA23" s="285"/>
      <c r="AB23" s="285"/>
    </row>
    <row r="24" spans="1:28">
      <c r="A24" s="297"/>
      <c r="B24" s="309"/>
      <c r="C24" s="310"/>
      <c r="D24" s="310"/>
      <c r="E24" s="37" t="s">
        <v>114</v>
      </c>
      <c r="F24" s="27" t="s">
        <v>109</v>
      </c>
      <c r="G24" s="67" t="s">
        <v>101</v>
      </c>
      <c r="H24" s="28">
        <v>41625</v>
      </c>
      <c r="I24" s="28">
        <v>87412.5</v>
      </c>
      <c r="J24" s="28">
        <v>91783.125000000015</v>
      </c>
      <c r="K24" s="28">
        <v>96372.28125</v>
      </c>
      <c r="L24" s="28">
        <v>101190.89531250001</v>
      </c>
      <c r="M24" s="28">
        <v>106250.440078125</v>
      </c>
      <c r="N24" s="28">
        <v>111562.96208203127</v>
      </c>
      <c r="O24" s="28">
        <v>117141.11018613282</v>
      </c>
      <c r="P24" s="28">
        <v>122998.16569543947</v>
      </c>
      <c r="Q24" s="28">
        <v>129148.07398021144</v>
      </c>
      <c r="R24" s="97">
        <f t="shared" si="0"/>
        <v>1005484.55358444</v>
      </c>
      <c r="S24" s="285"/>
      <c r="T24" s="285"/>
      <c r="U24" s="285"/>
      <c r="V24" s="285"/>
      <c r="W24" s="285"/>
      <c r="X24" s="285"/>
      <c r="Y24" s="285"/>
      <c r="Z24" s="285"/>
      <c r="AA24" s="285"/>
      <c r="AB24" s="285"/>
    </row>
    <row r="25" spans="1:28">
      <c r="A25" s="297"/>
      <c r="B25" s="309"/>
      <c r="C25" s="310"/>
      <c r="D25" s="310"/>
      <c r="E25" s="37" t="s">
        <v>114</v>
      </c>
      <c r="F25" s="27" t="s">
        <v>110</v>
      </c>
      <c r="G25" s="67" t="s">
        <v>102</v>
      </c>
      <c r="H25" s="28">
        <v>0</v>
      </c>
      <c r="I25" s="28">
        <v>30958.59375</v>
      </c>
      <c r="J25" s="28">
        <v>65013.046875000015</v>
      </c>
      <c r="K25" s="28">
        <v>68263.69921875</v>
      </c>
      <c r="L25" s="28">
        <v>71676.884179687506</v>
      </c>
      <c r="M25" s="28">
        <v>75260.728388671865</v>
      </c>
      <c r="N25" s="28">
        <v>79023.764808105479</v>
      </c>
      <c r="O25" s="28">
        <v>82974.953048510753</v>
      </c>
      <c r="P25" s="28">
        <v>87123.700700936286</v>
      </c>
      <c r="Q25" s="28">
        <v>91479.885735983102</v>
      </c>
      <c r="R25" s="97">
        <f t="shared" si="0"/>
        <v>651775.25670564501</v>
      </c>
      <c r="S25" s="285"/>
      <c r="T25" s="285"/>
      <c r="U25" s="285"/>
      <c r="V25" s="285"/>
      <c r="W25" s="285"/>
      <c r="X25" s="285"/>
      <c r="Y25" s="285"/>
      <c r="Z25" s="285"/>
      <c r="AA25" s="285"/>
      <c r="AB25" s="285"/>
    </row>
    <row r="26" spans="1:28">
      <c r="A26" s="297"/>
      <c r="B26" s="309"/>
      <c r="C26" s="310"/>
      <c r="D26" s="310"/>
      <c r="E26" s="37" t="s">
        <v>114</v>
      </c>
      <c r="F26" s="27" t="s">
        <v>111</v>
      </c>
      <c r="G26" s="67" t="s">
        <v>103</v>
      </c>
      <c r="H26" s="28">
        <v>83250</v>
      </c>
      <c r="I26" s="28">
        <v>87412.5</v>
      </c>
      <c r="J26" s="28">
        <v>91783.125000000015</v>
      </c>
      <c r="K26" s="28">
        <v>96372.28125</v>
      </c>
      <c r="L26" s="28">
        <v>101190.89531250001</v>
      </c>
      <c r="M26" s="28">
        <v>106250.440078125</v>
      </c>
      <c r="N26" s="28">
        <v>111562.96208203127</v>
      </c>
      <c r="O26" s="28">
        <v>117141.11018613282</v>
      </c>
      <c r="P26" s="28">
        <v>122998.16569543947</v>
      </c>
      <c r="Q26" s="28">
        <v>129148.07398021144</v>
      </c>
      <c r="R26" s="97">
        <f t="shared" si="0"/>
        <v>1047109.55358444</v>
      </c>
      <c r="S26" s="285"/>
      <c r="T26" s="285"/>
      <c r="U26" s="285"/>
      <c r="V26" s="285"/>
      <c r="W26" s="285"/>
      <c r="X26" s="285"/>
      <c r="Y26" s="285"/>
      <c r="Z26" s="285"/>
      <c r="AA26" s="285"/>
      <c r="AB26" s="285"/>
    </row>
    <row r="27" spans="1:28">
      <c r="A27" s="297"/>
      <c r="B27" s="309"/>
      <c r="C27" s="310"/>
      <c r="D27" s="310"/>
      <c r="E27" s="37" t="s">
        <v>114</v>
      </c>
      <c r="F27" s="27" t="s">
        <v>111</v>
      </c>
      <c r="G27" s="67" t="s">
        <v>104</v>
      </c>
      <c r="H27" s="28">
        <v>0</v>
      </c>
      <c r="I27" s="28">
        <v>23674.21875</v>
      </c>
      <c r="J27" s="28">
        <v>49715.859375000007</v>
      </c>
      <c r="K27" s="28">
        <v>78302.478515625</v>
      </c>
      <c r="L27" s="28">
        <v>109623.46992187502</v>
      </c>
      <c r="M27" s="28">
        <v>115104.64341796876</v>
      </c>
      <c r="N27" s="28">
        <v>120859.87558886722</v>
      </c>
      <c r="O27" s="28">
        <v>126902.86936831057</v>
      </c>
      <c r="P27" s="28">
        <v>133248.01283672612</v>
      </c>
      <c r="Q27" s="28">
        <v>139910.4134785624</v>
      </c>
      <c r="R27" s="97">
        <f t="shared" si="0"/>
        <v>897341.84125293512</v>
      </c>
      <c r="S27" s="285"/>
      <c r="T27" s="285"/>
      <c r="U27" s="285"/>
      <c r="V27" s="285"/>
      <c r="W27" s="285"/>
      <c r="X27" s="285"/>
      <c r="Y27" s="285"/>
      <c r="Z27" s="285"/>
      <c r="AA27" s="285"/>
      <c r="AB27" s="285"/>
    </row>
    <row r="28" spans="1:28">
      <c r="A28" s="297"/>
      <c r="B28" s="309"/>
      <c r="C28" s="310"/>
      <c r="D28" s="310"/>
      <c r="E28" s="37" t="s">
        <v>114</v>
      </c>
      <c r="F28" s="27" t="s">
        <v>112</v>
      </c>
      <c r="G28" s="67" t="s">
        <v>105</v>
      </c>
      <c r="H28" s="28">
        <v>0</v>
      </c>
      <c r="I28" s="28">
        <v>36421.875</v>
      </c>
      <c r="J28" s="28">
        <v>76485.937500000015</v>
      </c>
      <c r="K28" s="28">
        <v>80310.234375</v>
      </c>
      <c r="L28" s="28">
        <v>84325.746093750015</v>
      </c>
      <c r="M28" s="28">
        <v>88542.033398437503</v>
      </c>
      <c r="N28" s="28">
        <v>92969.135068359392</v>
      </c>
      <c r="O28" s="28">
        <v>97617.591821777358</v>
      </c>
      <c r="P28" s="28">
        <v>102498.47141286623</v>
      </c>
      <c r="Q28" s="28">
        <v>107623.39498350953</v>
      </c>
      <c r="R28" s="97">
        <f t="shared" si="0"/>
        <v>766794.41965370008</v>
      </c>
      <c r="S28" s="285"/>
      <c r="T28" s="285"/>
      <c r="U28" s="285"/>
      <c r="V28" s="285"/>
      <c r="W28" s="285"/>
      <c r="X28" s="285"/>
      <c r="Y28" s="285"/>
      <c r="Z28" s="285"/>
      <c r="AA28" s="285"/>
      <c r="AB28" s="285"/>
    </row>
    <row r="29" spans="1:28">
      <c r="A29" s="297"/>
      <c r="B29" s="309"/>
      <c r="C29" s="310"/>
      <c r="D29" s="310"/>
      <c r="E29" s="37" t="s">
        <v>114</v>
      </c>
      <c r="F29" s="27" t="s">
        <v>112</v>
      </c>
      <c r="G29" s="67" t="s">
        <v>106</v>
      </c>
      <c r="H29" s="28">
        <v>0</v>
      </c>
      <c r="I29" s="28">
        <v>23674.21875</v>
      </c>
      <c r="J29" s="28">
        <v>49715.859375000007</v>
      </c>
      <c r="K29" s="28">
        <v>52201.65234375</v>
      </c>
      <c r="L29" s="28">
        <v>54811.734960937509</v>
      </c>
      <c r="M29" s="28">
        <v>57552.321708984382</v>
      </c>
      <c r="N29" s="28">
        <v>60429.937794433608</v>
      </c>
      <c r="O29" s="28">
        <v>63451.434684155283</v>
      </c>
      <c r="P29" s="28">
        <v>66624.00641836306</v>
      </c>
      <c r="Q29" s="28">
        <v>69955.206739281202</v>
      </c>
      <c r="R29" s="97">
        <f t="shared" si="0"/>
        <v>498416.37277490506</v>
      </c>
      <c r="S29" s="285"/>
      <c r="T29" s="285"/>
      <c r="U29" s="285"/>
      <c r="V29" s="285"/>
      <c r="W29" s="285"/>
      <c r="X29" s="285"/>
      <c r="Y29" s="285"/>
      <c r="Z29" s="285"/>
      <c r="AA29" s="285"/>
      <c r="AB29" s="285"/>
    </row>
    <row r="30" spans="1:28">
      <c r="A30" s="297"/>
      <c r="B30" s="309"/>
      <c r="C30" s="310"/>
      <c r="D30" s="310"/>
      <c r="E30" s="37" t="s">
        <v>114</v>
      </c>
      <c r="F30" s="27" t="s">
        <v>113</v>
      </c>
      <c r="G30" s="67" t="s">
        <v>107</v>
      </c>
      <c r="H30" s="28">
        <v>0</v>
      </c>
      <c r="I30" s="28">
        <v>18210.9375</v>
      </c>
      <c r="J30" s="28">
        <v>38242.968750000007</v>
      </c>
      <c r="K30" s="28">
        <v>40155.1171875</v>
      </c>
      <c r="L30" s="28">
        <v>42162.873046875007</v>
      </c>
      <c r="M30" s="28">
        <v>44271.016699218751</v>
      </c>
      <c r="N30" s="28">
        <v>46484.567534179696</v>
      </c>
      <c r="O30" s="28">
        <v>48808.795910888679</v>
      </c>
      <c r="P30" s="28">
        <v>51249.235706433115</v>
      </c>
      <c r="Q30" s="28">
        <v>53811.697491754763</v>
      </c>
      <c r="R30" s="97">
        <f t="shared" si="0"/>
        <v>383397.20982685004</v>
      </c>
      <c r="S30" s="285"/>
      <c r="T30" s="285"/>
      <c r="U30" s="285"/>
      <c r="V30" s="285"/>
      <c r="W30" s="285"/>
      <c r="X30" s="285"/>
      <c r="Y30" s="285"/>
      <c r="Z30" s="285"/>
      <c r="AA30" s="285"/>
      <c r="AB30" s="285"/>
    </row>
    <row r="31" spans="1:28" s="33" customFormat="1">
      <c r="A31" s="297"/>
      <c r="B31" s="309"/>
      <c r="C31" s="310"/>
      <c r="D31" s="310"/>
      <c r="E31" s="38" t="s">
        <v>114</v>
      </c>
      <c r="F31" s="29"/>
      <c r="G31" s="40" t="s">
        <v>115</v>
      </c>
      <c r="H31" s="30">
        <f>SUM(H22:H30)</f>
        <v>249750</v>
      </c>
      <c r="I31" s="30">
        <f t="shared" ref="I31:Q31" si="2">SUM(I22:I30)</f>
        <v>475305.46875</v>
      </c>
      <c r="J31" s="30">
        <f t="shared" si="2"/>
        <v>638657.57812500012</v>
      </c>
      <c r="K31" s="30">
        <f t="shared" si="2"/>
        <v>696691.283203125</v>
      </c>
      <c r="L31" s="30">
        <f t="shared" si="2"/>
        <v>758931.71484375012</v>
      </c>
      <c r="M31" s="30">
        <f t="shared" si="2"/>
        <v>796878.30058593757</v>
      </c>
      <c r="N31" s="30">
        <f t="shared" si="2"/>
        <v>836722.21561523445</v>
      </c>
      <c r="O31" s="30">
        <f t="shared" si="2"/>
        <v>878558.32639599626</v>
      </c>
      <c r="P31" s="30">
        <f t="shared" si="2"/>
        <v>922486.24271579611</v>
      </c>
      <c r="Q31" s="30">
        <f t="shared" si="2"/>
        <v>968610.55485158577</v>
      </c>
      <c r="R31" s="97">
        <f t="shared" si="0"/>
        <v>7222591.6850864254</v>
      </c>
      <c r="S31" s="285"/>
      <c r="T31" s="285"/>
      <c r="U31" s="285"/>
      <c r="V31" s="285"/>
      <c r="W31" s="285"/>
      <c r="X31" s="285"/>
      <c r="Y31" s="285"/>
      <c r="Z31" s="285"/>
      <c r="AA31" s="285"/>
      <c r="AB31" s="285"/>
    </row>
    <row r="32" spans="1:28" s="33" customFormat="1">
      <c r="A32" s="297"/>
      <c r="B32" s="309"/>
      <c r="C32" s="310"/>
      <c r="D32" s="310"/>
      <c r="E32" s="38"/>
      <c r="F32" s="29"/>
      <c r="G32" s="40"/>
      <c r="H32" s="30"/>
      <c r="I32" s="30"/>
      <c r="J32" s="30"/>
      <c r="K32" s="30"/>
      <c r="L32" s="30"/>
      <c r="M32" s="30"/>
      <c r="N32" s="30"/>
      <c r="O32" s="30"/>
      <c r="P32" s="30"/>
      <c r="Q32" s="30"/>
      <c r="R32" s="97"/>
    </row>
    <row r="33" spans="1:18">
      <c r="A33" s="297"/>
      <c r="B33" s="309"/>
      <c r="C33" s="310"/>
      <c r="D33" s="310"/>
      <c r="E33" s="37" t="s">
        <v>116</v>
      </c>
      <c r="F33" s="27" t="s">
        <v>108</v>
      </c>
      <c r="G33" s="67" t="s">
        <v>117</v>
      </c>
      <c r="H33" s="28">
        <v>22500</v>
      </c>
      <c r="I33" s="28">
        <v>23625</v>
      </c>
      <c r="J33" s="28">
        <v>24806.250000000004</v>
      </c>
      <c r="K33" s="28">
        <v>19534.921875</v>
      </c>
      <c r="L33" s="28">
        <v>20511.667968750004</v>
      </c>
      <c r="M33" s="28">
        <v>14358.167578125</v>
      </c>
      <c r="N33" s="28">
        <v>15076.075957031253</v>
      </c>
      <c r="O33" s="28">
        <v>15829.879754882813</v>
      </c>
      <c r="P33" s="28">
        <v>16621.373742626954</v>
      </c>
      <c r="Q33" s="28">
        <v>17452.442429758303</v>
      </c>
      <c r="R33" s="97">
        <f t="shared" si="0"/>
        <v>190315.77930617431</v>
      </c>
    </row>
    <row r="34" spans="1:18">
      <c r="A34" s="297"/>
      <c r="B34" s="309"/>
      <c r="C34" s="310"/>
      <c r="D34" s="310"/>
      <c r="E34" s="37" t="s">
        <v>116</v>
      </c>
      <c r="F34" s="27" t="s">
        <v>108</v>
      </c>
      <c r="G34" s="67" t="s">
        <v>118</v>
      </c>
      <c r="H34" s="28">
        <v>22500</v>
      </c>
      <c r="I34" s="28">
        <v>23625</v>
      </c>
      <c r="J34" s="28">
        <v>18604.687500000004</v>
      </c>
      <c r="K34" s="28">
        <v>13023.28125</v>
      </c>
      <c r="L34" s="28">
        <v>13674.445312500002</v>
      </c>
      <c r="M34" s="28">
        <v>7179.0837890624998</v>
      </c>
      <c r="N34" s="28">
        <v>7538.0379785156265</v>
      </c>
      <c r="O34" s="28">
        <v>7914.9398774414067</v>
      </c>
      <c r="P34" s="28">
        <v>8310.6868713134772</v>
      </c>
      <c r="Q34" s="28">
        <v>8726.2212148791514</v>
      </c>
      <c r="R34" s="97">
        <f t="shared" si="0"/>
        <v>131096.38379371216</v>
      </c>
    </row>
    <row r="35" spans="1:18">
      <c r="A35" s="297"/>
      <c r="B35" s="309"/>
      <c r="C35" s="310"/>
      <c r="D35" s="310"/>
      <c r="E35" s="37" t="s">
        <v>116</v>
      </c>
      <c r="F35" s="27" t="s">
        <v>120</v>
      </c>
      <c r="G35" s="67" t="s">
        <v>119</v>
      </c>
      <c r="H35" s="28">
        <v>15000</v>
      </c>
      <c r="I35" s="28">
        <v>23625</v>
      </c>
      <c r="J35" s="28">
        <v>33075.000000000007</v>
      </c>
      <c r="K35" s="28">
        <v>34728.75</v>
      </c>
      <c r="L35" s="28">
        <v>27348.890625000004</v>
      </c>
      <c r="M35" s="28">
        <v>19144.223437500001</v>
      </c>
      <c r="N35" s="28">
        <v>10050.717304687501</v>
      </c>
      <c r="O35" s="28">
        <v>10553.253169921876</v>
      </c>
      <c r="P35" s="28">
        <v>11080.91582841797</v>
      </c>
      <c r="Q35" s="28">
        <v>11634.961619838869</v>
      </c>
      <c r="R35" s="97">
        <f t="shared" si="0"/>
        <v>196241.71198536622</v>
      </c>
    </row>
    <row r="36" spans="1:18">
      <c r="A36" s="297"/>
      <c r="B36" s="309"/>
      <c r="C36" s="310"/>
      <c r="D36" s="310"/>
      <c r="E36" s="37" t="s">
        <v>116</v>
      </c>
      <c r="F36" s="27" t="s">
        <v>110</v>
      </c>
      <c r="G36" s="67" t="s">
        <v>119</v>
      </c>
      <c r="H36" s="28">
        <v>0</v>
      </c>
      <c r="I36" s="28">
        <v>7875</v>
      </c>
      <c r="J36" s="28">
        <v>24806.250000000004</v>
      </c>
      <c r="K36" s="28">
        <v>34728.75</v>
      </c>
      <c r="L36" s="28">
        <v>36465.187500000007</v>
      </c>
      <c r="M36" s="28">
        <v>28716.335156249999</v>
      </c>
      <c r="N36" s="28">
        <v>20101.434609375003</v>
      </c>
      <c r="O36" s="28">
        <v>10553.253169921876</v>
      </c>
      <c r="P36" s="28">
        <v>11080.91582841797</v>
      </c>
      <c r="Q36" s="28">
        <v>11634.961619838869</v>
      </c>
      <c r="R36" s="97">
        <f t="shared" si="0"/>
        <v>185962.08788380367</v>
      </c>
    </row>
    <row r="37" spans="1:18" s="33" customFormat="1">
      <c r="A37" s="297"/>
      <c r="B37" s="309"/>
      <c r="C37" s="310"/>
      <c r="D37" s="310"/>
      <c r="E37" s="38" t="s">
        <v>116</v>
      </c>
      <c r="F37" s="29"/>
      <c r="G37" s="40" t="s">
        <v>121</v>
      </c>
      <c r="H37" s="30">
        <f>SUM(H33:H36)</f>
        <v>60000</v>
      </c>
      <c r="I37" s="30">
        <f t="shared" ref="I37:Q37" si="3">SUM(I33:I36)</f>
        <v>78750</v>
      </c>
      <c r="J37" s="30">
        <f t="shared" si="3"/>
        <v>101292.18750000001</v>
      </c>
      <c r="K37" s="30">
        <f t="shared" si="3"/>
        <v>102015.703125</v>
      </c>
      <c r="L37" s="30">
        <f t="shared" si="3"/>
        <v>98000.191406250029</v>
      </c>
      <c r="M37" s="30">
        <f t="shared" si="3"/>
        <v>69397.809960937506</v>
      </c>
      <c r="N37" s="30">
        <f t="shared" si="3"/>
        <v>52766.265849609379</v>
      </c>
      <c r="O37" s="30">
        <f t="shared" si="3"/>
        <v>44851.325972167971</v>
      </c>
      <c r="P37" s="30">
        <f t="shared" si="3"/>
        <v>47093.892270776378</v>
      </c>
      <c r="Q37" s="30">
        <f t="shared" si="3"/>
        <v>49448.586884315191</v>
      </c>
      <c r="R37" s="97">
        <f t="shared" si="0"/>
        <v>703615.96296905645</v>
      </c>
    </row>
    <row r="38" spans="1:18">
      <c r="A38" s="297"/>
      <c r="B38" s="309"/>
      <c r="C38" s="310"/>
      <c r="D38" s="310"/>
      <c r="E38" s="37"/>
      <c r="F38" s="27"/>
      <c r="G38" s="67"/>
      <c r="H38" s="28"/>
      <c r="I38" s="28"/>
      <c r="J38" s="28"/>
      <c r="K38" s="28"/>
      <c r="L38" s="28"/>
      <c r="M38" s="28"/>
      <c r="N38" s="28"/>
      <c r="O38" s="28"/>
      <c r="P38" s="28"/>
      <c r="Q38" s="28"/>
      <c r="R38" s="97"/>
    </row>
    <row r="39" spans="1:18" s="33" customFormat="1">
      <c r="A39" s="297"/>
      <c r="B39" s="309"/>
      <c r="C39" s="310"/>
      <c r="D39" s="310"/>
      <c r="E39" s="38" t="s">
        <v>122</v>
      </c>
      <c r="F39" s="29"/>
      <c r="G39" s="40" t="s">
        <v>123</v>
      </c>
      <c r="H39" s="30">
        <f>H20+H31+H37</f>
        <v>378562.5</v>
      </c>
      <c r="I39" s="30">
        <f t="shared" ref="I39:Q39" si="4">I20+I31+I37</f>
        <v>678204.84375</v>
      </c>
      <c r="J39" s="30">
        <f t="shared" si="4"/>
        <v>886223.95312500012</v>
      </c>
      <c r="K39" s="30">
        <f t="shared" si="4"/>
        <v>942353.77851562505</v>
      </c>
      <c r="L39" s="30">
        <f t="shared" si="4"/>
        <v>1013732.2125000001</v>
      </c>
      <c r="M39" s="30">
        <f t="shared" si="4"/>
        <v>1026608.9818359376</v>
      </c>
      <c r="N39" s="30">
        <f t="shared" si="4"/>
        <v>1057837.9963183594</v>
      </c>
      <c r="O39" s="30">
        <f t="shared" si="4"/>
        <v>1100176.6429643556</v>
      </c>
      <c r="P39" s="30">
        <f t="shared" si="4"/>
        <v>1155185.4751125735</v>
      </c>
      <c r="Q39" s="30">
        <f t="shared" si="4"/>
        <v>1212944.7488682019</v>
      </c>
      <c r="R39" s="97">
        <f t="shared" si="0"/>
        <v>9451831.1329900529</v>
      </c>
    </row>
    <row r="40" spans="1:18">
      <c r="A40" s="297"/>
      <c r="B40" s="309"/>
      <c r="C40" s="299"/>
      <c r="D40" s="300"/>
      <c r="E40" s="300"/>
      <c r="F40" s="300"/>
      <c r="G40" s="300"/>
      <c r="H40" s="300"/>
      <c r="I40" s="300"/>
      <c r="J40" s="300"/>
      <c r="K40" s="300"/>
      <c r="L40" s="300"/>
      <c r="M40" s="300"/>
      <c r="N40" s="300"/>
      <c r="O40" s="300"/>
      <c r="P40" s="300"/>
      <c r="Q40" s="300"/>
      <c r="R40" s="301"/>
    </row>
    <row r="41" spans="1:18">
      <c r="A41" s="297"/>
      <c r="B41" s="309" t="s">
        <v>40</v>
      </c>
      <c r="C41" s="52" t="s">
        <v>41</v>
      </c>
      <c r="D41" s="52" t="s">
        <v>32</v>
      </c>
      <c r="E41" s="52" t="s">
        <v>42</v>
      </c>
      <c r="F41" s="53" t="s">
        <v>166</v>
      </c>
      <c r="G41" s="52"/>
      <c r="H41" s="39">
        <f>'Detailed Budget'!G10</f>
        <v>0</v>
      </c>
      <c r="I41" s="39">
        <f>'Detailed Budget'!H10</f>
        <v>10000000</v>
      </c>
      <c r="J41" s="39">
        <v>10000000</v>
      </c>
      <c r="K41" s="39">
        <v>10000000</v>
      </c>
      <c r="L41" s="39">
        <v>0</v>
      </c>
      <c r="M41" s="39">
        <v>0</v>
      </c>
      <c r="N41" s="39">
        <f>'Detailed Budget'!M10</f>
        <v>0</v>
      </c>
      <c r="O41" s="39">
        <f>'Detailed Budget'!N10</f>
        <v>0</v>
      </c>
      <c r="P41" s="39">
        <f>'Detailed Budget'!O10</f>
        <v>0</v>
      </c>
      <c r="Q41" s="39">
        <f>'Detailed Budget'!P10</f>
        <v>0</v>
      </c>
      <c r="R41" s="98">
        <f t="shared" ref="R41:R178" si="5">SUM(H41:Q41)</f>
        <v>30000000</v>
      </c>
    </row>
    <row r="42" spans="1:18">
      <c r="A42" s="297"/>
      <c r="B42" s="309"/>
      <c r="C42" s="52" t="s">
        <v>31</v>
      </c>
      <c r="D42" s="52" t="s">
        <v>32</v>
      </c>
      <c r="E42" s="52" t="s">
        <v>42</v>
      </c>
      <c r="F42" s="53" t="s">
        <v>166</v>
      </c>
      <c r="G42" s="52"/>
      <c r="H42" s="39">
        <f>'Detailed Budget'!G11</f>
        <v>0</v>
      </c>
      <c r="I42" s="39">
        <f>'Detailed Budget'!H11</f>
        <v>10000000</v>
      </c>
      <c r="J42" s="39">
        <v>10000000</v>
      </c>
      <c r="K42" s="39">
        <f>'Detailed Budget'!J11</f>
        <v>5000000</v>
      </c>
      <c r="L42" s="39">
        <f>'Detailed Budget'!K11</f>
        <v>5000000</v>
      </c>
      <c r="M42" s="39">
        <v>0</v>
      </c>
      <c r="N42" s="39">
        <f>'Detailed Budget'!M11</f>
        <v>0</v>
      </c>
      <c r="O42" s="39">
        <f>'Detailed Budget'!N11</f>
        <v>0</v>
      </c>
      <c r="P42" s="39">
        <f>'Detailed Budget'!O11</f>
        <v>0</v>
      </c>
      <c r="Q42" s="39">
        <f>'Detailed Budget'!P11</f>
        <v>0</v>
      </c>
      <c r="R42" s="98">
        <f t="shared" si="5"/>
        <v>30000000</v>
      </c>
    </row>
    <row r="43" spans="1:18">
      <c r="A43" s="297"/>
      <c r="B43" s="309"/>
      <c r="C43" s="299"/>
      <c r="D43" s="300"/>
      <c r="E43" s="300"/>
      <c r="F43" s="300"/>
      <c r="G43" s="300"/>
      <c r="H43" s="300"/>
      <c r="I43" s="300"/>
      <c r="J43" s="300"/>
      <c r="K43" s="300"/>
      <c r="L43" s="300"/>
      <c r="M43" s="300"/>
      <c r="N43" s="300"/>
      <c r="O43" s="300"/>
      <c r="P43" s="300"/>
      <c r="Q43" s="300"/>
      <c r="R43" s="301"/>
    </row>
    <row r="44" spans="1:18">
      <c r="A44" s="297"/>
      <c r="B44" s="309"/>
      <c r="C44" s="305"/>
      <c r="D44" s="305"/>
      <c r="E44" s="305"/>
      <c r="F44" s="302"/>
      <c r="G44" s="67" t="s">
        <v>151</v>
      </c>
      <c r="H44" s="31">
        <v>0</v>
      </c>
      <c r="I44" s="31">
        <v>0</v>
      </c>
      <c r="J44" s="31">
        <v>3034413.5802469132</v>
      </c>
      <c r="K44" s="31">
        <v>3216478.3950617285</v>
      </c>
      <c r="L44" s="31">
        <v>0</v>
      </c>
      <c r="M44" s="31">
        <v>0</v>
      </c>
      <c r="N44" s="31">
        <v>0</v>
      </c>
      <c r="O44" s="31">
        <v>0</v>
      </c>
      <c r="P44" s="31">
        <v>0</v>
      </c>
      <c r="Q44" s="31"/>
      <c r="R44" s="99">
        <f t="shared" ref="R44:R54" si="6">SUM(H44:Q44)</f>
        <v>6250891.9753086418</v>
      </c>
    </row>
    <row r="45" spans="1:18">
      <c r="A45" s="297"/>
      <c r="B45" s="309"/>
      <c r="C45" s="306"/>
      <c r="D45" s="306"/>
      <c r="E45" s="306"/>
      <c r="F45" s="303"/>
      <c r="G45" s="67" t="s">
        <v>152</v>
      </c>
      <c r="H45" s="31">
        <v>0</v>
      </c>
      <c r="I45" s="31">
        <v>0</v>
      </c>
      <c r="J45" s="31">
        <v>2750479.1666666665</v>
      </c>
      <c r="K45" s="31">
        <v>2915507.9166666665</v>
      </c>
      <c r="L45" s="31">
        <v>3090438.3916666666</v>
      </c>
      <c r="M45" s="31">
        <v>0</v>
      </c>
      <c r="N45" s="31">
        <v>0</v>
      </c>
      <c r="O45" s="31">
        <v>0</v>
      </c>
      <c r="P45" s="31">
        <v>0</v>
      </c>
      <c r="Q45" s="31"/>
      <c r="R45" s="99">
        <f t="shared" si="6"/>
        <v>8756425.4749999996</v>
      </c>
    </row>
    <row r="46" spans="1:18">
      <c r="A46" s="297"/>
      <c r="B46" s="309"/>
      <c r="C46" s="306"/>
      <c r="D46" s="306"/>
      <c r="E46" s="306"/>
      <c r="F46" s="303"/>
      <c r="G46" s="67" t="s">
        <v>153</v>
      </c>
      <c r="H46" s="31">
        <v>0</v>
      </c>
      <c r="I46" s="31">
        <v>0</v>
      </c>
      <c r="J46" s="31">
        <v>0</v>
      </c>
      <c r="K46" s="31">
        <v>3704693.8657407421</v>
      </c>
      <c r="L46" s="31">
        <v>3926975.4976851861</v>
      </c>
      <c r="M46" s="31">
        <v>0</v>
      </c>
      <c r="N46" s="31">
        <v>0</v>
      </c>
      <c r="O46" s="31">
        <v>0</v>
      </c>
      <c r="P46" s="31">
        <v>0</v>
      </c>
      <c r="Q46" s="31"/>
      <c r="R46" s="99">
        <f t="shared" si="6"/>
        <v>7631669.3634259282</v>
      </c>
    </row>
    <row r="47" spans="1:18">
      <c r="A47" s="297"/>
      <c r="B47" s="309"/>
      <c r="C47" s="306"/>
      <c r="D47" s="306"/>
      <c r="E47" s="306"/>
      <c r="F47" s="303"/>
      <c r="G47" s="67" t="s">
        <v>154</v>
      </c>
      <c r="H47" s="31">
        <v>0</v>
      </c>
      <c r="I47" s="31">
        <v>0</v>
      </c>
      <c r="J47" s="31">
        <v>0</v>
      </c>
      <c r="K47" s="31">
        <v>3018205.4768518521</v>
      </c>
      <c r="L47" s="31">
        <v>3199297.8054629634</v>
      </c>
      <c r="M47" s="31">
        <v>0</v>
      </c>
      <c r="N47" s="31">
        <v>0</v>
      </c>
      <c r="O47" s="31">
        <v>0</v>
      </c>
      <c r="P47" s="31">
        <v>0</v>
      </c>
      <c r="Q47" s="31"/>
      <c r="R47" s="99">
        <f t="shared" si="6"/>
        <v>6217503.2823148156</v>
      </c>
    </row>
    <row r="48" spans="1:18">
      <c r="A48" s="297"/>
      <c r="B48" s="309"/>
      <c r="C48" s="306"/>
      <c r="D48" s="306"/>
      <c r="E48" s="306"/>
      <c r="F48" s="303"/>
      <c r="G48" s="67" t="s">
        <v>155</v>
      </c>
      <c r="H48" s="31">
        <v>0</v>
      </c>
      <c r="I48" s="31">
        <v>0</v>
      </c>
      <c r="J48" s="31">
        <v>3767007.7160493839</v>
      </c>
      <c r="K48" s="31">
        <v>3993028.179012347</v>
      </c>
      <c r="L48" s="31">
        <v>4232609.8697530879</v>
      </c>
      <c r="M48" s="31">
        <v>0</v>
      </c>
      <c r="N48" s="31">
        <v>0</v>
      </c>
      <c r="O48" s="31">
        <v>0</v>
      </c>
      <c r="P48" s="31">
        <v>0</v>
      </c>
      <c r="Q48" s="31"/>
      <c r="R48" s="99">
        <f t="shared" si="6"/>
        <v>11992645.76481482</v>
      </c>
    </row>
    <row r="49" spans="1:18">
      <c r="A49" s="297"/>
      <c r="B49" s="309"/>
      <c r="C49" s="306"/>
      <c r="D49" s="306"/>
      <c r="E49" s="306"/>
      <c r="F49" s="303"/>
      <c r="G49" s="67" t="s">
        <v>156</v>
      </c>
      <c r="H49" s="31">
        <v>0</v>
      </c>
      <c r="I49" s="31">
        <v>4140410.4761904767</v>
      </c>
      <c r="J49" s="31">
        <v>0</v>
      </c>
      <c r="K49" s="31">
        <v>0</v>
      </c>
      <c r="L49" s="31">
        <v>0</v>
      </c>
      <c r="M49" s="31">
        <v>0</v>
      </c>
      <c r="N49" s="31">
        <v>0</v>
      </c>
      <c r="O49" s="31">
        <v>0</v>
      </c>
      <c r="P49" s="31">
        <v>0</v>
      </c>
      <c r="Q49" s="31"/>
      <c r="R49" s="99">
        <f t="shared" si="6"/>
        <v>4140410.4761904767</v>
      </c>
    </row>
    <row r="50" spans="1:18">
      <c r="A50" s="297"/>
      <c r="B50" s="309"/>
      <c r="C50" s="306"/>
      <c r="D50" s="306"/>
      <c r="E50" s="306"/>
      <c r="F50" s="303"/>
      <c r="G50" s="67" t="s">
        <v>157</v>
      </c>
      <c r="H50" s="31">
        <v>0</v>
      </c>
      <c r="I50" s="31">
        <v>0</v>
      </c>
      <c r="J50" s="31">
        <v>0</v>
      </c>
      <c r="K50" s="31">
        <v>1723974.9826388892</v>
      </c>
      <c r="L50" s="31">
        <v>1827413.4815972224</v>
      </c>
      <c r="M50" s="31">
        <v>0</v>
      </c>
      <c r="N50" s="31">
        <v>0</v>
      </c>
      <c r="O50" s="31">
        <v>0</v>
      </c>
      <c r="P50" s="31">
        <v>0</v>
      </c>
      <c r="Q50" s="31"/>
      <c r="R50" s="99">
        <f t="shared" si="6"/>
        <v>3551388.4642361114</v>
      </c>
    </row>
    <row r="51" spans="1:18">
      <c r="A51" s="297"/>
      <c r="B51" s="309"/>
      <c r="C51" s="306"/>
      <c r="D51" s="306"/>
      <c r="E51" s="306"/>
      <c r="F51" s="303"/>
      <c r="G51" s="67" t="s">
        <v>158</v>
      </c>
      <c r="H51" s="31">
        <v>0</v>
      </c>
      <c r="I51" s="31">
        <v>1908436.2139917694</v>
      </c>
      <c r="J51" s="31">
        <v>0</v>
      </c>
      <c r="K51" s="31">
        <v>0</v>
      </c>
      <c r="L51" s="31">
        <v>0</v>
      </c>
      <c r="M51" s="31">
        <v>0</v>
      </c>
      <c r="N51" s="31">
        <v>0</v>
      </c>
      <c r="O51" s="31">
        <v>0</v>
      </c>
      <c r="P51" s="31">
        <v>0</v>
      </c>
      <c r="Q51" s="31"/>
      <c r="R51" s="99">
        <f t="shared" si="6"/>
        <v>1908436.2139917694</v>
      </c>
    </row>
    <row r="52" spans="1:18">
      <c r="A52" s="297"/>
      <c r="B52" s="309"/>
      <c r="C52" s="306"/>
      <c r="D52" s="306"/>
      <c r="E52" s="306"/>
      <c r="F52" s="303"/>
      <c r="G52" s="67" t="s">
        <v>159</v>
      </c>
      <c r="H52" s="31">
        <v>0</v>
      </c>
      <c r="I52" s="31">
        <v>0</v>
      </c>
      <c r="J52" s="31">
        <v>0</v>
      </c>
      <c r="K52" s="31">
        <v>1219275.0601851856</v>
      </c>
      <c r="L52" s="31">
        <v>1292431.5637962967</v>
      </c>
      <c r="M52" s="31">
        <v>0</v>
      </c>
      <c r="N52" s="31">
        <v>0</v>
      </c>
      <c r="O52" s="31">
        <v>0</v>
      </c>
      <c r="P52" s="31">
        <v>0</v>
      </c>
      <c r="Q52" s="31"/>
      <c r="R52" s="99">
        <f t="shared" si="6"/>
        <v>2511706.6239814823</v>
      </c>
    </row>
    <row r="53" spans="1:18">
      <c r="A53" s="297"/>
      <c r="B53" s="309"/>
      <c r="C53" s="306"/>
      <c r="D53" s="306"/>
      <c r="E53" s="306"/>
      <c r="F53" s="303"/>
      <c r="G53" s="67" t="s">
        <v>160</v>
      </c>
      <c r="H53" s="31">
        <v>0</v>
      </c>
      <c r="I53" s="31">
        <v>0</v>
      </c>
      <c r="J53" s="31">
        <v>0</v>
      </c>
      <c r="K53" s="31">
        <v>0</v>
      </c>
      <c r="L53" s="31">
        <v>2763190.4335262352</v>
      </c>
      <c r="M53" s="31">
        <v>2928981.8595378096</v>
      </c>
      <c r="N53" s="31">
        <v>0</v>
      </c>
      <c r="O53" s="31">
        <v>0</v>
      </c>
      <c r="P53" s="31">
        <v>0</v>
      </c>
      <c r="Q53" s="31"/>
      <c r="R53" s="99">
        <f t="shared" si="6"/>
        <v>5692172.2930640448</v>
      </c>
    </row>
    <row r="54" spans="1:18" s="33" customFormat="1">
      <c r="A54" s="297"/>
      <c r="B54" s="309"/>
      <c r="C54" s="307"/>
      <c r="D54" s="307"/>
      <c r="E54" s="307"/>
      <c r="F54" s="304"/>
      <c r="G54" s="40" t="s">
        <v>128</v>
      </c>
      <c r="H54" s="32">
        <f t="shared" ref="H54:Q54" si="7">SUM(H44:H53)</f>
        <v>0</v>
      </c>
      <c r="I54" s="32">
        <f t="shared" si="7"/>
        <v>6048846.6901822463</v>
      </c>
      <c r="J54" s="32">
        <f t="shared" si="7"/>
        <v>9551900.4629629645</v>
      </c>
      <c r="K54" s="32">
        <f t="shared" si="7"/>
        <v>19791163.87615741</v>
      </c>
      <c r="L54" s="32">
        <f t="shared" si="7"/>
        <v>20332357.043487661</v>
      </c>
      <c r="M54" s="32">
        <f t="shared" si="7"/>
        <v>2928981.8595378096</v>
      </c>
      <c r="N54" s="32">
        <f t="shared" si="7"/>
        <v>0</v>
      </c>
      <c r="O54" s="32">
        <f t="shared" si="7"/>
        <v>0</v>
      </c>
      <c r="P54" s="32">
        <f t="shared" si="7"/>
        <v>0</v>
      </c>
      <c r="Q54" s="32">
        <f t="shared" si="7"/>
        <v>0</v>
      </c>
      <c r="R54" s="99">
        <f t="shared" si="6"/>
        <v>58653249.93232809</v>
      </c>
    </row>
    <row r="55" spans="1:18" s="33" customFormat="1">
      <c r="A55" s="297"/>
      <c r="B55" s="309"/>
      <c r="C55" s="150"/>
      <c r="D55" s="132"/>
      <c r="E55" s="132"/>
      <c r="F55" s="132"/>
      <c r="G55" s="151"/>
      <c r="H55" s="152"/>
      <c r="I55" s="152"/>
      <c r="J55" s="152"/>
      <c r="K55" s="152"/>
      <c r="L55" s="152"/>
      <c r="M55" s="152"/>
      <c r="N55" s="152"/>
      <c r="O55" s="152"/>
      <c r="P55" s="152"/>
      <c r="Q55" s="152"/>
      <c r="R55" s="153"/>
    </row>
    <row r="56" spans="1:18" s="33" customFormat="1" ht="25.5">
      <c r="A56" s="297"/>
      <c r="B56" s="309"/>
      <c r="C56" s="302"/>
      <c r="D56" s="302"/>
      <c r="E56" s="302"/>
      <c r="F56" s="29" t="s">
        <v>242</v>
      </c>
      <c r="G56" s="40" t="str">
        <f>'Project Prep Proxy'!B5</f>
        <v>Pre-feasibility</v>
      </c>
      <c r="H56" s="118">
        <f>'Project Prep Proxy'!J5</f>
        <v>0</v>
      </c>
      <c r="I56" s="32">
        <f>'Project Prep Proxy'!K5</f>
        <v>0</v>
      </c>
      <c r="J56" s="32">
        <f>'Project Prep Proxy'!L5</f>
        <v>4298355.208333334</v>
      </c>
      <c r="K56" s="32">
        <f>'Project Prep Proxy'!M5</f>
        <v>4947790.9690393526</v>
      </c>
      <c r="L56" s="32">
        <f>'Project Prep Proxy'!N5</f>
        <v>0</v>
      </c>
      <c r="M56" s="32">
        <f>'Project Prep Proxy'!O5</f>
        <v>0</v>
      </c>
      <c r="N56" s="32">
        <f>'Project Prep Proxy'!P5</f>
        <v>0</v>
      </c>
      <c r="O56" s="32">
        <f>'Project Prep Proxy'!Q5</f>
        <v>0</v>
      </c>
      <c r="P56" s="32">
        <f>'Project Prep Proxy'!R5</f>
        <v>0</v>
      </c>
      <c r="Q56" s="32">
        <f>'Project Prep Proxy'!S5</f>
        <v>0</v>
      </c>
      <c r="R56" s="99">
        <f>SUM(H56:Q56)</f>
        <v>9246146.1773726866</v>
      </c>
    </row>
    <row r="57" spans="1:18" ht="25.5">
      <c r="A57" s="297"/>
      <c r="B57" s="309"/>
      <c r="C57" s="303"/>
      <c r="D57" s="303"/>
      <c r="E57" s="303"/>
      <c r="F57" s="29" t="s">
        <v>242</v>
      </c>
      <c r="G57" s="67" t="str">
        <f>'Project Prep Proxy'!B6</f>
        <v xml:space="preserve">   Project Definition &amp; Climate Vulnerability Assessments</v>
      </c>
      <c r="H57" s="115">
        <f>'Project Prep Proxy'!J6</f>
        <v>0</v>
      </c>
      <c r="I57" s="31">
        <f>'Project Prep Proxy'!K6</f>
        <v>0</v>
      </c>
      <c r="J57" s="31">
        <f>'Project Prep Proxy'!L6</f>
        <v>1289506.5625000002</v>
      </c>
      <c r="K57" s="31">
        <f>'Project Prep Proxy'!M6</f>
        <v>1484337.2907118057</v>
      </c>
      <c r="L57" s="31">
        <f>'Project Prep Proxy'!N6</f>
        <v>0</v>
      </c>
      <c r="M57" s="31">
        <f>'Project Prep Proxy'!O6</f>
        <v>0</v>
      </c>
      <c r="N57" s="31">
        <f>'Project Prep Proxy'!P6</f>
        <v>0</v>
      </c>
      <c r="O57" s="31">
        <f>'Project Prep Proxy'!Q6</f>
        <v>0</v>
      </c>
      <c r="P57" s="31">
        <f>'Project Prep Proxy'!R6</f>
        <v>0</v>
      </c>
      <c r="Q57" s="31">
        <f>'Project Prep Proxy'!S6</f>
        <v>0</v>
      </c>
      <c r="R57" s="154">
        <f t="shared" ref="R57:R72" si="8">SUM(H57:Q57)</f>
        <v>2773843.8532118062</v>
      </c>
    </row>
    <row r="58" spans="1:18" ht="25.5">
      <c r="A58" s="297"/>
      <c r="B58" s="309"/>
      <c r="C58" s="303"/>
      <c r="D58" s="303"/>
      <c r="E58" s="303"/>
      <c r="F58" s="29" t="s">
        <v>242</v>
      </c>
      <c r="G58" s="67" t="str">
        <f>'Project Prep Proxy'!B7</f>
        <v xml:space="preserve">   Pre-feasibility Assessment</v>
      </c>
      <c r="H58" s="115">
        <f>'Project Prep Proxy'!J7</f>
        <v>0</v>
      </c>
      <c r="I58" s="31">
        <f>'Project Prep Proxy'!K7</f>
        <v>0</v>
      </c>
      <c r="J58" s="31">
        <f>'Project Prep Proxy'!L7</f>
        <v>2579013.1250000005</v>
      </c>
      <c r="K58" s="31">
        <f>'Project Prep Proxy'!M7</f>
        <v>2968674.5814236114</v>
      </c>
      <c r="L58" s="31">
        <f>'Project Prep Proxy'!N7</f>
        <v>0</v>
      </c>
      <c r="M58" s="31">
        <f>'Project Prep Proxy'!O7</f>
        <v>0</v>
      </c>
      <c r="N58" s="31">
        <f>'Project Prep Proxy'!P7</f>
        <v>0</v>
      </c>
      <c r="O58" s="31">
        <f>'Project Prep Proxy'!Q7</f>
        <v>0</v>
      </c>
      <c r="P58" s="31">
        <f>'Project Prep Proxy'!R7</f>
        <v>0</v>
      </c>
      <c r="Q58" s="31">
        <f>'Project Prep Proxy'!S7</f>
        <v>0</v>
      </c>
      <c r="R58" s="154">
        <f t="shared" si="8"/>
        <v>5547687.7064236123</v>
      </c>
    </row>
    <row r="59" spans="1:18" ht="25.5">
      <c r="A59" s="297"/>
      <c r="B59" s="309"/>
      <c r="C59" s="303"/>
      <c r="D59" s="303"/>
      <c r="E59" s="303"/>
      <c r="F59" s="29" t="s">
        <v>242</v>
      </c>
      <c r="G59" s="67" t="str">
        <f>'Project Prep Proxy'!B8</f>
        <v xml:space="preserve">   Action Planning &amp; Terms of Reference</v>
      </c>
      <c r="H59" s="115">
        <f>'Project Prep Proxy'!J8</f>
        <v>0</v>
      </c>
      <c r="I59" s="31">
        <f>'Project Prep Proxy'!K8</f>
        <v>0</v>
      </c>
      <c r="J59" s="31">
        <f>'Project Prep Proxy'!L8</f>
        <v>429835.52083333343</v>
      </c>
      <c r="K59" s="31">
        <f>'Project Prep Proxy'!M8</f>
        <v>494779.09690393531</v>
      </c>
      <c r="L59" s="31">
        <f>'Project Prep Proxy'!N8</f>
        <v>0</v>
      </c>
      <c r="M59" s="31">
        <f>'Project Prep Proxy'!O8</f>
        <v>0</v>
      </c>
      <c r="N59" s="31">
        <f>'Project Prep Proxy'!P8</f>
        <v>0</v>
      </c>
      <c r="O59" s="31">
        <f>'Project Prep Proxy'!Q8</f>
        <v>0</v>
      </c>
      <c r="P59" s="31">
        <f>'Project Prep Proxy'!R8</f>
        <v>0</v>
      </c>
      <c r="Q59" s="31">
        <f>'Project Prep Proxy'!S8</f>
        <v>0</v>
      </c>
      <c r="R59" s="154">
        <f t="shared" si="8"/>
        <v>924614.6177372688</v>
      </c>
    </row>
    <row r="60" spans="1:18" s="33" customFormat="1" ht="25.5">
      <c r="A60" s="297"/>
      <c r="B60" s="309"/>
      <c r="C60" s="303"/>
      <c r="D60" s="303"/>
      <c r="E60" s="303"/>
      <c r="F60" s="29" t="s">
        <v>242</v>
      </c>
      <c r="G60" s="40" t="str">
        <f>'Project Prep Proxy'!B9</f>
        <v>Feasibility</v>
      </c>
      <c r="H60" s="118">
        <f>'Project Prep Proxy'!J9</f>
        <v>0</v>
      </c>
      <c r="I60" s="32">
        <f>'Project Prep Proxy'!K9</f>
        <v>0</v>
      </c>
      <c r="J60" s="32">
        <f>'Project Prep Proxy'!L9</f>
        <v>5253545.2546296306</v>
      </c>
      <c r="K60" s="32">
        <f>'Project Prep Proxy'!M9</f>
        <v>11874698.325694446</v>
      </c>
      <c r="L60" s="32">
        <f>'Project Prep Proxy'!N9</f>
        <v>7116324.9652206805</v>
      </c>
      <c r="M60" s="32">
        <f>'Project Prep Proxy'!O9</f>
        <v>0</v>
      </c>
      <c r="N60" s="32">
        <f>'Project Prep Proxy'!P9</f>
        <v>0</v>
      </c>
      <c r="O60" s="32">
        <f>'Project Prep Proxy'!Q9</f>
        <v>0</v>
      </c>
      <c r="P60" s="32">
        <f>'Project Prep Proxy'!R9</f>
        <v>0</v>
      </c>
      <c r="Q60" s="32">
        <f>'Project Prep Proxy'!S9</f>
        <v>0</v>
      </c>
      <c r="R60" s="99">
        <f t="shared" si="8"/>
        <v>24244568.545544758</v>
      </c>
    </row>
    <row r="61" spans="1:18" ht="25.5">
      <c r="A61" s="297"/>
      <c r="B61" s="309"/>
      <c r="C61" s="303"/>
      <c r="D61" s="303"/>
      <c r="E61" s="303"/>
      <c r="F61" s="29" t="s">
        <v>242</v>
      </c>
      <c r="G61" s="67" t="str">
        <f>'Project Prep Proxy'!B10</f>
        <v xml:space="preserve">   Feasibility Assessment</v>
      </c>
      <c r="H61" s="115">
        <f>'Project Prep Proxy'!J10</f>
        <v>0</v>
      </c>
      <c r="I61" s="31">
        <f>'Project Prep Proxy'!K10</f>
        <v>0</v>
      </c>
      <c r="J61" s="31">
        <f>'Project Prep Proxy'!L10</f>
        <v>2101418.1018518521</v>
      </c>
      <c r="K61" s="31">
        <f>'Project Prep Proxy'!M10</f>
        <v>4749879.3302777782</v>
      </c>
      <c r="L61" s="31">
        <f>'Project Prep Proxy'!N10</f>
        <v>2846529.9860882722</v>
      </c>
      <c r="M61" s="31">
        <f>'Project Prep Proxy'!O10</f>
        <v>0</v>
      </c>
      <c r="N61" s="31">
        <f>'Project Prep Proxy'!P10</f>
        <v>0</v>
      </c>
      <c r="O61" s="31">
        <f>'Project Prep Proxy'!Q10</f>
        <v>0</v>
      </c>
      <c r="P61" s="31">
        <f>'Project Prep Proxy'!R10</f>
        <v>0</v>
      </c>
      <c r="Q61" s="31">
        <f>'Project Prep Proxy'!S10</f>
        <v>0</v>
      </c>
      <c r="R61" s="154">
        <f t="shared" si="8"/>
        <v>9697827.418217903</v>
      </c>
    </row>
    <row r="62" spans="1:18" ht="25.5">
      <c r="A62" s="297"/>
      <c r="B62" s="309"/>
      <c r="C62" s="303"/>
      <c r="D62" s="303"/>
      <c r="E62" s="303"/>
      <c r="F62" s="29" t="s">
        <v>242</v>
      </c>
      <c r="G62" s="67" t="str">
        <f>'Project Prep Proxy'!B11</f>
        <v xml:space="preserve">   Financial &amp; Economic Appraisal</v>
      </c>
      <c r="H62" s="115">
        <f>'Project Prep Proxy'!J11</f>
        <v>0</v>
      </c>
      <c r="I62" s="31">
        <f>'Project Prep Proxy'!K11</f>
        <v>0</v>
      </c>
      <c r="J62" s="31">
        <f>'Project Prep Proxy'!L11</f>
        <v>1576063.5763888892</v>
      </c>
      <c r="K62" s="31">
        <f>'Project Prep Proxy'!M11</f>
        <v>3562409.4977083337</v>
      </c>
      <c r="L62" s="31">
        <f>'Project Prep Proxy'!N11</f>
        <v>2134897.4895662041</v>
      </c>
      <c r="M62" s="31">
        <f>'Project Prep Proxy'!O11</f>
        <v>0</v>
      </c>
      <c r="N62" s="31">
        <f>'Project Prep Proxy'!P11</f>
        <v>0</v>
      </c>
      <c r="O62" s="31">
        <f>'Project Prep Proxy'!Q11</f>
        <v>0</v>
      </c>
      <c r="P62" s="31">
        <f>'Project Prep Proxy'!R11</f>
        <v>0</v>
      </c>
      <c r="Q62" s="31">
        <f>'Project Prep Proxy'!S11</f>
        <v>0</v>
      </c>
      <c r="R62" s="154">
        <f t="shared" si="8"/>
        <v>7273370.5636634268</v>
      </c>
    </row>
    <row r="63" spans="1:18" ht="25.5">
      <c r="A63" s="297"/>
      <c r="B63" s="309"/>
      <c r="C63" s="303"/>
      <c r="D63" s="303"/>
      <c r="E63" s="303"/>
      <c r="F63" s="29" t="s">
        <v>242</v>
      </c>
      <c r="G63" s="67" t="str">
        <f>'Project Prep Proxy'!B12</f>
        <v xml:space="preserve">   Environmental, Social &amp; Gender Impact Assessments</v>
      </c>
      <c r="H63" s="115">
        <f>'Project Prep Proxy'!J12</f>
        <v>0</v>
      </c>
      <c r="I63" s="31">
        <f>'Project Prep Proxy'!K12</f>
        <v>0</v>
      </c>
      <c r="J63" s="31">
        <f>'Project Prep Proxy'!L12</f>
        <v>1576063.5763888892</v>
      </c>
      <c r="K63" s="31">
        <f>'Project Prep Proxy'!M12</f>
        <v>3562409.4977083337</v>
      </c>
      <c r="L63" s="31">
        <f>'Project Prep Proxy'!N12</f>
        <v>2134897.4895662041</v>
      </c>
      <c r="M63" s="31">
        <f>'Project Prep Proxy'!O12</f>
        <v>0</v>
      </c>
      <c r="N63" s="31">
        <f>'Project Prep Proxy'!P12</f>
        <v>0</v>
      </c>
      <c r="O63" s="31">
        <f>'Project Prep Proxy'!Q12</f>
        <v>0</v>
      </c>
      <c r="P63" s="31">
        <f>'Project Prep Proxy'!R12</f>
        <v>0</v>
      </c>
      <c r="Q63" s="31">
        <f>'Project Prep Proxy'!S12</f>
        <v>0</v>
      </c>
      <c r="R63" s="154">
        <f t="shared" si="8"/>
        <v>7273370.5636634268</v>
      </c>
    </row>
    <row r="64" spans="1:18" s="33" customFormat="1" ht="25.5">
      <c r="A64" s="297"/>
      <c r="B64" s="309"/>
      <c r="C64" s="303"/>
      <c r="D64" s="303"/>
      <c r="E64" s="303"/>
      <c r="F64" s="29" t="s">
        <v>242</v>
      </c>
      <c r="G64" s="40" t="str">
        <f>'Project Prep Proxy'!B13</f>
        <v>Transaction Advisory</v>
      </c>
      <c r="H64" s="118">
        <f>'Project Prep Proxy'!J13</f>
        <v>0</v>
      </c>
      <c r="I64" s="32">
        <f>'Project Prep Proxy'!K13</f>
        <v>3024423.3450911231</v>
      </c>
      <c r="J64" s="32">
        <f>'Project Prep Proxy'!L13</f>
        <v>0</v>
      </c>
      <c r="K64" s="32">
        <f>'Project Prep Proxy'!M13</f>
        <v>1979116.3876157412</v>
      </c>
      <c r="L64" s="32">
        <f>'Project Prep Proxy'!N13</f>
        <v>8132942.817395065</v>
      </c>
      <c r="M64" s="32">
        <f>'Project Prep Proxy'!O13</f>
        <v>585796.3719075619</v>
      </c>
      <c r="N64" s="32">
        <f>'Project Prep Proxy'!P13</f>
        <v>0</v>
      </c>
      <c r="O64" s="32">
        <f>'Project Prep Proxy'!Q13</f>
        <v>0</v>
      </c>
      <c r="P64" s="32">
        <f>'Project Prep Proxy'!R13</f>
        <v>0</v>
      </c>
      <c r="Q64" s="32">
        <f>'Project Prep Proxy'!S13</f>
        <v>0</v>
      </c>
      <c r="R64" s="99">
        <f t="shared" si="8"/>
        <v>13722278.92200949</v>
      </c>
    </row>
    <row r="65" spans="1:18" ht="25.5">
      <c r="A65" s="297"/>
      <c r="B65" s="309"/>
      <c r="C65" s="303"/>
      <c r="D65" s="303"/>
      <c r="E65" s="303"/>
      <c r="F65" s="29" t="s">
        <v>242</v>
      </c>
      <c r="G65" s="67" t="str">
        <f>'Project Prep Proxy'!B14</f>
        <v xml:space="preserve">   Delivery Model Finalisation</v>
      </c>
      <c r="H65" s="115">
        <f>'Project Prep Proxy'!J14</f>
        <v>0</v>
      </c>
      <c r="I65" s="31">
        <f>'Project Prep Proxy'!K14</f>
        <v>604884.6690182247</v>
      </c>
      <c r="J65" s="31">
        <f>'Project Prep Proxy'!L14</f>
        <v>0</v>
      </c>
      <c r="K65" s="31">
        <f>'Project Prep Proxy'!M14</f>
        <v>395823.27752314828</v>
      </c>
      <c r="L65" s="31">
        <f>'Project Prep Proxy'!N14</f>
        <v>1626588.563479013</v>
      </c>
      <c r="M65" s="31">
        <f>'Project Prep Proxy'!O14</f>
        <v>117159.27438151238</v>
      </c>
      <c r="N65" s="31">
        <f>'Project Prep Proxy'!P14</f>
        <v>0</v>
      </c>
      <c r="O65" s="31">
        <f>'Project Prep Proxy'!Q14</f>
        <v>0</v>
      </c>
      <c r="P65" s="31">
        <f>'Project Prep Proxy'!R14</f>
        <v>0</v>
      </c>
      <c r="Q65" s="31">
        <f>'Project Prep Proxy'!S14</f>
        <v>0</v>
      </c>
      <c r="R65" s="154">
        <f t="shared" si="8"/>
        <v>2744455.7844018983</v>
      </c>
    </row>
    <row r="66" spans="1:18" ht="25.5">
      <c r="A66" s="297"/>
      <c r="B66" s="309"/>
      <c r="C66" s="303"/>
      <c r="D66" s="303"/>
      <c r="E66" s="303"/>
      <c r="F66" s="29" t="s">
        <v>242</v>
      </c>
      <c r="G66" s="67" t="str">
        <f>'Project Prep Proxy'!B15</f>
        <v xml:space="preserve">   Financial &amp; Legal Structuring</v>
      </c>
      <c r="H66" s="115">
        <f>'Project Prep Proxy'!J15</f>
        <v>0</v>
      </c>
      <c r="I66" s="31">
        <f>'Project Prep Proxy'!K15</f>
        <v>1512211.6725455616</v>
      </c>
      <c r="J66" s="31">
        <f>'Project Prep Proxy'!L15</f>
        <v>0</v>
      </c>
      <c r="K66" s="31">
        <f>'Project Prep Proxy'!M15</f>
        <v>989558.19380787062</v>
      </c>
      <c r="L66" s="31">
        <f>'Project Prep Proxy'!N15</f>
        <v>4066471.4086975325</v>
      </c>
      <c r="M66" s="31">
        <f>'Project Prep Proxy'!O15</f>
        <v>292898.18595378095</v>
      </c>
      <c r="N66" s="31">
        <f>'Project Prep Proxy'!P15</f>
        <v>0</v>
      </c>
      <c r="O66" s="31">
        <f>'Project Prep Proxy'!Q15</f>
        <v>0</v>
      </c>
      <c r="P66" s="31">
        <f>'Project Prep Proxy'!R15</f>
        <v>0</v>
      </c>
      <c r="Q66" s="31">
        <f>'Project Prep Proxy'!S15</f>
        <v>0</v>
      </c>
      <c r="R66" s="154">
        <f t="shared" si="8"/>
        <v>6861139.4610047452</v>
      </c>
    </row>
    <row r="67" spans="1:18" ht="25.5">
      <c r="A67" s="297"/>
      <c r="B67" s="309"/>
      <c r="C67" s="303"/>
      <c r="D67" s="303"/>
      <c r="E67" s="303"/>
      <c r="F67" s="29" t="s">
        <v>242</v>
      </c>
      <c r="G67" s="67" t="str">
        <f>'Project Prep Proxy'!B16</f>
        <v xml:space="preserve">   Drafting Construction Contracts</v>
      </c>
      <c r="H67" s="115">
        <f>'Project Prep Proxy'!J16</f>
        <v>0</v>
      </c>
      <c r="I67" s="31">
        <f>'Project Prep Proxy'!K16</f>
        <v>907327.00352733687</v>
      </c>
      <c r="J67" s="31">
        <f>'Project Prep Proxy'!L16</f>
        <v>0</v>
      </c>
      <c r="K67" s="31">
        <f>'Project Prep Proxy'!M16</f>
        <v>593734.91628472239</v>
      </c>
      <c r="L67" s="31">
        <f>'Project Prep Proxy'!N16</f>
        <v>2439882.8452185192</v>
      </c>
      <c r="M67" s="31">
        <f>'Project Prep Proxy'!O16</f>
        <v>175738.91157226855</v>
      </c>
      <c r="N67" s="31">
        <f>'Project Prep Proxy'!P16</f>
        <v>0</v>
      </c>
      <c r="O67" s="31">
        <f>'Project Prep Proxy'!Q16</f>
        <v>0</v>
      </c>
      <c r="P67" s="31">
        <f>'Project Prep Proxy'!R16</f>
        <v>0</v>
      </c>
      <c r="Q67" s="31">
        <f>'Project Prep Proxy'!S16</f>
        <v>0</v>
      </c>
      <c r="R67" s="154">
        <f t="shared" si="8"/>
        <v>4116683.6766028474</v>
      </c>
    </row>
    <row r="68" spans="1:18" s="33" customFormat="1" ht="25.5">
      <c r="A68" s="297"/>
      <c r="B68" s="309"/>
      <c r="C68" s="303"/>
      <c r="D68" s="303"/>
      <c r="E68" s="303"/>
      <c r="F68" s="29" t="s">
        <v>242</v>
      </c>
      <c r="G68" s="40" t="str">
        <f>'Project Prep Proxy'!B17</f>
        <v>Financial Close</v>
      </c>
      <c r="H68" s="118">
        <f>'Project Prep Proxy'!J17</f>
        <v>0</v>
      </c>
      <c r="I68" s="32">
        <f>'Project Prep Proxy'!K17</f>
        <v>3024423.3450911231</v>
      </c>
      <c r="J68" s="32">
        <f>'Project Prep Proxy'!L17</f>
        <v>0</v>
      </c>
      <c r="K68" s="32">
        <f>'Project Prep Proxy'!M17</f>
        <v>989558.19380787062</v>
      </c>
      <c r="L68" s="32">
        <f>'Project Prep Proxy'!N17</f>
        <v>5083089.2608719151</v>
      </c>
      <c r="M68" s="32">
        <f>'Project Prep Proxy'!O17</f>
        <v>2343185.4876302476</v>
      </c>
      <c r="N68" s="32">
        <f>'Project Prep Proxy'!P17</f>
        <v>0</v>
      </c>
      <c r="O68" s="32">
        <f>'Project Prep Proxy'!Q17</f>
        <v>0</v>
      </c>
      <c r="P68" s="32">
        <f>'Project Prep Proxy'!R17</f>
        <v>0</v>
      </c>
      <c r="Q68" s="32">
        <f>'Project Prep Proxy'!S17</f>
        <v>0</v>
      </c>
      <c r="R68" s="99">
        <f t="shared" si="8"/>
        <v>11440256.287401156</v>
      </c>
    </row>
    <row r="69" spans="1:18" ht="25.5">
      <c r="A69" s="297"/>
      <c r="B69" s="309"/>
      <c r="C69" s="303"/>
      <c r="D69" s="303"/>
      <c r="E69" s="303"/>
      <c r="F69" s="29" t="s">
        <v>242</v>
      </c>
      <c r="G69" s="67" t="str">
        <f>'Project Prep Proxy'!B18</f>
        <v xml:space="preserve">   Transaction Support</v>
      </c>
      <c r="H69" s="115">
        <f>'Project Prep Proxy'!J18</f>
        <v>0</v>
      </c>
      <c r="I69" s="31">
        <f>'Project Prep Proxy'!K18</f>
        <v>907327.00352733687</v>
      </c>
      <c r="J69" s="31">
        <f>'Project Prep Proxy'!L18</f>
        <v>0</v>
      </c>
      <c r="K69" s="31">
        <f>'Project Prep Proxy'!M18</f>
        <v>296867.4581423612</v>
      </c>
      <c r="L69" s="31">
        <f>'Project Prep Proxy'!N18</f>
        <v>1524926.7782615745</v>
      </c>
      <c r="M69" s="31">
        <f>'Project Prep Proxy'!O18</f>
        <v>702955.64628907421</v>
      </c>
      <c r="N69" s="31">
        <f>'Project Prep Proxy'!P18</f>
        <v>0</v>
      </c>
      <c r="O69" s="31">
        <f>'Project Prep Proxy'!Q18</f>
        <v>0</v>
      </c>
      <c r="P69" s="31">
        <f>'Project Prep Proxy'!R18</f>
        <v>0</v>
      </c>
      <c r="Q69" s="31">
        <f>'Project Prep Proxy'!S18</f>
        <v>0</v>
      </c>
      <c r="R69" s="154">
        <f t="shared" si="8"/>
        <v>3432076.8862203467</v>
      </c>
    </row>
    <row r="70" spans="1:18" ht="25.5">
      <c r="A70" s="297"/>
      <c r="B70" s="309"/>
      <c r="C70" s="303"/>
      <c r="D70" s="303"/>
      <c r="E70" s="303"/>
      <c r="F70" s="29" t="s">
        <v>242</v>
      </c>
      <c r="G70" s="67" t="str">
        <f>'Project Prep Proxy'!B19</f>
        <v xml:space="preserve">   Drafting Financial &amp; Legal Agreements</v>
      </c>
      <c r="H70" s="115">
        <f>'Project Prep Proxy'!J19</f>
        <v>0</v>
      </c>
      <c r="I70" s="31">
        <f>'Project Prep Proxy'!K19</f>
        <v>1512211.6725455616</v>
      </c>
      <c r="J70" s="31">
        <f>'Project Prep Proxy'!L19</f>
        <v>0</v>
      </c>
      <c r="K70" s="31">
        <f>'Project Prep Proxy'!M19</f>
        <v>494779.09690393531</v>
      </c>
      <c r="L70" s="31">
        <f>'Project Prep Proxy'!N19</f>
        <v>2541544.6304359576</v>
      </c>
      <c r="M70" s="31">
        <f>'Project Prep Proxy'!O19</f>
        <v>1171592.7438151238</v>
      </c>
      <c r="N70" s="31">
        <f>'Project Prep Proxy'!P19</f>
        <v>0</v>
      </c>
      <c r="O70" s="31">
        <f>'Project Prep Proxy'!Q19</f>
        <v>0</v>
      </c>
      <c r="P70" s="31">
        <f>'Project Prep Proxy'!R19</f>
        <v>0</v>
      </c>
      <c r="Q70" s="31">
        <f>'Project Prep Proxy'!S19</f>
        <v>0</v>
      </c>
      <c r="R70" s="154">
        <f t="shared" si="8"/>
        <v>5720128.1437005782</v>
      </c>
    </row>
    <row r="71" spans="1:18" ht="25.5">
      <c r="A71" s="297"/>
      <c r="B71" s="309"/>
      <c r="C71" s="303"/>
      <c r="D71" s="303"/>
      <c r="E71" s="303"/>
      <c r="F71" s="29" t="s">
        <v>242</v>
      </c>
      <c r="G71" s="67" t="str">
        <f>'Project Prep Proxy'!B20</f>
        <v xml:space="preserve">   Solicitation Approach Finalisation</v>
      </c>
      <c r="H71" s="115">
        <f>'Project Prep Proxy'!J20</f>
        <v>0</v>
      </c>
      <c r="I71" s="31">
        <f>'Project Prep Proxy'!K20</f>
        <v>604884.6690182247</v>
      </c>
      <c r="J71" s="31">
        <f>'Project Prep Proxy'!L20</f>
        <v>0</v>
      </c>
      <c r="K71" s="31">
        <f>'Project Prep Proxy'!M20</f>
        <v>197911.63876157414</v>
      </c>
      <c r="L71" s="31">
        <f>'Project Prep Proxy'!N20</f>
        <v>1016617.8521743831</v>
      </c>
      <c r="M71" s="31">
        <f>'Project Prep Proxy'!O20</f>
        <v>468637.09752604953</v>
      </c>
      <c r="N71" s="31">
        <f>'Project Prep Proxy'!P20</f>
        <v>0</v>
      </c>
      <c r="O71" s="31">
        <f>'Project Prep Proxy'!Q20</f>
        <v>0</v>
      </c>
      <c r="P71" s="31">
        <f>'Project Prep Proxy'!R20</f>
        <v>0</v>
      </c>
      <c r="Q71" s="31">
        <f>'Project Prep Proxy'!S20</f>
        <v>0</v>
      </c>
      <c r="R71" s="154">
        <f t="shared" si="8"/>
        <v>2288051.2574802316</v>
      </c>
    </row>
    <row r="72" spans="1:18" s="33" customFormat="1" ht="25.5">
      <c r="A72" s="297"/>
      <c r="B72" s="309"/>
      <c r="C72" s="304"/>
      <c r="D72" s="304"/>
      <c r="E72" s="304"/>
      <c r="F72" s="29" t="s">
        <v>242</v>
      </c>
      <c r="G72" s="40" t="s">
        <v>128</v>
      </c>
      <c r="H72" s="118">
        <f>H56+H60+H64+H68</f>
        <v>0</v>
      </c>
      <c r="I72" s="32">
        <f t="shared" ref="I72:Q72" si="9">I56+I60+I64+I68</f>
        <v>6048846.6901822463</v>
      </c>
      <c r="J72" s="32">
        <f t="shared" si="9"/>
        <v>9551900.4629629645</v>
      </c>
      <c r="K72" s="32">
        <f t="shared" si="9"/>
        <v>19791163.87615741</v>
      </c>
      <c r="L72" s="32">
        <f t="shared" si="9"/>
        <v>20332357.043487661</v>
      </c>
      <c r="M72" s="32">
        <f t="shared" si="9"/>
        <v>2928981.8595378096</v>
      </c>
      <c r="N72" s="32">
        <f t="shared" si="9"/>
        <v>0</v>
      </c>
      <c r="O72" s="32">
        <f t="shared" si="9"/>
        <v>0</v>
      </c>
      <c r="P72" s="32">
        <f t="shared" si="9"/>
        <v>0</v>
      </c>
      <c r="Q72" s="32">
        <f t="shared" si="9"/>
        <v>0</v>
      </c>
      <c r="R72" s="99">
        <f t="shared" si="8"/>
        <v>58653249.93232809</v>
      </c>
    </row>
    <row r="73" spans="1:18">
      <c r="A73" s="297"/>
      <c r="B73" s="309"/>
      <c r="C73" s="299"/>
      <c r="D73" s="300"/>
      <c r="E73" s="300"/>
      <c r="F73" s="300"/>
      <c r="G73" s="300"/>
      <c r="H73" s="300"/>
      <c r="I73" s="300"/>
      <c r="J73" s="300"/>
      <c r="K73" s="300"/>
      <c r="L73" s="300"/>
      <c r="M73" s="300"/>
      <c r="N73" s="300"/>
      <c r="O73" s="300"/>
      <c r="P73" s="300"/>
      <c r="Q73" s="300"/>
      <c r="R73" s="301"/>
    </row>
    <row r="74" spans="1:18">
      <c r="A74" s="297"/>
      <c r="B74" s="46" t="s">
        <v>126</v>
      </c>
      <c r="C74" s="46"/>
      <c r="D74" s="46"/>
      <c r="E74" s="46"/>
      <c r="F74" s="56"/>
      <c r="G74" s="46"/>
      <c r="H74" s="54">
        <f t="shared" ref="H74:Q74" si="10">H7+H41+H42</f>
        <v>450000</v>
      </c>
      <c r="I74" s="54">
        <f t="shared" si="10"/>
        <v>20700000</v>
      </c>
      <c r="J74" s="54">
        <f t="shared" si="10"/>
        <v>20850000</v>
      </c>
      <c r="K74" s="54">
        <f t="shared" si="10"/>
        <v>15000000</v>
      </c>
      <c r="L74" s="54">
        <f t="shared" si="10"/>
        <v>5000000</v>
      </c>
      <c r="M74" s="54">
        <f t="shared" si="10"/>
        <v>0</v>
      </c>
      <c r="N74" s="54">
        <f t="shared" si="10"/>
        <v>0</v>
      </c>
      <c r="O74" s="54">
        <f t="shared" si="10"/>
        <v>0</v>
      </c>
      <c r="P74" s="54">
        <f t="shared" si="10"/>
        <v>0</v>
      </c>
      <c r="Q74" s="54">
        <f t="shared" si="10"/>
        <v>0</v>
      </c>
      <c r="R74" s="100">
        <f t="shared" si="5"/>
        <v>62000000</v>
      </c>
    </row>
    <row r="75" spans="1:18" ht="13.5" thickBot="1">
      <c r="A75" s="298"/>
      <c r="B75" s="48" t="s">
        <v>127</v>
      </c>
      <c r="C75" s="48"/>
      <c r="D75" s="48"/>
      <c r="E75" s="48"/>
      <c r="F75" s="57"/>
      <c r="G75" s="48"/>
      <c r="H75" s="55">
        <f t="shared" ref="H75:Q75" si="11">H39+H54</f>
        <v>378562.5</v>
      </c>
      <c r="I75" s="55">
        <f t="shared" si="11"/>
        <v>6727051.5339322463</v>
      </c>
      <c r="J75" s="55">
        <f t="shared" si="11"/>
        <v>10438124.416087965</v>
      </c>
      <c r="K75" s="55">
        <f t="shared" si="11"/>
        <v>20733517.654673036</v>
      </c>
      <c r="L75" s="55">
        <f t="shared" si="11"/>
        <v>21346089.255987659</v>
      </c>
      <c r="M75" s="55">
        <f t="shared" si="11"/>
        <v>3955590.8413737472</v>
      </c>
      <c r="N75" s="55">
        <f t="shared" si="11"/>
        <v>1057837.9963183594</v>
      </c>
      <c r="O75" s="55">
        <f t="shared" si="11"/>
        <v>1100176.6429643556</v>
      </c>
      <c r="P75" s="55">
        <f t="shared" si="11"/>
        <v>1155185.4751125735</v>
      </c>
      <c r="Q75" s="55">
        <f t="shared" si="11"/>
        <v>1212944.7488682019</v>
      </c>
      <c r="R75" s="102">
        <f t="shared" si="5"/>
        <v>68105081.065318152</v>
      </c>
    </row>
    <row r="76" spans="1:18" ht="13.5" thickBot="1">
      <c r="A76" s="293"/>
      <c r="B76" s="294"/>
      <c r="C76" s="294"/>
      <c r="D76" s="294"/>
      <c r="E76" s="294"/>
      <c r="F76" s="294"/>
      <c r="G76" s="294"/>
      <c r="H76" s="294"/>
      <c r="I76" s="294"/>
      <c r="J76" s="294"/>
      <c r="K76" s="294"/>
      <c r="L76" s="294"/>
      <c r="M76" s="294"/>
      <c r="N76" s="294"/>
      <c r="O76" s="294"/>
      <c r="P76" s="294"/>
      <c r="Q76" s="294"/>
      <c r="R76" s="295"/>
    </row>
    <row r="77" spans="1:18" s="36" customFormat="1">
      <c r="A77" s="311" t="s">
        <v>45</v>
      </c>
      <c r="B77" s="308" t="s">
        <v>149</v>
      </c>
      <c r="C77" s="325"/>
      <c r="D77" s="325"/>
      <c r="E77" s="120" t="s">
        <v>175</v>
      </c>
      <c r="F77" s="125" t="s">
        <v>199</v>
      </c>
      <c r="G77" s="120" t="str">
        <f>'Capital Cost Proxy'!C5</f>
        <v>Treated Effluent Collection</v>
      </c>
      <c r="H77" s="121">
        <f>'Capital Cost Proxy'!$E5*'Capital Cost Proxy'!F$37</f>
        <v>0</v>
      </c>
      <c r="I77" s="121">
        <f>'Capital Cost Proxy'!$E5*'Capital Cost Proxy'!G$37</f>
        <v>0</v>
      </c>
      <c r="J77" s="121">
        <f>'Capital Cost Proxy'!$E5*'Capital Cost Proxy'!H$37</f>
        <v>5841560.2752750851</v>
      </c>
      <c r="K77" s="121">
        <f>'Capital Cost Proxy'!$E5*'Capital Cost Proxy'!I$37</f>
        <v>7713395.5003786888</v>
      </c>
      <c r="L77" s="121">
        <f>'Capital Cost Proxy'!$E5*'Capital Cost Proxy'!J$37</f>
        <v>8709054.4400235601</v>
      </c>
      <c r="M77" s="121">
        <f>'Capital Cost Proxy'!$E5*'Capital Cost Proxy'!K$37</f>
        <v>20745899.179278076</v>
      </c>
      <c r="N77" s="121">
        <f>'Capital Cost Proxy'!$E5*'Capital Cost Proxy'!L$37</f>
        <v>21277874.998169344</v>
      </c>
      <c r="O77" s="121">
        <f>'Capital Cost Proxy'!$E5*'Capital Cost Proxy'!M$37</f>
        <v>16203843.270759096</v>
      </c>
      <c r="P77" s="121">
        <f>'Capital Cost Proxy'!$E5*'Capital Cost Proxy'!N$37</f>
        <v>8299272.6451823665</v>
      </c>
      <c r="Q77" s="121">
        <f>'Capital Cost Proxy'!$E5*'Capital Cost Proxy'!O$37</f>
        <v>0</v>
      </c>
      <c r="R77" s="122">
        <f>SUM(H77:Q77)</f>
        <v>88790900.309066221</v>
      </c>
    </row>
    <row r="78" spans="1:18" s="35" customFormat="1">
      <c r="A78" s="312"/>
      <c r="B78" s="309"/>
      <c r="C78" s="314"/>
      <c r="D78" s="314"/>
      <c r="E78" s="40" t="s">
        <v>175</v>
      </c>
      <c r="F78" s="29" t="s">
        <v>199</v>
      </c>
      <c r="G78" s="67" t="str">
        <f>'Capital Cost Proxy'!C6</f>
        <v xml:space="preserve">   Pump Station &amp; Pipelines</v>
      </c>
      <c r="H78" s="115">
        <f>'Capital Cost Proxy'!$E6*'Capital Cost Proxy'!F$37</f>
        <v>0</v>
      </c>
      <c r="I78" s="115">
        <f>'Capital Cost Proxy'!$E6*'Capital Cost Proxy'!G$37</f>
        <v>0</v>
      </c>
      <c r="J78" s="115">
        <f>'Capital Cost Proxy'!$E6*'Capital Cost Proxy'!H$37</f>
        <v>5841560.2752750851</v>
      </c>
      <c r="K78" s="115">
        <f>'Capital Cost Proxy'!$E6*'Capital Cost Proxy'!I$37</f>
        <v>7713395.5003786888</v>
      </c>
      <c r="L78" s="115">
        <f>'Capital Cost Proxy'!$E6*'Capital Cost Proxy'!J$37</f>
        <v>8709054.4400235601</v>
      </c>
      <c r="M78" s="115">
        <f>'Capital Cost Proxy'!$E6*'Capital Cost Proxy'!K$37</f>
        <v>20745899.179278076</v>
      </c>
      <c r="N78" s="115">
        <f>'Capital Cost Proxy'!$E6*'Capital Cost Proxy'!L$37</f>
        <v>21277874.998169344</v>
      </c>
      <c r="O78" s="115">
        <f>'Capital Cost Proxy'!$E6*'Capital Cost Proxy'!M$37</f>
        <v>16203843.270759096</v>
      </c>
      <c r="P78" s="115">
        <f>'Capital Cost Proxy'!$E6*'Capital Cost Proxy'!N$37</f>
        <v>8299272.6451823665</v>
      </c>
      <c r="Q78" s="115">
        <f>'Capital Cost Proxy'!$E6*'Capital Cost Proxy'!O$37</f>
        <v>0</v>
      </c>
      <c r="R78" s="68">
        <f t="shared" ref="R78:R91" si="12">SUM(H78:Q78)</f>
        <v>88790900.309066221</v>
      </c>
    </row>
    <row r="79" spans="1:18" s="36" customFormat="1">
      <c r="A79" s="312"/>
      <c r="B79" s="309"/>
      <c r="C79" s="314"/>
      <c r="D79" s="314"/>
      <c r="E79" s="40" t="s">
        <v>177</v>
      </c>
      <c r="F79" s="29" t="s">
        <v>199</v>
      </c>
      <c r="G79" s="40" t="str">
        <f>'Capital Cost Proxy'!C7</f>
        <v>Advanced Treatment Plant</v>
      </c>
      <c r="H79" s="118">
        <f>'Capital Cost Proxy'!$E7*'Capital Cost Proxy'!F$37</f>
        <v>0</v>
      </c>
      <c r="I79" s="118">
        <f>'Capital Cost Proxy'!$E7*'Capital Cost Proxy'!G$37</f>
        <v>0</v>
      </c>
      <c r="J79" s="118">
        <f>'Capital Cost Proxy'!$E7*'Capital Cost Proxy'!H$37</f>
        <v>46823944.191675149</v>
      </c>
      <c r="K79" s="118">
        <f>'Capital Cost Proxy'!$E7*'Capital Cost Proxy'!I$37</f>
        <v>61827933.534596965</v>
      </c>
      <c r="L79" s="118">
        <f>'Capital Cost Proxy'!$E7*'Capital Cost Proxy'!J$37</f>
        <v>69808794.199717551</v>
      </c>
      <c r="M79" s="118">
        <f>'Capital Cost Proxy'!$E7*'Capital Cost Proxy'!K$37</f>
        <v>166292014.39351603</v>
      </c>
      <c r="N79" s="118">
        <f>'Capital Cost Proxy'!$E7*'Capital Cost Proxy'!L$37</f>
        <v>170556150.15199065</v>
      </c>
      <c r="O79" s="118">
        <f>'Capital Cost Proxy'!$E7*'Capital Cost Proxy'!M$37</f>
        <v>129884451.62708615</v>
      </c>
      <c r="P79" s="118">
        <f>'Capital Cost Proxy'!$E7*'Capital Cost Proxy'!N$37</f>
        <v>66524123.839707442</v>
      </c>
      <c r="Q79" s="118">
        <f>'Capital Cost Proxy'!$E7*'Capital Cost Proxy'!O$37</f>
        <v>0</v>
      </c>
      <c r="R79" s="41">
        <f t="shared" si="12"/>
        <v>711717411.93829</v>
      </c>
    </row>
    <row r="80" spans="1:18" s="35" customFormat="1">
      <c r="A80" s="312"/>
      <c r="B80" s="309"/>
      <c r="C80" s="314"/>
      <c r="D80" s="314"/>
      <c r="E80" s="40" t="s">
        <v>177</v>
      </c>
      <c r="F80" s="29" t="s">
        <v>199</v>
      </c>
      <c r="G80" s="67" t="str">
        <f>'Capital Cost Proxy'!C8</f>
        <v xml:space="preserve">   General Site Works</v>
      </c>
      <c r="H80" s="115">
        <f>'Capital Cost Proxy'!$E8*'Capital Cost Proxy'!F$37</f>
        <v>0</v>
      </c>
      <c r="I80" s="115">
        <f>'Capital Cost Proxy'!$E8*'Capital Cost Proxy'!G$37</f>
        <v>0</v>
      </c>
      <c r="J80" s="115">
        <f>'Capital Cost Proxy'!$E8*'Capital Cost Proxy'!H$37</f>
        <v>1818809.811861933</v>
      </c>
      <c r="K80" s="115">
        <f>'Capital Cost Proxy'!$E8*'Capital Cost Proxy'!I$37</f>
        <v>2401618.5330210933</v>
      </c>
      <c r="L80" s="115">
        <f>'Capital Cost Proxy'!$E8*'Capital Cost Proxy'!J$37</f>
        <v>2711623.7650751034</v>
      </c>
      <c r="M80" s="115">
        <f>'Capital Cost Proxy'!$E8*'Capital Cost Proxy'!K$37</f>
        <v>6459377.8382938132</v>
      </c>
      <c r="N80" s="115">
        <f>'Capital Cost Proxy'!$E8*'Capital Cost Proxy'!L$37</f>
        <v>6625012.1540378472</v>
      </c>
      <c r="O80" s="115">
        <f>'Capital Cost Proxy'!$E8*'Capital Cost Proxy'!M$37</f>
        <v>5045177.613842519</v>
      </c>
      <c r="P80" s="115">
        <f>'Capital Cost Proxy'!$E8*'Capital Cost Proxy'!N$37</f>
        <v>2584035.3958624857</v>
      </c>
      <c r="Q80" s="115">
        <f>'Capital Cost Proxy'!$E8*'Capital Cost Proxy'!O$37</f>
        <v>0</v>
      </c>
      <c r="R80" s="68">
        <f t="shared" si="12"/>
        <v>27645655.111994799</v>
      </c>
    </row>
    <row r="81" spans="1:18" s="35" customFormat="1">
      <c r="A81" s="312"/>
      <c r="B81" s="309"/>
      <c r="C81" s="314"/>
      <c r="D81" s="314"/>
      <c r="E81" s="40" t="s">
        <v>177</v>
      </c>
      <c r="F81" s="29" t="s">
        <v>199</v>
      </c>
      <c r="G81" s="67" t="str">
        <f>'Capital Cost Proxy'!C9</f>
        <v xml:space="preserve">   Civil &amp; Structural</v>
      </c>
      <c r="H81" s="115">
        <f>'Capital Cost Proxy'!$E9*'Capital Cost Proxy'!F$37</f>
        <v>0</v>
      </c>
      <c r="I81" s="115">
        <f>'Capital Cost Proxy'!$E9*'Capital Cost Proxy'!G$37</f>
        <v>0</v>
      </c>
      <c r="J81" s="115">
        <f>'Capital Cost Proxy'!$E9*'Capital Cost Proxy'!H$37</f>
        <v>9572637.7879380547</v>
      </c>
      <c r="K81" s="115">
        <f>'Capital Cost Proxy'!$E9*'Capital Cost Proxy'!I$37</f>
        <v>12640037.55174114</v>
      </c>
      <c r="L81" s="115">
        <f>'Capital Cost Proxy'!$E9*'Capital Cost Proxy'!J$37</f>
        <v>14271636.292557696</v>
      </c>
      <c r="M81" s="115">
        <f>'Capital Cost Proxy'!$E9*'Capital Cost Proxy'!K$37</f>
        <v>33996564.114706226</v>
      </c>
      <c r="N81" s="115">
        <f>'Capital Cost Proxy'!$E9*'Capital Cost Proxy'!L$37</f>
        <v>34868319.533843458</v>
      </c>
      <c r="O81" s="115">
        <f>'Capital Cost Proxy'!$E9*'Capital Cost Proxy'!M$37</f>
        <v>26553440.364216704</v>
      </c>
      <c r="P81" s="115">
        <f>'Capital Cost Proxy'!$E9*'Capital Cost Proxy'!N$37</f>
        <v>13600121.746913265</v>
      </c>
      <c r="Q81" s="115">
        <f>'Capital Cost Proxy'!$E9*'Capital Cost Proxy'!O$37</f>
        <v>0</v>
      </c>
      <c r="R81" s="68">
        <f t="shared" si="12"/>
        <v>145502757.39191654</v>
      </c>
    </row>
    <row r="82" spans="1:18" s="35" customFormat="1">
      <c r="A82" s="312"/>
      <c r="B82" s="309"/>
      <c r="C82" s="314"/>
      <c r="D82" s="314"/>
      <c r="E82" s="40" t="s">
        <v>177</v>
      </c>
      <c r="F82" s="29" t="s">
        <v>199</v>
      </c>
      <c r="G82" s="67" t="str">
        <f>'Capital Cost Proxy'!C10</f>
        <v xml:space="preserve">   Mechnical &amp; Electrical</v>
      </c>
      <c r="H82" s="115">
        <f>'Capital Cost Proxy'!$E10*'Capital Cost Proxy'!F$37</f>
        <v>0</v>
      </c>
      <c r="I82" s="115">
        <f>'Capital Cost Proxy'!$E10*'Capital Cost Proxy'!G$37</f>
        <v>0</v>
      </c>
      <c r="J82" s="115">
        <f>'Capital Cost Proxy'!$E10*'Capital Cost Proxy'!H$37</f>
        <v>35432496.591875158</v>
      </c>
      <c r="K82" s="115">
        <f>'Capital Cost Proxy'!$E10*'Capital Cost Proxy'!I$37</f>
        <v>46786277.449834727</v>
      </c>
      <c r="L82" s="115">
        <f>'Capital Cost Proxy'!$E10*'Capital Cost Proxy'!J$37</f>
        <v>52825534.142084755</v>
      </c>
      <c r="M82" s="115">
        <f>'Capital Cost Proxy'!$E10*'Capital Cost Proxy'!K$37</f>
        <v>125836072.44051598</v>
      </c>
      <c r="N82" s="115">
        <f>'Capital Cost Proxy'!$E10*'Capital Cost Proxy'!L$37</f>
        <v>129062818.46410935</v>
      </c>
      <c r="O82" s="115">
        <f>'Capital Cost Proxy'!$E10*'Capital Cost Proxy'!M$37</f>
        <v>98285833.649026915</v>
      </c>
      <c r="P82" s="115">
        <f>'Capital Cost Proxy'!$E10*'Capital Cost Proxy'!N$37</f>
        <v>50339966.69693169</v>
      </c>
      <c r="Q82" s="115">
        <f>'Capital Cost Proxy'!$E10*'Capital Cost Proxy'!O$37</f>
        <v>0</v>
      </c>
      <c r="R82" s="68">
        <f t="shared" si="12"/>
        <v>538568999.43437862</v>
      </c>
    </row>
    <row r="83" spans="1:18" s="36" customFormat="1">
      <c r="A83" s="312"/>
      <c r="B83" s="309"/>
      <c r="C83" s="314"/>
      <c r="D83" s="314"/>
      <c r="E83" s="40" t="s">
        <v>181</v>
      </c>
      <c r="F83" s="29" t="s">
        <v>199</v>
      </c>
      <c r="G83" s="40" t="str">
        <f>'Capital Cost Proxy'!C11</f>
        <v>Distribution Infrastructure</v>
      </c>
      <c r="H83" s="118">
        <f>'Capital Cost Proxy'!$E11*'Capital Cost Proxy'!F$37</f>
        <v>0</v>
      </c>
      <c r="I83" s="118">
        <f>'Capital Cost Proxy'!$E11*'Capital Cost Proxy'!G$37</f>
        <v>0</v>
      </c>
      <c r="J83" s="118">
        <f>'Capital Cost Proxy'!$E11*'Capital Cost Proxy'!H$37</f>
        <v>8929774.7187627964</v>
      </c>
      <c r="K83" s="118">
        <f>'Capital Cost Proxy'!$E11*'Capital Cost Proxy'!I$37</f>
        <v>11791179.220838692</v>
      </c>
      <c r="L83" s="118">
        <f>'Capital Cost Proxy'!$E11*'Capital Cost Proxy'!J$37</f>
        <v>13313205.804281292</v>
      </c>
      <c r="M83" s="118">
        <f>'Capital Cost Proxy'!$E11*'Capital Cost Proxy'!K$37</f>
        <v>31713480.179812975</v>
      </c>
      <c r="N83" s="118">
        <f>'Capital Cost Proxy'!$E11*'Capital Cost Proxy'!L$37</f>
        <v>32526691.718284119</v>
      </c>
      <c r="O83" s="118">
        <f>'Capital Cost Proxy'!$E11*'Capital Cost Proxy'!M$37</f>
        <v>24770209.185114563</v>
      </c>
      <c r="P83" s="118">
        <f>'Capital Cost Proxy'!$E11*'Capital Cost Proxy'!N$37</f>
        <v>12686787.700325355</v>
      </c>
      <c r="Q83" s="118">
        <f>'Capital Cost Proxy'!$E11*'Capital Cost Proxy'!O$37</f>
        <v>0</v>
      </c>
      <c r="R83" s="41">
        <f t="shared" si="12"/>
        <v>135731328.52741981</v>
      </c>
    </row>
    <row r="84" spans="1:18" s="35" customFormat="1">
      <c r="A84" s="312"/>
      <c r="B84" s="309"/>
      <c r="C84" s="314"/>
      <c r="D84" s="314"/>
      <c r="E84" s="40" t="s">
        <v>181</v>
      </c>
      <c r="F84" s="29" t="s">
        <v>199</v>
      </c>
      <c r="G84" s="67" t="str">
        <f>'Capital Cost Proxy'!C12</f>
        <v xml:space="preserve">   Reservoir</v>
      </c>
      <c r="H84" s="115">
        <f>'Capital Cost Proxy'!$E12*'Capital Cost Proxy'!F$37</f>
        <v>0</v>
      </c>
      <c r="I84" s="115">
        <f>'Capital Cost Proxy'!$E12*'Capital Cost Proxy'!G$37</f>
        <v>0</v>
      </c>
      <c r="J84" s="115">
        <f>'Capital Cost Proxy'!$E12*'Capital Cost Proxy'!H$37</f>
        <v>3016309.7892502695</v>
      </c>
      <c r="K84" s="115">
        <f>'Capital Cost Proxy'!$E12*'Capital Cost Proxy'!I$37</f>
        <v>3982838.3616320044</v>
      </c>
      <c r="L84" s="115">
        <f>'Capital Cost Proxy'!$E12*'Capital Cost Proxy'!J$37</f>
        <v>4496950.2880494623</v>
      </c>
      <c r="M84" s="115">
        <f>'Capital Cost Proxy'!$E12*'Capital Cost Proxy'!K$37</f>
        <v>10712216.570992896</v>
      </c>
      <c r="N84" s="115">
        <f>'Capital Cost Proxy'!$E12*'Capital Cost Proxy'!L$37</f>
        <v>10986904.119276492</v>
      </c>
      <c r="O84" s="115">
        <f>'Capital Cost Proxy'!$E12*'Capital Cost Proxy'!M$37</f>
        <v>8366910.3420774266</v>
      </c>
      <c r="P84" s="115">
        <f>'Capital Cost Proxy'!$E12*'Capital Cost Proxy'!N$37</f>
        <v>4285358.0453968197</v>
      </c>
      <c r="Q84" s="115">
        <f>'Capital Cost Proxy'!$E12*'Capital Cost Proxy'!O$37</f>
        <v>0</v>
      </c>
      <c r="R84" s="68">
        <f t="shared" si="12"/>
        <v>45847487.516675375</v>
      </c>
    </row>
    <row r="85" spans="1:18" s="35" customFormat="1">
      <c r="A85" s="312"/>
      <c r="B85" s="309"/>
      <c r="C85" s="314"/>
      <c r="D85" s="314"/>
      <c r="E85" s="40" t="s">
        <v>181</v>
      </c>
      <c r="F85" s="29" t="s">
        <v>199</v>
      </c>
      <c r="G85" s="67" t="str">
        <f>'Capital Cost Proxy'!C13</f>
        <v xml:space="preserve">   Civils &amp; Pipelines</v>
      </c>
      <c r="H85" s="115">
        <f>'Capital Cost Proxy'!$E13*'Capital Cost Proxy'!F$37</f>
        <v>0</v>
      </c>
      <c r="I85" s="115">
        <f>'Capital Cost Proxy'!$E13*'Capital Cost Proxy'!G$37</f>
        <v>0</v>
      </c>
      <c r="J85" s="115">
        <f>'Capital Cost Proxy'!$E13*'Capital Cost Proxy'!H$37</f>
        <v>5913464.9295125287</v>
      </c>
      <c r="K85" s="115">
        <f>'Capital Cost Proxy'!$E13*'Capital Cost Proxy'!I$37</f>
        <v>7808340.8592066877</v>
      </c>
      <c r="L85" s="115">
        <f>'Capital Cost Proxy'!$E13*'Capital Cost Proxy'!J$37</f>
        <v>8816255.5162318312</v>
      </c>
      <c r="M85" s="115">
        <f>'Capital Cost Proxy'!$E13*'Capital Cost Proxy'!K$37</f>
        <v>21001263.608820081</v>
      </c>
      <c r="N85" s="115">
        <f>'Capital Cost Proxy'!$E13*'Capital Cost Proxy'!L$37</f>
        <v>21539787.599007629</v>
      </c>
      <c r="O85" s="115">
        <f>'Capital Cost Proxy'!$E13*'Capital Cost Proxy'!M$37</f>
        <v>16403298.843037136</v>
      </c>
      <c r="P85" s="115">
        <f>'Capital Cost Proxy'!$E13*'Capital Cost Proxy'!N$37</f>
        <v>8401429.6549285352</v>
      </c>
      <c r="Q85" s="115">
        <f>'Capital Cost Proxy'!$E13*'Capital Cost Proxy'!O$37</f>
        <v>0</v>
      </c>
      <c r="R85" s="68">
        <f t="shared" si="12"/>
        <v>89883841.010744423</v>
      </c>
    </row>
    <row r="86" spans="1:18" s="36" customFormat="1">
      <c r="A86" s="312"/>
      <c r="B86" s="309"/>
      <c r="C86" s="314"/>
      <c r="D86" s="314"/>
      <c r="E86" s="40" t="str">
        <f>G86</f>
        <v>Owner's Engineer, Health &amp; Safety</v>
      </c>
      <c r="F86" s="29" t="s">
        <v>199</v>
      </c>
      <c r="G86" s="40" t="str">
        <f>'Capital Cost Proxy'!C14</f>
        <v>Owner's Engineer, Health &amp; Safety</v>
      </c>
      <c r="H86" s="118">
        <f>'Capital Cost Proxy'!$E14*'Capital Cost Proxy'!F$37</f>
        <v>0</v>
      </c>
      <c r="I86" s="118">
        <f>'Capital Cost Proxy'!$E14*'Capital Cost Proxy'!G$37</f>
        <v>0</v>
      </c>
      <c r="J86" s="118">
        <f>'Capital Cost Proxy'!$E14*'Capital Cost Proxy'!H$37</f>
        <v>1518244.2543259743</v>
      </c>
      <c r="K86" s="118">
        <f>'Capital Cost Proxy'!$E14*'Capital Cost Proxy'!I$37</f>
        <v>2004741.5156119901</v>
      </c>
      <c r="L86" s="118">
        <f>'Capital Cost Proxy'!$E14*'Capital Cost Proxy'!J$37</f>
        <v>2263517.1497148043</v>
      </c>
      <c r="M86" s="118">
        <f>'Capital Cost Proxy'!$E14*'Capital Cost Proxy'!K$37</f>
        <v>5391939.9519132152</v>
      </c>
      <c r="N86" s="118">
        <f>'Capital Cost Proxy'!$E14*'Capital Cost Proxy'!L$37</f>
        <v>5530202.5380052477</v>
      </c>
      <c r="O86" s="118">
        <f>'Capital Cost Proxy'!$E14*'Capital Cost Proxy'!M$37</f>
        <v>4211441.9409410441</v>
      </c>
      <c r="P86" s="118">
        <f>'Capital Cost Proxy'!$E14*'Capital Cost Proxy'!N$37</f>
        <v>2157013.2661242625</v>
      </c>
      <c r="Q86" s="118">
        <f>'Capital Cost Proxy'!$E14*'Capital Cost Proxy'!O$37</f>
        <v>0</v>
      </c>
      <c r="R86" s="41">
        <f t="shared" si="12"/>
        <v>23077100.616636537</v>
      </c>
    </row>
    <row r="87" spans="1:18" s="36" customFormat="1">
      <c r="A87" s="312"/>
      <c r="B87" s="309"/>
      <c r="C87" s="314"/>
      <c r="D87" s="314"/>
      <c r="E87" s="40" t="str">
        <f t="shared" ref="E87:E89" si="13">G87</f>
        <v>Preliminary &amp; General (22%)</v>
      </c>
      <c r="F87" s="29" t="s">
        <v>199</v>
      </c>
      <c r="G87" s="40" t="str">
        <f>'Capital Cost Proxy'!C15</f>
        <v>Preliminary &amp; General (22%)</v>
      </c>
      <c r="H87" s="118">
        <f>'Capital Cost Proxy'!$E15*'Capital Cost Proxy'!F$37</f>
        <v>0</v>
      </c>
      <c r="I87" s="118">
        <f>'Capital Cost Proxy'!$E15*'Capital Cost Proxy'!G$37</f>
        <v>0</v>
      </c>
      <c r="J87" s="118">
        <f>'Capital Cost Proxy'!$E15*'Capital Cost Proxy'!H$37</f>
        <v>14516110.391208969</v>
      </c>
      <c r="K87" s="118">
        <f>'Capital Cost Proxy'!$E15*'Capital Cost Proxy'!I$37</f>
        <v>19167567.447428055</v>
      </c>
      <c r="L87" s="118">
        <f>'Capital Cost Proxy'!$E15*'Capital Cost Proxy'!J$37</f>
        <v>21641751.466559555</v>
      </c>
      <c r="M87" s="118">
        <f>'Capital Cost Proxy'!$E15*'Capital Cost Proxy'!K$37</f>
        <v>51552966.752039663</v>
      </c>
      <c r="N87" s="118">
        <f>'Capital Cost Proxy'!$E15*'Capital Cost Proxy'!L$37</f>
        <v>52874911.463483348</v>
      </c>
      <c r="O87" s="118">
        <f>'Capital Cost Proxy'!$E15*'Capital Cost Proxy'!M$37</f>
        <v>40266087.585497193</v>
      </c>
      <c r="P87" s="118">
        <f>'Capital Cost Proxy'!$E15*'Capital Cost Proxy'!N$37</f>
        <v>20623455.413808066</v>
      </c>
      <c r="Q87" s="118">
        <f>'Capital Cost Proxy'!$E15*'Capital Cost Proxy'!O$37</f>
        <v>0</v>
      </c>
      <c r="R87" s="41">
        <f t="shared" si="12"/>
        <v>220642850.52002487</v>
      </c>
    </row>
    <row r="88" spans="1:18" s="36" customFormat="1">
      <c r="A88" s="312"/>
      <c r="B88" s="309"/>
      <c r="C88" s="314"/>
      <c r="D88" s="314"/>
      <c r="E88" s="40" t="str">
        <f t="shared" si="13"/>
        <v>Evaluative Data Collection &amp; Generation (3%)</v>
      </c>
      <c r="F88" s="29" t="s">
        <v>199</v>
      </c>
      <c r="G88" s="40" t="str">
        <f>'Capital Cost Proxy'!C16</f>
        <v>Evaluative Data Collection &amp; Generation (3%)</v>
      </c>
      <c r="H88" s="118">
        <f>'Capital Cost Proxy'!$E16*'Capital Cost Proxy'!F$37</f>
        <v>0</v>
      </c>
      <c r="I88" s="118">
        <f>'Capital Cost Proxy'!$E16*'Capital Cost Proxy'!G$37</f>
        <v>0</v>
      </c>
      <c r="J88" s="118">
        <f>'Capital Cost Proxy'!$E16*'Capital Cost Proxy'!H$37</f>
        <v>2328889.014937439</v>
      </c>
      <c r="K88" s="118">
        <f>'Capital Cost Proxy'!$E16*'Capital Cost Proxy'!I$37</f>
        <v>3075144.5165656316</v>
      </c>
      <c r="L88" s="118">
        <f>'Capital Cost Proxy'!$E16*'Capital Cost Proxy'!J$37</f>
        <v>3472089.6918089031</v>
      </c>
      <c r="M88" s="118">
        <f>'Capital Cost Proxy'!$E16*'Capital Cost Proxy'!K$37</f>
        <v>8270889.0136967981</v>
      </c>
      <c r="N88" s="118">
        <f>'Capital Cost Proxy'!$E16*'Capital Cost Proxy'!L$37</f>
        <v>8482974.9260979798</v>
      </c>
      <c r="O88" s="118">
        <f>'Capital Cost Proxy'!$E16*'Capital Cost Proxy'!M$37</f>
        <v>6460081.0082819406</v>
      </c>
      <c r="P88" s="118">
        <f>'Capital Cost Proxy'!$E16*'Capital Cost Proxy'!N$37</f>
        <v>3308719.5859544245</v>
      </c>
      <c r="Q88" s="118">
        <f>'Capital Cost Proxy'!$E16*'Capital Cost Proxy'!O$37</f>
        <v>0</v>
      </c>
      <c r="R88" s="41">
        <f t="shared" si="12"/>
        <v>35398787.757343121</v>
      </c>
    </row>
    <row r="89" spans="1:18" s="36" customFormat="1">
      <c r="A89" s="312"/>
      <c r="B89" s="309"/>
      <c r="C89" s="314"/>
      <c r="D89" s="314"/>
      <c r="E89" s="40" t="str">
        <f t="shared" si="13"/>
        <v>Contingency (10%)</v>
      </c>
      <c r="F89" s="29" t="s">
        <v>199</v>
      </c>
      <c r="G89" s="40" t="str">
        <f>'Capital Cost Proxy'!C17</f>
        <v>Contingency (10%)</v>
      </c>
      <c r="H89" s="118">
        <f>'Capital Cost Proxy'!$E17*'Capital Cost Proxy'!F$37</f>
        <v>0</v>
      </c>
      <c r="I89" s="118">
        <f>'Capital Cost Proxy'!$E17*'Capital Cost Proxy'!G$37</f>
        <v>0</v>
      </c>
      <c r="J89" s="118">
        <f>'Capital Cost Proxy'!$E17*'Capital Cost Proxy'!H$37</f>
        <v>7995852.2846185407</v>
      </c>
      <c r="K89" s="118">
        <f>'Capital Cost Proxy'!$E17*'Capital Cost Proxy'!I$37</f>
        <v>10557996.173542002</v>
      </c>
      <c r="L89" s="118">
        <f>'Capital Cost Proxy'!$E17*'Capital Cost Proxy'!J$37</f>
        <v>11920841.275210567</v>
      </c>
      <c r="M89" s="118">
        <f>'Capital Cost Proxy'!$E17*'Capital Cost Proxy'!K$37</f>
        <v>28396718.947025675</v>
      </c>
      <c r="N89" s="118">
        <f>'Capital Cost Proxy'!$E17*'Capital Cost Proxy'!L$37</f>
        <v>29124880.579603065</v>
      </c>
      <c r="O89" s="118">
        <f>'Capital Cost Proxy'!$E17*'Capital Cost Proxy'!M$37</f>
        <v>22179611.461767998</v>
      </c>
      <c r="P89" s="118">
        <f>'Capital Cost Proxy'!$E17*'Capital Cost Proxy'!N$37</f>
        <v>11359937.245110191</v>
      </c>
      <c r="Q89" s="118">
        <f>'Capital Cost Proxy'!$E17*'Capital Cost Proxy'!O$37</f>
        <v>0</v>
      </c>
      <c r="R89" s="41">
        <f t="shared" si="12"/>
        <v>121535837.96687803</v>
      </c>
    </row>
    <row r="90" spans="1:18" s="35" customFormat="1">
      <c r="A90" s="312"/>
      <c r="B90" s="309"/>
      <c r="C90" s="310"/>
      <c r="D90" s="310"/>
      <c r="E90" s="310"/>
      <c r="F90" s="310"/>
      <c r="G90" s="310"/>
      <c r="H90" s="115"/>
      <c r="I90" s="31"/>
      <c r="J90" s="31"/>
      <c r="K90" s="31"/>
      <c r="L90" s="31"/>
      <c r="M90" s="31"/>
      <c r="N90" s="31"/>
      <c r="O90" s="31"/>
      <c r="P90" s="31"/>
      <c r="Q90" s="31"/>
      <c r="R90" s="68">
        <f t="shared" si="12"/>
        <v>0</v>
      </c>
    </row>
    <row r="91" spans="1:18" s="36" customFormat="1" ht="17.25" customHeight="1" thickBot="1">
      <c r="A91" s="312"/>
      <c r="B91" s="309"/>
      <c r="C91" s="314"/>
      <c r="D91" s="314"/>
      <c r="E91" s="40" t="s">
        <v>188</v>
      </c>
      <c r="F91" s="29" t="s">
        <v>199</v>
      </c>
      <c r="G91" s="40" t="str">
        <f>'Capital Cost Proxy'!C18</f>
        <v>Total Capital Cost</v>
      </c>
      <c r="H91" s="116">
        <f>'Capital Cost Proxy'!$E18*'Capital Cost Proxy'!F$37</f>
        <v>0</v>
      </c>
      <c r="I91" s="110">
        <f>'Capital Cost Proxy'!$E18*'Capital Cost Proxy'!G$37</f>
        <v>0</v>
      </c>
      <c r="J91" s="110">
        <f>'Capital Cost Proxy'!$E18*'Capital Cost Proxy'!H$37</f>
        <v>87954375.130803943</v>
      </c>
      <c r="K91" s="110">
        <f>'Capital Cost Proxy'!$E18*'Capital Cost Proxy'!I$37</f>
        <v>116137957.90896201</v>
      </c>
      <c r="L91" s="110">
        <f>'Capital Cost Proxy'!$E18*'Capital Cost Proxy'!J$37</f>
        <v>131129254.02731623</v>
      </c>
      <c r="M91" s="110">
        <f>'Capital Cost Proxy'!$E18*'Capital Cost Proxy'!K$37</f>
        <v>312363908.4172824</v>
      </c>
      <c r="N91" s="110">
        <f>'Capital Cost Proxy'!$E18*'Capital Cost Proxy'!L$37</f>
        <v>320373686.37563372</v>
      </c>
      <c r="O91" s="110">
        <f>'Capital Cost Proxy'!$E18*'Capital Cost Proxy'!M$37</f>
        <v>243975726.07944795</v>
      </c>
      <c r="P91" s="110">
        <f>'Capital Cost Proxy'!$E18*'Capital Cost Proxy'!N$37</f>
        <v>124959309.6962121</v>
      </c>
      <c r="Q91" s="110">
        <f>'Capital Cost Proxy'!$E18*'Capital Cost Proxy'!O$37</f>
        <v>0</v>
      </c>
      <c r="R91" s="123">
        <f t="shared" si="12"/>
        <v>1336894217.6356583</v>
      </c>
    </row>
    <row r="92" spans="1:18" s="35" customFormat="1" ht="13.5" thickTop="1">
      <c r="A92" s="312"/>
      <c r="B92" s="309"/>
      <c r="C92" s="310"/>
      <c r="D92" s="310"/>
      <c r="E92" s="310"/>
      <c r="F92" s="310"/>
      <c r="G92" s="310"/>
      <c r="H92" s="117"/>
      <c r="I92" s="109"/>
      <c r="J92" s="109"/>
      <c r="K92" s="109"/>
      <c r="L92" s="109"/>
      <c r="M92" s="109"/>
      <c r="N92" s="109"/>
      <c r="O92" s="109"/>
      <c r="P92" s="109"/>
      <c r="Q92" s="109"/>
      <c r="R92" s="124"/>
    </row>
    <row r="93" spans="1:18" s="36" customFormat="1">
      <c r="A93" s="312"/>
      <c r="B93" s="309"/>
      <c r="C93" s="314"/>
      <c r="D93" s="314"/>
      <c r="E93" s="67" t="str">
        <f>G93</f>
        <v>Civils (+ contingency)</v>
      </c>
      <c r="F93" s="29" t="s">
        <v>199</v>
      </c>
      <c r="G93" s="67" t="str">
        <f>'Capital Cost Proxy'!C20</f>
        <v>Civils (+ contingency)</v>
      </c>
      <c r="H93" s="115">
        <f>'Capital Cost Proxy'!$E20*'Capital Cost Proxy'!F$37</f>
        <v>0</v>
      </c>
      <c r="I93" s="31">
        <f>'Capital Cost Proxy'!$E20*'Capital Cost Proxy'!G$37</f>
        <v>0</v>
      </c>
      <c r="J93" s="31">
        <f>'Capital Cost Proxy'!$E20*'Capital Cost Proxy'!H$37</f>
        <v>28779060.853221655</v>
      </c>
      <c r="K93" s="31">
        <f>'Capital Cost Proxy'!$E20*'Capital Cost Proxy'!I$37</f>
        <v>38000853.886577576</v>
      </c>
      <c r="L93" s="31">
        <f>'Capital Cost Proxy'!$E20*'Capital Cost Proxy'!J$37</f>
        <v>42906072.332131416</v>
      </c>
      <c r="M93" s="31">
        <f>'Capital Cost Proxy'!$E20*'Capital Cost Proxy'!K$37</f>
        <v>102206853.4433002</v>
      </c>
      <c r="N93" s="31">
        <f>'Capital Cost Proxy'!$E20*'Capital Cost Proxy'!L$37</f>
        <v>104827688.24476823</v>
      </c>
      <c r="O93" s="31">
        <f>'Capital Cost Proxy'!$E20*'Capital Cost Proxy'!M$37</f>
        <v>79829937.47732617</v>
      </c>
      <c r="P93" s="31">
        <f>'Capital Cost Proxy'!$E20*'Capital Cost Proxy'!N$37</f>
        <v>40887239.237111822</v>
      </c>
      <c r="Q93" s="31">
        <f>'Capital Cost Proxy'!$E20*'Capital Cost Proxy'!O$37</f>
        <v>0</v>
      </c>
      <c r="R93" s="68">
        <f t="shared" ref="R93:R96" si="14">SUM(H93:Q93)</f>
        <v>437437705.474437</v>
      </c>
    </row>
    <row r="94" spans="1:18" s="36" customFormat="1" ht="20.25" customHeight="1">
      <c r="A94" s="312"/>
      <c r="B94" s="309"/>
      <c r="C94" s="314"/>
      <c r="D94" s="314"/>
      <c r="E94" s="67" t="str">
        <f t="shared" ref="E94:E96" si="15">G94</f>
        <v>Mechanical &amp; Electrical (+ contingency)</v>
      </c>
      <c r="F94" s="29" t="s">
        <v>199</v>
      </c>
      <c r="G94" s="67" t="str">
        <f>'Capital Cost Proxy'!C21</f>
        <v>Mechanical &amp; Electrical (+ contingency)</v>
      </c>
      <c r="H94" s="115">
        <f>'Capital Cost Proxy'!$E21*'Capital Cost Proxy'!F$37</f>
        <v>0</v>
      </c>
      <c r="I94" s="31">
        <f>'Capital Cost Proxy'!$E21*'Capital Cost Proxy'!G$37</f>
        <v>0</v>
      </c>
      <c r="J94" s="31">
        <f>'Capital Cost Proxy'!$E21*'Capital Cost Proxy'!H$37</f>
        <v>38975746.251062669</v>
      </c>
      <c r="K94" s="31">
        <f>'Capital Cost Proxy'!$E21*'Capital Cost Proxy'!I$37</f>
        <v>51464905.194818199</v>
      </c>
      <c r="L94" s="31">
        <f>'Capital Cost Proxy'!$E21*'Capital Cost Proxy'!J$37</f>
        <v>58108087.556293227</v>
      </c>
      <c r="M94" s="31">
        <f>'Capital Cost Proxy'!$E21*'Capital Cost Proxy'!K$37</f>
        <v>138419679.68456757</v>
      </c>
      <c r="N94" s="31">
        <f>'Capital Cost Proxy'!$E21*'Capital Cost Proxy'!L$37</f>
        <v>141969100.31052026</v>
      </c>
      <c r="O94" s="31">
        <f>'Capital Cost Proxy'!$E21*'Capital Cost Proxy'!M$37</f>
        <v>108114417.01392961</v>
      </c>
      <c r="P94" s="31">
        <f>'Capital Cost Proxy'!$E21*'Capital Cost Proxy'!N$37</f>
        <v>55373963.366624855</v>
      </c>
      <c r="Q94" s="31">
        <f>'Capital Cost Proxy'!$E21*'Capital Cost Proxy'!O$37</f>
        <v>0</v>
      </c>
      <c r="R94" s="68">
        <f t="shared" si="14"/>
        <v>592425899.37781632</v>
      </c>
    </row>
    <row r="95" spans="1:18" s="36" customFormat="1" ht="21.75" customHeight="1">
      <c r="A95" s="312"/>
      <c r="B95" s="309"/>
      <c r="C95" s="314"/>
      <c r="D95" s="314"/>
      <c r="E95" s="67" t="str">
        <f t="shared" si="15"/>
        <v>Other (+ contingency)</v>
      </c>
      <c r="F95" s="29" t="s">
        <v>199</v>
      </c>
      <c r="G95" s="67" t="str">
        <f>'Capital Cost Proxy'!C22</f>
        <v>Other (+ contingency)</v>
      </c>
      <c r="H95" s="115">
        <f>'Capital Cost Proxy'!$E22*'Capital Cost Proxy'!F$37</f>
        <v>0</v>
      </c>
      <c r="I95" s="31">
        <f>'Capital Cost Proxy'!$E22*'Capital Cost Proxy'!G$37</f>
        <v>0</v>
      </c>
      <c r="J95" s="31">
        <f>'Capital Cost Proxy'!$E22*'Capital Cost Proxy'!H$37</f>
        <v>20199568.026519619</v>
      </c>
      <c r="K95" s="31">
        <f>'Capital Cost Proxy'!$E22*'Capital Cost Proxy'!I$37</f>
        <v>26672198.827566244</v>
      </c>
      <c r="L95" s="31">
        <f>'Capital Cost Proxy'!$E22*'Capital Cost Proxy'!J$37</f>
        <v>30115094.138891589</v>
      </c>
      <c r="M95" s="31">
        <f>'Capital Cost Proxy'!$E22*'Capital Cost Proxy'!K$37</f>
        <v>71737375.289414644</v>
      </c>
      <c r="N95" s="31">
        <f>'Capital Cost Proxy'!$E22*'Capital Cost Proxy'!L$37</f>
        <v>73576897.820345223</v>
      </c>
      <c r="O95" s="31">
        <f>'Capital Cost Proxy'!$E22*'Capital Cost Proxy'!M$37</f>
        <v>56031371.588192187</v>
      </c>
      <c r="P95" s="31">
        <f>'Capital Cost Proxy'!$E22*'Capital Cost Proxy'!N$37</f>
        <v>28698107.092475425</v>
      </c>
      <c r="Q95" s="31">
        <f>'Capital Cost Proxy'!$E22*'Capital Cost Proxy'!O$37</f>
        <v>0</v>
      </c>
      <c r="R95" s="68">
        <f t="shared" si="14"/>
        <v>307030612.78340489</v>
      </c>
    </row>
    <row r="96" spans="1:18" s="36" customFormat="1" ht="24.75" customHeight="1" thickBot="1">
      <c r="A96" s="312"/>
      <c r="B96" s="309"/>
      <c r="C96" s="314"/>
      <c r="D96" s="314"/>
      <c r="E96" s="40" t="str">
        <f t="shared" si="15"/>
        <v>Total Capital Cost</v>
      </c>
      <c r="F96" s="29" t="s">
        <v>199</v>
      </c>
      <c r="G96" s="40" t="str">
        <f>'Capital Cost Proxy'!C23</f>
        <v>Total Capital Cost</v>
      </c>
      <c r="H96" s="116">
        <f>'Capital Cost Proxy'!$E23*'Capital Cost Proxy'!F$37</f>
        <v>0</v>
      </c>
      <c r="I96" s="110">
        <f>'Capital Cost Proxy'!$E23*'Capital Cost Proxy'!G$37</f>
        <v>0</v>
      </c>
      <c r="J96" s="110">
        <f>'Capital Cost Proxy'!$E23*'Capital Cost Proxy'!H$37</f>
        <v>87954375.130803943</v>
      </c>
      <c r="K96" s="110">
        <f>'Capital Cost Proxy'!$E23*'Capital Cost Proxy'!I$37</f>
        <v>116137957.90896201</v>
      </c>
      <c r="L96" s="110">
        <f>'Capital Cost Proxy'!$E23*'Capital Cost Proxy'!J$37</f>
        <v>131129254.02731623</v>
      </c>
      <c r="M96" s="110">
        <f>'Capital Cost Proxy'!$E23*'Capital Cost Proxy'!K$37</f>
        <v>312363908.4172824</v>
      </c>
      <c r="N96" s="110">
        <f>'Capital Cost Proxy'!$E23*'Capital Cost Proxy'!L$37</f>
        <v>320373686.37563372</v>
      </c>
      <c r="O96" s="110">
        <f>'Capital Cost Proxy'!$E23*'Capital Cost Proxy'!M$37</f>
        <v>243975726.07944795</v>
      </c>
      <c r="P96" s="110">
        <f>'Capital Cost Proxy'!$E23*'Capital Cost Proxy'!N$37</f>
        <v>124959309.6962121</v>
      </c>
      <c r="Q96" s="110">
        <f>'Capital Cost Proxy'!$E23*'Capital Cost Proxy'!O$37</f>
        <v>0</v>
      </c>
      <c r="R96" s="123">
        <f t="shared" si="14"/>
        <v>1336894217.6356583</v>
      </c>
    </row>
    <row r="97" spans="1:29" s="35" customFormat="1" ht="13.5" thickTop="1">
      <c r="A97" s="312"/>
      <c r="B97" s="309"/>
      <c r="C97" s="294"/>
      <c r="D97" s="294"/>
      <c r="E97" s="294"/>
      <c r="F97" s="294"/>
      <c r="G97" s="294"/>
      <c r="H97" s="294"/>
      <c r="I97" s="294"/>
      <c r="J97" s="294"/>
      <c r="K97" s="294"/>
      <c r="L97" s="294"/>
      <c r="M97" s="294"/>
      <c r="N97" s="294"/>
      <c r="O97" s="294"/>
      <c r="P97" s="294"/>
      <c r="Q97" s="294"/>
      <c r="R97" s="316"/>
    </row>
    <row r="98" spans="1:29">
      <c r="A98" s="312"/>
      <c r="B98" s="309"/>
      <c r="C98" s="113" t="s">
        <v>47</v>
      </c>
      <c r="D98" s="52" t="s">
        <v>48</v>
      </c>
      <c r="E98" s="52" t="s">
        <v>49</v>
      </c>
      <c r="F98" s="53" t="s">
        <v>50</v>
      </c>
      <c r="G98" s="52"/>
      <c r="H98" s="39">
        <f>'Detailed Budget'!G13</f>
        <v>0</v>
      </c>
      <c r="I98" s="39">
        <f>'Detailed Budget'!H13</f>
        <v>0</v>
      </c>
      <c r="J98" s="39">
        <f>'Detailed Budget'!I13</f>
        <v>20000000</v>
      </c>
      <c r="K98" s="39">
        <v>25000000</v>
      </c>
      <c r="L98" s="39">
        <v>38000000</v>
      </c>
      <c r="M98" s="39">
        <v>53000000</v>
      </c>
      <c r="N98" s="39">
        <v>38000000</v>
      </c>
      <c r="O98" s="39">
        <v>16000000</v>
      </c>
      <c r="P98" s="39">
        <v>0</v>
      </c>
      <c r="Q98" s="39">
        <f>'Detailed Budget'!P13</f>
        <v>0</v>
      </c>
      <c r="R98" s="98">
        <f>SUM(H98:Q98)</f>
        <v>190000000</v>
      </c>
    </row>
    <row r="99" spans="1:29">
      <c r="A99" s="312"/>
      <c r="B99" s="309"/>
      <c r="C99" s="113" t="s">
        <v>47</v>
      </c>
      <c r="D99" s="52" t="s">
        <v>48</v>
      </c>
      <c r="E99" s="52" t="s">
        <v>364</v>
      </c>
      <c r="F99" s="53" t="s">
        <v>50</v>
      </c>
      <c r="G99" s="52"/>
      <c r="H99" s="39">
        <v>0</v>
      </c>
      <c r="I99" s="39">
        <v>0</v>
      </c>
      <c r="J99" s="39">
        <v>0</v>
      </c>
      <c r="K99" s="39">
        <v>0</v>
      </c>
      <c r="L99" s="39">
        <v>2000000</v>
      </c>
      <c r="M99" s="39">
        <v>2000000</v>
      </c>
      <c r="N99" s="39">
        <v>2000000</v>
      </c>
      <c r="O99" s="39">
        <v>4000000</v>
      </c>
      <c r="P99" s="39">
        <v>0</v>
      </c>
      <c r="Q99" s="39">
        <v>0</v>
      </c>
      <c r="R99" s="98">
        <f>SUM(H99:Q99)</f>
        <v>10000000</v>
      </c>
    </row>
    <row r="100" spans="1:29">
      <c r="A100" s="312"/>
      <c r="B100" s="309"/>
      <c r="C100" s="323"/>
      <c r="D100" s="323"/>
      <c r="E100" s="323"/>
      <c r="F100" s="323"/>
      <c r="G100" s="323"/>
      <c r="H100" s="323"/>
      <c r="I100" s="323"/>
      <c r="J100" s="323"/>
      <c r="K100" s="323"/>
      <c r="L100" s="323"/>
      <c r="M100" s="323"/>
      <c r="N100" s="323"/>
      <c r="O100" s="323"/>
      <c r="P100" s="323"/>
      <c r="Q100" s="323"/>
      <c r="R100" s="324"/>
    </row>
    <row r="101" spans="1:29">
      <c r="A101" s="312"/>
      <c r="B101" s="309"/>
      <c r="C101" s="322"/>
      <c r="D101" s="315"/>
      <c r="E101" s="315"/>
      <c r="F101" s="310"/>
      <c r="G101" s="67" t="s">
        <v>151</v>
      </c>
      <c r="H101" s="31">
        <v>0</v>
      </c>
      <c r="I101" s="31">
        <v>0</v>
      </c>
      <c r="J101" s="31">
        <v>0</v>
      </c>
      <c r="K101" s="31">
        <v>0</v>
      </c>
      <c r="L101" s="31">
        <v>15486979.882230699</v>
      </c>
      <c r="M101" s="31">
        <v>21918432.629221447</v>
      </c>
      <c r="N101" s="31">
        <v>17449267.383118998</v>
      </c>
      <c r="O101" s="31">
        <v>0</v>
      </c>
      <c r="P101" s="31">
        <v>0</v>
      </c>
      <c r="Q101" s="31">
        <v>0</v>
      </c>
      <c r="R101" s="99">
        <f t="shared" ref="R101:R111" si="16">SUM(H101:Q101)</f>
        <v>54854679.89457114</v>
      </c>
      <c r="S101" s="285"/>
      <c r="T101" s="285"/>
      <c r="U101" s="285"/>
      <c r="V101" s="285"/>
      <c r="W101" s="285"/>
      <c r="X101" s="285"/>
      <c r="Y101" s="285"/>
      <c r="Z101" s="285"/>
      <c r="AA101" s="285"/>
      <c r="AB101" s="285"/>
      <c r="AC101" s="285"/>
    </row>
    <row r="102" spans="1:29">
      <c r="A102" s="312"/>
      <c r="B102" s="309"/>
      <c r="C102" s="322"/>
      <c r="D102" s="315"/>
      <c r="E102" s="315"/>
      <c r="F102" s="310"/>
      <c r="G102" s="67" t="s">
        <v>152</v>
      </c>
      <c r="H102" s="31">
        <v>0</v>
      </c>
      <c r="I102" s="31">
        <v>0</v>
      </c>
      <c r="J102" s="31">
        <v>0</v>
      </c>
      <c r="K102" s="31">
        <v>0</v>
      </c>
      <c r="L102" s="31">
        <v>0</v>
      </c>
      <c r="M102" s="31">
        <v>4185567.466866273</v>
      </c>
      <c r="N102" s="31">
        <v>5331409.3842322659</v>
      </c>
      <c r="O102" s="31">
        <v>4715954.9426282868</v>
      </c>
      <c r="P102" s="31">
        <v>4004708.6258868189</v>
      </c>
      <c r="Q102" s="31">
        <v>0</v>
      </c>
      <c r="R102" s="99">
        <f t="shared" si="16"/>
        <v>18237640.419613644</v>
      </c>
      <c r="S102" s="285"/>
      <c r="T102" s="285"/>
      <c r="U102" s="285"/>
      <c r="V102" s="285"/>
      <c r="W102" s="285"/>
      <c r="X102" s="285"/>
      <c r="Y102" s="285"/>
      <c r="Z102" s="285"/>
      <c r="AA102" s="285"/>
      <c r="AB102" s="285"/>
      <c r="AC102" s="285"/>
    </row>
    <row r="103" spans="1:29">
      <c r="A103" s="312"/>
      <c r="B103" s="309"/>
      <c r="C103" s="322"/>
      <c r="D103" s="315"/>
      <c r="E103" s="315"/>
      <c r="F103" s="310"/>
      <c r="G103" s="67" t="s">
        <v>153</v>
      </c>
      <c r="H103" s="31">
        <v>0</v>
      </c>
      <c r="I103" s="31">
        <v>0</v>
      </c>
      <c r="J103" s="31">
        <v>0</v>
      </c>
      <c r="K103" s="31">
        <v>0</v>
      </c>
      <c r="L103" s="31">
        <v>0</v>
      </c>
      <c r="M103" s="31">
        <v>0</v>
      </c>
      <c r="N103" s="31">
        <v>0</v>
      </c>
      <c r="O103" s="31">
        <v>0</v>
      </c>
      <c r="P103" s="31">
        <v>0</v>
      </c>
      <c r="Q103" s="31">
        <v>0</v>
      </c>
      <c r="R103" s="99"/>
      <c r="S103" s="285"/>
      <c r="T103" s="285"/>
      <c r="U103" s="285"/>
      <c r="V103" s="285"/>
      <c r="W103" s="285"/>
      <c r="X103" s="285"/>
      <c r="Y103" s="285"/>
      <c r="Z103" s="285"/>
      <c r="AA103" s="285"/>
      <c r="AB103" s="285"/>
      <c r="AC103" s="285"/>
    </row>
    <row r="104" spans="1:29">
      <c r="A104" s="312"/>
      <c r="B104" s="309"/>
      <c r="C104" s="322"/>
      <c r="D104" s="315"/>
      <c r="E104" s="315"/>
      <c r="F104" s="310"/>
      <c r="G104" s="67" t="s">
        <v>154</v>
      </c>
      <c r="H104" s="31">
        <v>0</v>
      </c>
      <c r="I104" s="31">
        <v>0</v>
      </c>
      <c r="J104" s="31">
        <v>0</v>
      </c>
      <c r="K104" s="31">
        <v>0</v>
      </c>
      <c r="L104" s="31">
        <v>0</v>
      </c>
      <c r="M104" s="31">
        <v>2490231.2352120066</v>
      </c>
      <c r="N104" s="31">
        <v>3524397.2376283696</v>
      </c>
      <c r="O104" s="31">
        <v>2805788.7956535509</v>
      </c>
      <c r="P104" s="31">
        <v>0</v>
      </c>
      <c r="Q104" s="31">
        <v>0</v>
      </c>
      <c r="R104" s="99">
        <f t="shared" si="16"/>
        <v>8820417.268493928</v>
      </c>
      <c r="S104" s="285"/>
      <c r="T104" s="285"/>
      <c r="U104" s="285"/>
      <c r="V104" s="285"/>
      <c r="W104" s="285"/>
      <c r="X104" s="285"/>
      <c r="Y104" s="285"/>
      <c r="Z104" s="285"/>
      <c r="AA104" s="285"/>
      <c r="AB104" s="285"/>
      <c r="AC104" s="285"/>
    </row>
    <row r="105" spans="1:29">
      <c r="A105" s="312"/>
      <c r="B105" s="309"/>
      <c r="C105" s="322"/>
      <c r="D105" s="315"/>
      <c r="E105" s="315"/>
      <c r="F105" s="310"/>
      <c r="G105" s="67" t="s">
        <v>155</v>
      </c>
      <c r="H105" s="31">
        <v>0</v>
      </c>
      <c r="I105" s="31">
        <v>0</v>
      </c>
      <c r="J105" s="31">
        <v>0</v>
      </c>
      <c r="K105" s="31">
        <v>0</v>
      </c>
      <c r="L105" s="31">
        <v>0</v>
      </c>
      <c r="M105" s="31">
        <v>0</v>
      </c>
      <c r="N105" s="31">
        <v>0</v>
      </c>
      <c r="O105" s="31">
        <v>0</v>
      </c>
      <c r="P105" s="31">
        <v>0</v>
      </c>
      <c r="Q105" s="31">
        <v>0</v>
      </c>
      <c r="R105" s="99">
        <f t="shared" si="16"/>
        <v>0</v>
      </c>
      <c r="S105" s="285"/>
      <c r="T105" s="285"/>
      <c r="U105" s="285"/>
      <c r="V105" s="285"/>
      <c r="W105" s="285"/>
      <c r="X105" s="285"/>
      <c r="Y105" s="285"/>
      <c r="Z105" s="285"/>
      <c r="AA105" s="285"/>
      <c r="AB105" s="285"/>
      <c r="AC105" s="285"/>
    </row>
    <row r="106" spans="1:29">
      <c r="A106" s="312"/>
      <c r="B106" s="309"/>
      <c r="C106" s="322"/>
      <c r="D106" s="315"/>
      <c r="E106" s="315"/>
      <c r="F106" s="310"/>
      <c r="G106" s="67" t="s">
        <v>156</v>
      </c>
      <c r="H106" s="31">
        <v>0</v>
      </c>
      <c r="I106" s="31">
        <v>0</v>
      </c>
      <c r="J106" s="31">
        <v>16922965.117735047</v>
      </c>
      <c r="K106" s="31">
        <v>21555441.273024067</v>
      </c>
      <c r="L106" s="31">
        <v>19066776.993096069</v>
      </c>
      <c r="M106" s="31">
        <v>16190911.468506552</v>
      </c>
      <c r="N106" s="31">
        <v>0</v>
      </c>
      <c r="O106" s="31">
        <v>0</v>
      </c>
      <c r="P106" s="31">
        <v>0</v>
      </c>
      <c r="Q106" s="31">
        <v>0</v>
      </c>
      <c r="R106" s="99">
        <f t="shared" si="16"/>
        <v>73736094.852361739</v>
      </c>
      <c r="S106" s="285"/>
      <c r="T106" s="285"/>
      <c r="U106" s="285"/>
      <c r="V106" s="285"/>
      <c r="W106" s="285"/>
      <c r="X106" s="285"/>
      <c r="Y106" s="285"/>
      <c r="Z106" s="285"/>
      <c r="AA106" s="285"/>
      <c r="AB106" s="285"/>
      <c r="AC106" s="285"/>
    </row>
    <row r="107" spans="1:29">
      <c r="A107" s="312"/>
      <c r="B107" s="309"/>
      <c r="C107" s="322"/>
      <c r="D107" s="315"/>
      <c r="E107" s="315"/>
      <c r="F107" s="310"/>
      <c r="G107" s="67" t="s">
        <v>157</v>
      </c>
      <c r="H107" s="31">
        <v>0</v>
      </c>
      <c r="I107" s="31">
        <v>0</v>
      </c>
      <c r="J107" s="31">
        <v>0</v>
      </c>
      <c r="K107" s="31">
        <v>0</v>
      </c>
      <c r="L107" s="31">
        <v>0</v>
      </c>
      <c r="M107" s="31">
        <v>3868928.793249913</v>
      </c>
      <c r="N107" s="31">
        <v>5475652.9268054012</v>
      </c>
      <c r="O107" s="31">
        <v>4359192.3937769737</v>
      </c>
      <c r="P107" s="31">
        <v>0</v>
      </c>
      <c r="Q107" s="31">
        <v>0</v>
      </c>
      <c r="R107" s="99">
        <f t="shared" si="16"/>
        <v>13703774.113832287</v>
      </c>
      <c r="S107" s="285"/>
      <c r="T107" s="285"/>
      <c r="U107" s="285"/>
      <c r="V107" s="285"/>
      <c r="W107" s="285"/>
      <c r="X107" s="285"/>
      <c r="Y107" s="285"/>
      <c r="Z107" s="285"/>
      <c r="AA107" s="285"/>
      <c r="AB107" s="285"/>
      <c r="AC107" s="285"/>
    </row>
    <row r="108" spans="1:29">
      <c r="A108" s="312"/>
      <c r="B108" s="309"/>
      <c r="C108" s="322"/>
      <c r="D108" s="315"/>
      <c r="E108" s="315"/>
      <c r="F108" s="310"/>
      <c r="G108" s="67" t="s">
        <v>158</v>
      </c>
      <c r="H108" s="31">
        <v>0</v>
      </c>
      <c r="I108" s="31">
        <v>0</v>
      </c>
      <c r="J108" s="31">
        <v>1029638.1858072917</v>
      </c>
      <c r="K108" s="31">
        <v>1457211.5000877173</v>
      </c>
      <c r="L108" s="31">
        <v>1160073.3994180302</v>
      </c>
      <c r="M108" s="31">
        <v>0</v>
      </c>
      <c r="N108" s="31">
        <v>0</v>
      </c>
      <c r="O108" s="31">
        <v>0</v>
      </c>
      <c r="P108" s="31">
        <v>0</v>
      </c>
      <c r="Q108" s="31">
        <v>0</v>
      </c>
      <c r="R108" s="99">
        <f t="shared" si="16"/>
        <v>3646923.0853130389</v>
      </c>
      <c r="S108" s="285"/>
      <c r="T108" s="285"/>
      <c r="U108" s="285"/>
      <c r="V108" s="285"/>
      <c r="W108" s="285"/>
      <c r="X108" s="285"/>
      <c r="Y108" s="285"/>
      <c r="Z108" s="285"/>
      <c r="AA108" s="285"/>
      <c r="AB108" s="285"/>
      <c r="AC108" s="285"/>
    </row>
    <row r="109" spans="1:29">
      <c r="A109" s="312"/>
      <c r="B109" s="309"/>
      <c r="C109" s="322"/>
      <c r="D109" s="315"/>
      <c r="E109" s="315"/>
      <c r="F109" s="310"/>
      <c r="G109" s="67" t="s">
        <v>159</v>
      </c>
      <c r="H109" s="31">
        <v>0</v>
      </c>
      <c r="I109" s="31">
        <v>0</v>
      </c>
      <c r="J109" s="31">
        <v>0</v>
      </c>
      <c r="K109" s="31">
        <v>0</v>
      </c>
      <c r="L109" s="31">
        <v>0</v>
      </c>
      <c r="M109" s="31">
        <v>6102990.5459875725</v>
      </c>
      <c r="N109" s="31">
        <v>2776338.0888469843</v>
      </c>
      <c r="O109" s="31">
        <v>0</v>
      </c>
      <c r="P109" s="31">
        <v>0</v>
      </c>
      <c r="Q109" s="31">
        <v>0</v>
      </c>
      <c r="R109" s="99">
        <f t="shared" si="16"/>
        <v>8879328.6348345578</v>
      </c>
      <c r="S109" s="285"/>
      <c r="T109" s="285"/>
      <c r="U109" s="285"/>
      <c r="V109" s="285"/>
      <c r="W109" s="285"/>
      <c r="X109" s="285"/>
      <c r="Y109" s="285"/>
      <c r="Z109" s="285"/>
      <c r="AA109" s="285"/>
      <c r="AB109" s="285"/>
      <c r="AC109" s="285"/>
    </row>
    <row r="110" spans="1:29">
      <c r="A110" s="312"/>
      <c r="B110" s="309"/>
      <c r="C110" s="322"/>
      <c r="D110" s="315"/>
      <c r="E110" s="315"/>
      <c r="F110" s="310"/>
      <c r="G110" s="67" t="s">
        <v>160</v>
      </c>
      <c r="H110" s="31">
        <v>0</v>
      </c>
      <c r="I110" s="31">
        <v>0</v>
      </c>
      <c r="J110" s="31">
        <v>0</v>
      </c>
      <c r="K110" s="31">
        <v>0</v>
      </c>
      <c r="L110" s="31">
        <v>0</v>
      </c>
      <c r="M110" s="31">
        <v>0</v>
      </c>
      <c r="N110" s="31">
        <v>4565961.6530533098</v>
      </c>
      <c r="O110" s="31">
        <v>6462192.0017627785</v>
      </c>
      <c r="P110" s="31">
        <v>5144609.4361643614</v>
      </c>
      <c r="Q110" s="31">
        <v>0</v>
      </c>
      <c r="R110" s="99">
        <f t="shared" si="16"/>
        <v>16172763.090980448</v>
      </c>
      <c r="S110" s="285"/>
      <c r="T110" s="285"/>
      <c r="U110" s="285"/>
      <c r="V110" s="285"/>
      <c r="W110" s="285"/>
      <c r="X110" s="285"/>
      <c r="Y110" s="285"/>
      <c r="Z110" s="285"/>
      <c r="AA110" s="285"/>
      <c r="AB110" s="285"/>
      <c r="AC110" s="285"/>
    </row>
    <row r="111" spans="1:29" s="33" customFormat="1">
      <c r="A111" s="312"/>
      <c r="B111" s="309"/>
      <c r="C111" s="114"/>
      <c r="D111" s="40"/>
      <c r="E111" s="40"/>
      <c r="F111" s="29"/>
      <c r="G111" s="40" t="s">
        <v>131</v>
      </c>
      <c r="H111" s="32">
        <f>SUM(H101:H110)</f>
        <v>0</v>
      </c>
      <c r="I111" s="32">
        <f t="shared" ref="I111:Q111" si="17">SUM(I101:I110)</f>
        <v>0</v>
      </c>
      <c r="J111" s="32">
        <f t="shared" si="17"/>
        <v>17952603.303542338</v>
      </c>
      <c r="K111" s="32">
        <f t="shared" si="17"/>
        <v>23012652.773111783</v>
      </c>
      <c r="L111" s="32">
        <f t="shared" si="17"/>
        <v>35713830.274744801</v>
      </c>
      <c r="M111" s="32">
        <f t="shared" si="17"/>
        <v>54757062.139043763</v>
      </c>
      <c r="N111" s="32">
        <f t="shared" si="17"/>
        <v>39123026.673685327</v>
      </c>
      <c r="O111" s="32">
        <f t="shared" si="17"/>
        <v>18343128.133821588</v>
      </c>
      <c r="P111" s="32">
        <f t="shared" si="17"/>
        <v>9149318.0620511808</v>
      </c>
      <c r="Q111" s="32">
        <f t="shared" si="17"/>
        <v>0</v>
      </c>
      <c r="R111" s="99">
        <f t="shared" si="16"/>
        <v>198051621.36000076</v>
      </c>
      <c r="S111" s="286"/>
      <c r="T111" s="286"/>
      <c r="U111" s="286"/>
      <c r="V111" s="286"/>
      <c r="W111" s="286"/>
      <c r="X111" s="286"/>
      <c r="Y111" s="286"/>
      <c r="Z111" s="286"/>
      <c r="AA111" s="286"/>
      <c r="AB111" s="286"/>
      <c r="AC111" s="286"/>
    </row>
    <row r="112" spans="1:29">
      <c r="A112" s="312"/>
      <c r="B112" s="309"/>
      <c r="C112" s="300"/>
      <c r="D112" s="300"/>
      <c r="E112" s="300"/>
      <c r="F112" s="300"/>
      <c r="G112" s="300"/>
      <c r="H112" s="300"/>
      <c r="I112" s="300"/>
      <c r="J112" s="300"/>
      <c r="K112" s="300"/>
      <c r="L112" s="300"/>
      <c r="M112" s="300"/>
      <c r="N112" s="300"/>
      <c r="O112" s="300"/>
      <c r="P112" s="300"/>
      <c r="Q112" s="300"/>
      <c r="R112" s="301"/>
    </row>
    <row r="113" spans="1:29" ht="25.5">
      <c r="A113" s="312"/>
      <c r="B113" s="309"/>
      <c r="C113" s="113" t="s">
        <v>85</v>
      </c>
      <c r="D113" s="52" t="s">
        <v>52</v>
      </c>
      <c r="E113" s="52" t="s">
        <v>49</v>
      </c>
      <c r="F113" s="53" t="s">
        <v>53</v>
      </c>
      <c r="G113" s="52"/>
      <c r="H113" s="39">
        <f>'Detailed Budget'!G14</f>
        <v>0</v>
      </c>
      <c r="I113" s="39">
        <f>'Detailed Budget'!H14</f>
        <v>0</v>
      </c>
      <c r="J113" s="39">
        <f>'Detailed Budget'!I14</f>
        <v>20000000</v>
      </c>
      <c r="K113" s="39">
        <v>22500000</v>
      </c>
      <c r="L113" s="39">
        <v>22500000</v>
      </c>
      <c r="M113" s="39">
        <v>55000000</v>
      </c>
      <c r="N113" s="39">
        <f>'Detailed Budget'!M14</f>
        <v>50000000</v>
      </c>
      <c r="O113" s="39">
        <f>'Detailed Budget'!N14</f>
        <v>30000000</v>
      </c>
      <c r="P113" s="39">
        <v>0</v>
      </c>
      <c r="Q113" s="39">
        <f>'Detailed Budget'!P14</f>
        <v>0</v>
      </c>
      <c r="R113" s="98">
        <f t="shared" si="5"/>
        <v>200000000</v>
      </c>
    </row>
    <row r="114" spans="1:29" ht="25.5">
      <c r="A114" s="312"/>
      <c r="B114" s="309"/>
      <c r="C114" s="113" t="s">
        <v>60</v>
      </c>
      <c r="D114" s="52" t="s">
        <v>61</v>
      </c>
      <c r="E114" s="52" t="s">
        <v>49</v>
      </c>
      <c r="F114" s="53" t="s">
        <v>62</v>
      </c>
      <c r="G114" s="52"/>
      <c r="H114" s="39">
        <f>'Detailed Budget'!G17</f>
        <v>0</v>
      </c>
      <c r="I114" s="39">
        <f>'Detailed Budget'!H17</f>
        <v>0</v>
      </c>
      <c r="J114" s="39">
        <v>15000000</v>
      </c>
      <c r="K114" s="39">
        <f>'Detailed Budget'!J17</f>
        <v>10000000</v>
      </c>
      <c r="L114" s="39">
        <v>15000000</v>
      </c>
      <c r="M114" s="39">
        <v>27500000</v>
      </c>
      <c r="N114" s="39">
        <v>32500000</v>
      </c>
      <c r="O114" s="39">
        <v>35000000</v>
      </c>
      <c r="P114" s="39">
        <v>15000000</v>
      </c>
      <c r="Q114" s="39">
        <f>'Detailed Budget'!P17</f>
        <v>0</v>
      </c>
      <c r="R114" s="98">
        <f>SUM(H114:Q114)</f>
        <v>150000000</v>
      </c>
    </row>
    <row r="115" spans="1:29">
      <c r="A115" s="312"/>
      <c r="B115" s="309"/>
      <c r="C115" s="300"/>
      <c r="D115" s="300"/>
      <c r="E115" s="300"/>
      <c r="F115" s="300"/>
      <c r="G115" s="300"/>
      <c r="H115" s="300"/>
      <c r="I115" s="300"/>
      <c r="J115" s="300"/>
      <c r="K115" s="300"/>
      <c r="L115" s="300"/>
      <c r="M115" s="300"/>
      <c r="N115" s="300"/>
      <c r="O115" s="300"/>
      <c r="P115" s="300"/>
      <c r="Q115" s="300"/>
      <c r="R115" s="301"/>
    </row>
    <row r="116" spans="1:29">
      <c r="A116" s="312"/>
      <c r="B116" s="309"/>
      <c r="C116" s="320"/>
      <c r="D116" s="305"/>
      <c r="E116" s="305"/>
      <c r="F116" s="305"/>
      <c r="G116" s="67" t="s">
        <v>151</v>
      </c>
      <c r="H116" s="31">
        <v>0</v>
      </c>
      <c r="I116" s="31">
        <v>0</v>
      </c>
      <c r="J116" s="31">
        <v>0</v>
      </c>
      <c r="K116" s="31">
        <v>0</v>
      </c>
      <c r="L116" s="31">
        <v>8474295.0453941207</v>
      </c>
      <c r="M116" s="31">
        <v>11993511.094163194</v>
      </c>
      <c r="N116" s="31">
        <v>9548035.9150065444</v>
      </c>
      <c r="O116" s="31">
        <v>0</v>
      </c>
      <c r="P116" s="31">
        <v>0</v>
      </c>
      <c r="Q116" s="31">
        <v>0</v>
      </c>
      <c r="R116" s="99">
        <f t="shared" ref="R116:R125" si="18">SUM(H116:Q116)</f>
        <v>30015842.054563861</v>
      </c>
      <c r="S116" s="285"/>
      <c r="T116" s="285"/>
      <c r="U116" s="285"/>
      <c r="V116" s="285"/>
      <c r="W116" s="285"/>
      <c r="X116" s="285"/>
      <c r="Y116" s="285"/>
      <c r="Z116" s="285"/>
      <c r="AA116" s="285"/>
      <c r="AB116" s="285"/>
      <c r="AC116" s="285"/>
    </row>
    <row r="117" spans="1:29">
      <c r="A117" s="312"/>
      <c r="B117" s="309"/>
      <c r="C117" s="295"/>
      <c r="D117" s="306"/>
      <c r="E117" s="306"/>
      <c r="F117" s="306"/>
      <c r="G117" s="67" t="s">
        <v>152</v>
      </c>
      <c r="H117" s="31">
        <v>0</v>
      </c>
      <c r="I117" s="31">
        <v>0</v>
      </c>
      <c r="J117" s="31">
        <v>0</v>
      </c>
      <c r="K117" s="31">
        <v>0</v>
      </c>
      <c r="L117" s="31">
        <v>0</v>
      </c>
      <c r="M117" s="31">
        <v>10191807.307026625</v>
      </c>
      <c r="N117" s="31">
        <v>12981918.831582112</v>
      </c>
      <c r="O117" s="31">
        <v>11483294.541151622</v>
      </c>
      <c r="P117" s="31">
        <v>9751418.1670530122</v>
      </c>
      <c r="Q117" s="31">
        <v>0</v>
      </c>
      <c r="R117" s="99">
        <f t="shared" si="18"/>
        <v>44408438.846813373</v>
      </c>
      <c r="S117" s="285"/>
      <c r="T117" s="285"/>
      <c r="U117" s="285"/>
      <c r="V117" s="285"/>
      <c r="W117" s="285"/>
      <c r="X117" s="285"/>
      <c r="Y117" s="285"/>
      <c r="Z117" s="285"/>
      <c r="AA117" s="285"/>
      <c r="AB117" s="285"/>
      <c r="AC117" s="285"/>
    </row>
    <row r="118" spans="1:29">
      <c r="A118" s="312"/>
      <c r="B118" s="309"/>
      <c r="C118" s="295"/>
      <c r="D118" s="306"/>
      <c r="E118" s="306"/>
      <c r="F118" s="306"/>
      <c r="G118" s="67" t="s">
        <v>153</v>
      </c>
      <c r="H118" s="31">
        <v>0</v>
      </c>
      <c r="I118" s="31">
        <v>0</v>
      </c>
      <c r="J118" s="31">
        <v>0</v>
      </c>
      <c r="K118" s="31">
        <v>0</v>
      </c>
      <c r="L118" s="31">
        <v>0</v>
      </c>
      <c r="M118" s="31">
        <v>10360466.056788296</v>
      </c>
      <c r="N118" s="31">
        <v>14663055.155188626</v>
      </c>
      <c r="O118" s="31">
        <v>11673325.420083212</v>
      </c>
      <c r="P118" s="31">
        <v>0</v>
      </c>
      <c r="Q118" s="31">
        <v>0</v>
      </c>
      <c r="R118" s="99">
        <f t="shared" si="18"/>
        <v>36696846.632060133</v>
      </c>
      <c r="S118" s="285"/>
      <c r="T118" s="285"/>
      <c r="U118" s="285"/>
      <c r="V118" s="285"/>
      <c r="W118" s="285"/>
      <c r="X118" s="285"/>
      <c r="Y118" s="285"/>
      <c r="Z118" s="285"/>
      <c r="AA118" s="285"/>
      <c r="AB118" s="285"/>
      <c r="AC118" s="285"/>
    </row>
    <row r="119" spans="1:29">
      <c r="A119" s="312"/>
      <c r="B119" s="309"/>
      <c r="C119" s="295"/>
      <c r="D119" s="306"/>
      <c r="E119" s="306"/>
      <c r="F119" s="306"/>
      <c r="G119" s="67" t="s">
        <v>154</v>
      </c>
      <c r="H119" s="31">
        <v>0</v>
      </c>
      <c r="I119" s="31">
        <v>0</v>
      </c>
      <c r="J119" s="31">
        <v>0</v>
      </c>
      <c r="K119" s="31">
        <v>0</v>
      </c>
      <c r="L119" s="31">
        <v>0</v>
      </c>
      <c r="M119" s="31">
        <v>7276420.3468606165</v>
      </c>
      <c r="N119" s="31">
        <v>10298238.736899918</v>
      </c>
      <c r="O119" s="31">
        <v>8198475.0624770438</v>
      </c>
      <c r="P119" s="31">
        <v>0</v>
      </c>
      <c r="Q119" s="31">
        <v>0</v>
      </c>
      <c r="R119" s="99">
        <f t="shared" si="18"/>
        <v>25773134.146237578</v>
      </c>
      <c r="S119" s="285"/>
      <c r="T119" s="285"/>
      <c r="U119" s="285"/>
      <c r="V119" s="285"/>
      <c r="W119" s="285"/>
      <c r="X119" s="285"/>
      <c r="Y119" s="285"/>
      <c r="Z119" s="285"/>
      <c r="AA119" s="285"/>
      <c r="AB119" s="285"/>
      <c r="AC119" s="285"/>
    </row>
    <row r="120" spans="1:29">
      <c r="A120" s="312"/>
      <c r="B120" s="309"/>
      <c r="C120" s="295"/>
      <c r="D120" s="306"/>
      <c r="E120" s="306"/>
      <c r="F120" s="306"/>
      <c r="G120" s="67" t="s">
        <v>155</v>
      </c>
      <c r="H120" s="31">
        <v>0</v>
      </c>
      <c r="I120" s="31">
        <v>0</v>
      </c>
      <c r="J120" s="31">
        <v>0</v>
      </c>
      <c r="K120" s="31">
        <v>0</v>
      </c>
      <c r="L120" s="31">
        <v>0</v>
      </c>
      <c r="M120" s="31">
        <v>15861953.846633244</v>
      </c>
      <c r="N120" s="31">
        <v>20204325.998719208</v>
      </c>
      <c r="O120" s="31">
        <v>17871951.709042128</v>
      </c>
      <c r="P120" s="31">
        <v>15176557.036981642</v>
      </c>
      <c r="Q120" s="31">
        <v>0</v>
      </c>
      <c r="R120" s="99">
        <f t="shared" si="18"/>
        <v>69114788.59137623</v>
      </c>
      <c r="S120" s="285"/>
      <c r="T120" s="285"/>
      <c r="U120" s="285"/>
      <c r="V120" s="285"/>
      <c r="W120" s="285"/>
      <c r="X120" s="285"/>
      <c r="Y120" s="285"/>
      <c r="Z120" s="285"/>
      <c r="AA120" s="285"/>
      <c r="AB120" s="285"/>
      <c r="AC120" s="285"/>
    </row>
    <row r="121" spans="1:29">
      <c r="A121" s="312"/>
      <c r="B121" s="309"/>
      <c r="C121" s="295"/>
      <c r="D121" s="306"/>
      <c r="E121" s="306"/>
      <c r="F121" s="306"/>
      <c r="G121" s="67" t="s">
        <v>156</v>
      </c>
      <c r="H121" s="31">
        <v>0</v>
      </c>
      <c r="I121" s="31">
        <v>0</v>
      </c>
      <c r="J121" s="31">
        <v>15452707.509988563</v>
      </c>
      <c r="K121" s="31">
        <v>19682716.765261337</v>
      </c>
      <c r="L121" s="31">
        <v>17410266.225965381</v>
      </c>
      <c r="M121" s="31">
        <v>14784254.266455451</v>
      </c>
      <c r="N121" s="31">
        <v>0</v>
      </c>
      <c r="O121" s="31">
        <v>0</v>
      </c>
      <c r="P121" s="31">
        <v>0</v>
      </c>
      <c r="Q121" s="31">
        <v>0</v>
      </c>
      <c r="R121" s="99">
        <f t="shared" si="18"/>
        <v>67329944.767670736</v>
      </c>
      <c r="S121" s="285"/>
      <c r="T121" s="285"/>
      <c r="U121" s="285"/>
      <c r="V121" s="285"/>
      <c r="W121" s="285"/>
      <c r="X121" s="285"/>
      <c r="Y121" s="285"/>
      <c r="Z121" s="285"/>
      <c r="AA121" s="285"/>
      <c r="AB121" s="285"/>
      <c r="AC121" s="285"/>
    </row>
    <row r="122" spans="1:29">
      <c r="A122" s="312"/>
      <c r="B122" s="309"/>
      <c r="C122" s="295"/>
      <c r="D122" s="306"/>
      <c r="E122" s="306"/>
      <c r="F122" s="306"/>
      <c r="G122" s="67" t="s">
        <v>157</v>
      </c>
      <c r="H122" s="31">
        <v>0</v>
      </c>
      <c r="I122" s="31">
        <v>0</v>
      </c>
      <c r="J122" s="31">
        <v>0</v>
      </c>
      <c r="K122" s="31">
        <v>0</v>
      </c>
      <c r="L122" s="31">
        <v>0</v>
      </c>
      <c r="M122" s="31">
        <v>4156233.4762697229</v>
      </c>
      <c r="N122" s="31">
        <v>5882272.1262093903</v>
      </c>
      <c r="O122" s="31">
        <v>4682903.8022426814</v>
      </c>
      <c r="P122" s="31">
        <v>0</v>
      </c>
      <c r="Q122" s="31">
        <v>0</v>
      </c>
      <c r="R122" s="99">
        <f t="shared" si="18"/>
        <v>14721409.404721795</v>
      </c>
      <c r="S122" s="285"/>
      <c r="T122" s="285"/>
      <c r="U122" s="285"/>
      <c r="V122" s="285"/>
      <c r="W122" s="285"/>
      <c r="X122" s="285"/>
      <c r="Y122" s="285"/>
      <c r="Z122" s="285"/>
      <c r="AA122" s="285"/>
      <c r="AB122" s="285"/>
      <c r="AC122" s="285"/>
    </row>
    <row r="123" spans="1:29">
      <c r="A123" s="312"/>
      <c r="B123" s="309"/>
      <c r="C123" s="295"/>
      <c r="D123" s="306"/>
      <c r="E123" s="306"/>
      <c r="F123" s="306"/>
      <c r="G123" s="67" t="s">
        <v>158</v>
      </c>
      <c r="H123" s="31">
        <v>0</v>
      </c>
      <c r="I123" s="31">
        <v>0</v>
      </c>
      <c r="J123" s="31">
        <v>7521470.435329861</v>
      </c>
      <c r="K123" s="31">
        <v>10644878.333974104</v>
      </c>
      <c r="L123" s="31">
        <v>8474295.0453941207</v>
      </c>
      <c r="M123" s="31">
        <v>0</v>
      </c>
      <c r="N123" s="31">
        <v>0</v>
      </c>
      <c r="O123" s="31">
        <v>0</v>
      </c>
      <c r="P123" s="31">
        <v>0</v>
      </c>
      <c r="Q123" s="31">
        <v>0</v>
      </c>
      <c r="R123" s="99">
        <f t="shared" si="18"/>
        <v>26640643.814698085</v>
      </c>
      <c r="S123" s="285"/>
      <c r="T123" s="285"/>
      <c r="U123" s="285"/>
      <c r="V123" s="285"/>
      <c r="W123" s="285"/>
      <c r="X123" s="285"/>
      <c r="Y123" s="285"/>
      <c r="Z123" s="285"/>
      <c r="AA123" s="285"/>
      <c r="AB123" s="285"/>
      <c r="AC123" s="285"/>
    </row>
    <row r="124" spans="1:29">
      <c r="A124" s="312"/>
      <c r="B124" s="309"/>
      <c r="C124" s="295"/>
      <c r="D124" s="306"/>
      <c r="E124" s="306"/>
      <c r="F124" s="306"/>
      <c r="G124" s="67" t="s">
        <v>159</v>
      </c>
      <c r="H124" s="31">
        <v>0</v>
      </c>
      <c r="I124" s="31">
        <v>0</v>
      </c>
      <c r="J124" s="31">
        <v>0</v>
      </c>
      <c r="K124" s="31">
        <v>0</v>
      </c>
      <c r="L124" s="31">
        <v>0</v>
      </c>
      <c r="M124" s="31">
        <v>6858789.1569745764</v>
      </c>
      <c r="N124" s="31">
        <v>3120161.7365110684</v>
      </c>
      <c r="O124" s="31">
        <v>0</v>
      </c>
      <c r="P124" s="31">
        <v>0</v>
      </c>
      <c r="Q124" s="31">
        <v>0</v>
      </c>
      <c r="R124" s="99">
        <f t="shared" si="18"/>
        <v>9978950.8934856448</v>
      </c>
      <c r="S124" s="285"/>
      <c r="T124" s="285"/>
      <c r="U124" s="285"/>
      <c r="V124" s="285"/>
      <c r="W124" s="285"/>
      <c r="X124" s="285"/>
      <c r="Y124" s="285"/>
      <c r="Z124" s="285"/>
      <c r="AA124" s="285"/>
      <c r="AB124" s="285"/>
      <c r="AC124" s="285"/>
    </row>
    <row r="125" spans="1:29">
      <c r="A125" s="312"/>
      <c r="B125" s="309"/>
      <c r="C125" s="295"/>
      <c r="D125" s="306"/>
      <c r="E125" s="306"/>
      <c r="F125" s="306"/>
      <c r="G125" s="67" t="s">
        <v>160</v>
      </c>
      <c r="H125" s="31">
        <v>0</v>
      </c>
      <c r="I125" s="31">
        <v>0</v>
      </c>
      <c r="J125" s="31">
        <v>0</v>
      </c>
      <c r="K125" s="31">
        <v>0</v>
      </c>
      <c r="L125" s="31">
        <v>0</v>
      </c>
      <c r="M125" s="31">
        <v>0</v>
      </c>
      <c r="N125" s="31">
        <v>6670837.5924041271</v>
      </c>
      <c r="O125" s="31">
        <v>9441216.6834264733</v>
      </c>
      <c r="P125" s="31">
        <v>7516237.899644387</v>
      </c>
      <c r="Q125" s="31">
        <v>0</v>
      </c>
      <c r="R125" s="99">
        <f t="shared" si="18"/>
        <v>23628292.175474986</v>
      </c>
      <c r="S125" s="285"/>
      <c r="T125" s="285"/>
      <c r="U125" s="285"/>
      <c r="V125" s="285"/>
      <c r="W125" s="285"/>
      <c r="X125" s="285"/>
      <c r="Y125" s="285"/>
      <c r="Z125" s="285"/>
      <c r="AA125" s="285"/>
      <c r="AB125" s="285"/>
      <c r="AC125" s="285"/>
    </row>
    <row r="126" spans="1:29">
      <c r="A126" s="312"/>
      <c r="B126" s="309"/>
      <c r="C126" s="321"/>
      <c r="D126" s="307"/>
      <c r="E126" s="307"/>
      <c r="F126" s="307"/>
      <c r="G126" s="40" t="s">
        <v>132</v>
      </c>
      <c r="H126" s="32">
        <f>SUM(H116:H125)</f>
        <v>0</v>
      </c>
      <c r="I126" s="32">
        <f t="shared" ref="I126" si="19">SUM(I116:I125)</f>
        <v>0</v>
      </c>
      <c r="J126" s="32">
        <f t="shared" ref="J126" si="20">SUM(J116:J125)</f>
        <v>22974177.945318423</v>
      </c>
      <c r="K126" s="32">
        <f t="shared" ref="K126" si="21">SUM(K116:K125)</f>
        <v>30327595.099235442</v>
      </c>
      <c r="L126" s="32">
        <f t="shared" ref="L126" si="22">SUM(L116:L125)</f>
        <v>34358856.316753626</v>
      </c>
      <c r="M126" s="32">
        <f t="shared" ref="M126" si="23">SUM(M116:M125)</f>
        <v>81483435.55117172</v>
      </c>
      <c r="N126" s="32">
        <f t="shared" ref="N126" si="24">SUM(N116:N125)</f>
        <v>83368846.092520997</v>
      </c>
      <c r="O126" s="32">
        <f t="shared" ref="O126" si="25">SUM(O116:O125)</f>
        <v>63351167.218423158</v>
      </c>
      <c r="P126" s="32">
        <f t="shared" ref="P126" si="26">SUM(P116:P125)</f>
        <v>32444213.103679042</v>
      </c>
      <c r="Q126" s="32">
        <f t="shared" ref="Q126" si="27">SUM(Q116:Q125)</f>
        <v>0</v>
      </c>
      <c r="R126" s="99">
        <f t="shared" ref="R126" si="28">SUM(H126:Q126)</f>
        <v>348308291.32710242</v>
      </c>
      <c r="S126" s="285"/>
      <c r="T126" s="285"/>
      <c r="U126" s="285"/>
      <c r="V126" s="285"/>
      <c r="W126" s="285"/>
      <c r="X126" s="285"/>
      <c r="Y126" s="285"/>
      <c r="Z126" s="285"/>
      <c r="AA126" s="285"/>
      <c r="AB126" s="285"/>
      <c r="AC126" s="285"/>
    </row>
    <row r="127" spans="1:29">
      <c r="A127" s="312"/>
      <c r="B127" s="309"/>
      <c r="C127" s="300"/>
      <c r="D127" s="300"/>
      <c r="E127" s="300"/>
      <c r="F127" s="300"/>
      <c r="G127" s="300"/>
      <c r="H127" s="300"/>
      <c r="I127" s="300"/>
      <c r="J127" s="300"/>
      <c r="K127" s="300"/>
      <c r="L127" s="300"/>
      <c r="M127" s="300"/>
      <c r="N127" s="300"/>
      <c r="O127" s="300"/>
      <c r="P127" s="300"/>
      <c r="Q127" s="300"/>
      <c r="R127" s="301"/>
    </row>
    <row r="128" spans="1:29">
      <c r="A128" s="312"/>
      <c r="B128" s="309"/>
      <c r="C128" s="113" t="s">
        <v>54</v>
      </c>
      <c r="D128" s="52" t="s">
        <v>55</v>
      </c>
      <c r="E128" s="52" t="s">
        <v>49</v>
      </c>
      <c r="F128" s="53" t="s">
        <v>56</v>
      </c>
      <c r="G128" s="52"/>
      <c r="H128" s="39">
        <f>'Detailed Budget'!G15</f>
        <v>0</v>
      </c>
      <c r="I128" s="39">
        <f>'Detailed Budget'!H15</f>
        <v>0</v>
      </c>
      <c r="J128" s="39">
        <v>40000000</v>
      </c>
      <c r="K128" s="39">
        <v>55000000</v>
      </c>
      <c r="L128" s="39">
        <v>55000000</v>
      </c>
      <c r="M128" s="39">
        <v>145000000</v>
      </c>
      <c r="N128" s="39">
        <v>165000000</v>
      </c>
      <c r="O128" s="39">
        <v>135000000</v>
      </c>
      <c r="P128" s="39">
        <v>55000000</v>
      </c>
      <c r="Q128" s="39">
        <f>'Detailed Budget'!P15</f>
        <v>0</v>
      </c>
      <c r="R128" s="98">
        <f t="shared" si="5"/>
        <v>650000000</v>
      </c>
    </row>
    <row r="129" spans="1:29">
      <c r="A129" s="312"/>
      <c r="B129" s="309"/>
      <c r="C129" s="300"/>
      <c r="D129" s="300"/>
      <c r="E129" s="300"/>
      <c r="F129" s="300"/>
      <c r="G129" s="300"/>
      <c r="H129" s="300"/>
      <c r="I129" s="300"/>
      <c r="J129" s="300"/>
      <c r="K129" s="300"/>
      <c r="L129" s="300"/>
      <c r="M129" s="300"/>
      <c r="N129" s="300"/>
      <c r="O129" s="300"/>
      <c r="P129" s="300"/>
      <c r="Q129" s="300"/>
      <c r="R129" s="301"/>
    </row>
    <row r="130" spans="1:29">
      <c r="A130" s="312"/>
      <c r="B130" s="309"/>
      <c r="C130" s="320"/>
      <c r="D130" s="305"/>
      <c r="E130" s="305"/>
      <c r="F130" s="305"/>
      <c r="G130" s="67" t="s">
        <v>151</v>
      </c>
      <c r="H130" s="31">
        <v>0</v>
      </c>
      <c r="I130" s="31">
        <v>0</v>
      </c>
      <c r="J130" s="31">
        <v>0</v>
      </c>
      <c r="K130" s="31">
        <v>0</v>
      </c>
      <c r="L130" s="31">
        <v>6557314.8902104143</v>
      </c>
      <c r="M130" s="31">
        <v>9280444.9765299037</v>
      </c>
      <c r="N130" s="31">
        <v>7388163.5867475756</v>
      </c>
      <c r="O130" s="31">
        <v>0</v>
      </c>
      <c r="P130" s="31">
        <v>0</v>
      </c>
      <c r="Q130" s="31">
        <v>0</v>
      </c>
      <c r="R130" s="99">
        <f t="shared" ref="R130:R139" si="29">SUM(H130:Q130)</f>
        <v>23225923.453487895</v>
      </c>
      <c r="S130" s="285"/>
      <c r="T130" s="285"/>
      <c r="U130" s="285"/>
      <c r="V130" s="285"/>
      <c r="W130" s="285"/>
      <c r="X130" s="285"/>
      <c r="Y130" s="285"/>
      <c r="Z130" s="285"/>
      <c r="AA130" s="285"/>
      <c r="AB130" s="285"/>
      <c r="AC130" s="285"/>
    </row>
    <row r="131" spans="1:29">
      <c r="A131" s="312"/>
      <c r="B131" s="309"/>
      <c r="C131" s="295"/>
      <c r="D131" s="306"/>
      <c r="E131" s="306"/>
      <c r="F131" s="306"/>
      <c r="G131" s="67" t="s">
        <v>152</v>
      </c>
      <c r="H131" s="31">
        <v>0</v>
      </c>
      <c r="I131" s="31">
        <v>0</v>
      </c>
      <c r="J131" s="31">
        <v>0</v>
      </c>
      <c r="K131" s="31">
        <v>0</v>
      </c>
      <c r="L131" s="31">
        <v>0</v>
      </c>
      <c r="M131" s="31">
        <v>20160483.298739217</v>
      </c>
      <c r="N131" s="31">
        <v>25679621.86738541</v>
      </c>
      <c r="O131" s="31">
        <v>22715182.973659582</v>
      </c>
      <c r="P131" s="31">
        <v>19289346.548021518</v>
      </c>
      <c r="Q131" s="31">
        <v>0</v>
      </c>
      <c r="R131" s="99">
        <f t="shared" si="29"/>
        <v>87844634.687805742</v>
      </c>
      <c r="S131" s="285"/>
      <c r="T131" s="285"/>
      <c r="U131" s="285"/>
      <c r="V131" s="285"/>
      <c r="W131" s="285"/>
      <c r="X131" s="285"/>
      <c r="Y131" s="285"/>
      <c r="Z131" s="285"/>
      <c r="AA131" s="285"/>
      <c r="AB131" s="285"/>
      <c r="AC131" s="285"/>
    </row>
    <row r="132" spans="1:29">
      <c r="A132" s="312"/>
      <c r="B132" s="309"/>
      <c r="C132" s="295"/>
      <c r="D132" s="306"/>
      <c r="E132" s="306"/>
      <c r="F132" s="306"/>
      <c r="G132" s="67" t="s">
        <v>153</v>
      </c>
      <c r="H132" s="31">
        <v>0</v>
      </c>
      <c r="I132" s="31">
        <v>0</v>
      </c>
      <c r="J132" s="31">
        <v>0</v>
      </c>
      <c r="K132" s="31">
        <v>0</v>
      </c>
      <c r="L132" s="31">
        <v>0</v>
      </c>
      <c r="M132" s="31">
        <v>24110715.668079168</v>
      </c>
      <c r="N132" s="31">
        <v>34123634.181540906</v>
      </c>
      <c r="O132" s="31">
        <v>27165981.58440724</v>
      </c>
      <c r="P132" s="31">
        <v>0</v>
      </c>
      <c r="Q132" s="31">
        <v>0</v>
      </c>
      <c r="R132" s="99">
        <f t="shared" si="29"/>
        <v>85400331.434027314</v>
      </c>
      <c r="S132" s="285"/>
      <c r="T132" s="285"/>
      <c r="U132" s="285"/>
      <c r="V132" s="285"/>
      <c r="W132" s="285"/>
      <c r="X132" s="285"/>
      <c r="Y132" s="285"/>
      <c r="Z132" s="285"/>
      <c r="AA132" s="285"/>
      <c r="AB132" s="285"/>
      <c r="AC132" s="285"/>
    </row>
    <row r="133" spans="1:29">
      <c r="A133" s="312"/>
      <c r="B133" s="309"/>
      <c r="C133" s="295"/>
      <c r="D133" s="306"/>
      <c r="E133" s="306"/>
      <c r="F133" s="306"/>
      <c r="G133" s="67" t="s">
        <v>154</v>
      </c>
      <c r="H133" s="31">
        <v>0</v>
      </c>
      <c r="I133" s="31">
        <v>0</v>
      </c>
      <c r="J133" s="31">
        <v>0</v>
      </c>
      <c r="K133" s="31">
        <v>0</v>
      </c>
      <c r="L133" s="31">
        <v>0</v>
      </c>
      <c r="M133" s="31">
        <v>14816875.849511445</v>
      </c>
      <c r="N133" s="31">
        <v>20970163.563888799</v>
      </c>
      <c r="O133" s="31">
        <v>16694443.334138632</v>
      </c>
      <c r="P133" s="31">
        <v>0</v>
      </c>
      <c r="Q133" s="31">
        <v>0</v>
      </c>
      <c r="R133" s="99">
        <f t="shared" si="29"/>
        <v>52481482.74753888</v>
      </c>
      <c r="S133" s="285"/>
      <c r="T133" s="285"/>
      <c r="U133" s="285"/>
      <c r="V133" s="285"/>
      <c r="W133" s="285"/>
      <c r="X133" s="285"/>
      <c r="Y133" s="285"/>
      <c r="Z133" s="285"/>
      <c r="AA133" s="285"/>
      <c r="AB133" s="285"/>
      <c r="AC133" s="285"/>
    </row>
    <row r="134" spans="1:29">
      <c r="A134" s="312"/>
      <c r="B134" s="309"/>
      <c r="C134" s="295"/>
      <c r="D134" s="306"/>
      <c r="E134" s="306"/>
      <c r="F134" s="306"/>
      <c r="G134" s="67" t="s">
        <v>155</v>
      </c>
      <c r="H134" s="31">
        <v>0</v>
      </c>
      <c r="I134" s="31">
        <v>0</v>
      </c>
      <c r="J134" s="31">
        <v>0</v>
      </c>
      <c r="K134" s="31">
        <v>0</v>
      </c>
      <c r="L134" s="31">
        <v>0</v>
      </c>
      <c r="M134" s="31">
        <v>36913692.592601828</v>
      </c>
      <c r="N134" s="31">
        <v>47019193.610611588</v>
      </c>
      <c r="O134" s="31">
        <v>41591328.394732021</v>
      </c>
      <c r="P134" s="31">
        <v>35318647.784121357</v>
      </c>
      <c r="Q134" s="31">
        <v>0</v>
      </c>
      <c r="R134" s="99">
        <f t="shared" si="29"/>
        <v>160842862.38206682</v>
      </c>
      <c r="S134" s="285"/>
      <c r="T134" s="285"/>
      <c r="U134" s="285"/>
      <c r="V134" s="285"/>
      <c r="W134" s="285"/>
      <c r="X134" s="285"/>
      <c r="Y134" s="285"/>
      <c r="Z134" s="285"/>
      <c r="AA134" s="285"/>
      <c r="AB134" s="285"/>
      <c r="AC134" s="285"/>
    </row>
    <row r="135" spans="1:29">
      <c r="A135" s="312"/>
      <c r="B135" s="309"/>
      <c r="C135" s="295"/>
      <c r="D135" s="306"/>
      <c r="E135" s="306"/>
      <c r="F135" s="306"/>
      <c r="G135" s="67" t="s">
        <v>156</v>
      </c>
      <c r="H135" s="31">
        <v>0</v>
      </c>
      <c r="I135" s="31">
        <v>0</v>
      </c>
      <c r="J135" s="31">
        <v>21576780.525112182</v>
      </c>
      <c r="K135" s="31">
        <v>27483187.623105686</v>
      </c>
      <c r="L135" s="31">
        <v>24310140.666197482</v>
      </c>
      <c r="M135" s="31">
        <v>20643412.122345854</v>
      </c>
      <c r="N135" s="31">
        <v>0</v>
      </c>
      <c r="O135" s="31">
        <v>0</v>
      </c>
      <c r="P135" s="31">
        <v>0</v>
      </c>
      <c r="Q135" s="31">
        <v>0</v>
      </c>
      <c r="R135" s="99">
        <f t="shared" si="29"/>
        <v>94013520.9367612</v>
      </c>
      <c r="S135" s="285"/>
      <c r="T135" s="285"/>
      <c r="U135" s="285"/>
      <c r="V135" s="285"/>
      <c r="W135" s="285"/>
      <c r="X135" s="285"/>
      <c r="Y135" s="285"/>
      <c r="Z135" s="285"/>
      <c r="AA135" s="285"/>
      <c r="AB135" s="285"/>
      <c r="AC135" s="285"/>
    </row>
    <row r="136" spans="1:29">
      <c r="A136" s="312"/>
      <c r="B136" s="309"/>
      <c r="C136" s="295"/>
      <c r="D136" s="306"/>
      <c r="E136" s="306"/>
      <c r="F136" s="306"/>
      <c r="G136" s="67" t="s">
        <v>157</v>
      </c>
      <c r="H136" s="31">
        <v>0</v>
      </c>
      <c r="I136" s="31">
        <v>0</v>
      </c>
      <c r="J136" s="31">
        <v>0</v>
      </c>
      <c r="K136" s="31">
        <v>0</v>
      </c>
      <c r="L136" s="31">
        <v>0</v>
      </c>
      <c r="M136" s="31">
        <v>6383732.5088623548</v>
      </c>
      <c r="N136" s="31">
        <v>9034827.3292289097</v>
      </c>
      <c r="O136" s="31">
        <v>7192667.4497320065</v>
      </c>
      <c r="P136" s="31">
        <v>0</v>
      </c>
      <c r="Q136" s="31">
        <v>0</v>
      </c>
      <c r="R136" s="99">
        <f t="shared" si="29"/>
        <v>22611227.287823271</v>
      </c>
      <c r="S136" s="285"/>
      <c r="T136" s="285"/>
      <c r="U136" s="285"/>
      <c r="V136" s="285"/>
      <c r="W136" s="285"/>
      <c r="X136" s="285"/>
      <c r="Y136" s="285"/>
      <c r="Z136" s="285"/>
      <c r="AA136" s="285"/>
      <c r="AB136" s="285"/>
      <c r="AC136" s="285"/>
    </row>
    <row r="137" spans="1:29">
      <c r="A137" s="312"/>
      <c r="B137" s="309"/>
      <c r="C137" s="295"/>
      <c r="D137" s="306"/>
      <c r="E137" s="306"/>
      <c r="F137" s="306"/>
      <c r="G137" s="67" t="s">
        <v>158</v>
      </c>
      <c r="H137" s="31">
        <v>0</v>
      </c>
      <c r="I137" s="31">
        <v>0</v>
      </c>
      <c r="J137" s="31">
        <v>16628656.700787757</v>
      </c>
      <c r="K137" s="31">
        <v>23533965.726416633</v>
      </c>
      <c r="L137" s="31">
        <v>18735185.400601186</v>
      </c>
      <c r="M137" s="31">
        <v>0</v>
      </c>
      <c r="N137" s="31">
        <v>0</v>
      </c>
      <c r="O137" s="31">
        <v>0</v>
      </c>
      <c r="P137" s="31">
        <v>0</v>
      </c>
      <c r="Q137" s="31">
        <v>0</v>
      </c>
      <c r="R137" s="99">
        <f t="shared" si="29"/>
        <v>58897807.827805571</v>
      </c>
      <c r="S137" s="285"/>
      <c r="T137" s="285"/>
      <c r="U137" s="285"/>
      <c r="V137" s="285"/>
      <c r="W137" s="285"/>
      <c r="X137" s="285"/>
      <c r="Y137" s="285"/>
      <c r="Z137" s="285"/>
      <c r="AA137" s="285"/>
      <c r="AB137" s="285"/>
      <c r="AC137" s="285"/>
    </row>
    <row r="138" spans="1:29">
      <c r="A138" s="312"/>
      <c r="B138" s="309"/>
      <c r="C138" s="295"/>
      <c r="D138" s="306"/>
      <c r="E138" s="306"/>
      <c r="F138" s="306"/>
      <c r="G138" s="67" t="s">
        <v>159</v>
      </c>
      <c r="H138" s="31">
        <v>0</v>
      </c>
      <c r="I138" s="31">
        <v>0</v>
      </c>
      <c r="J138" s="31">
        <v>0</v>
      </c>
      <c r="K138" s="31">
        <v>0</v>
      </c>
      <c r="L138" s="31">
        <v>0</v>
      </c>
      <c r="M138" s="31">
        <v>10774125.617724214</v>
      </c>
      <c r="N138" s="31">
        <v>4901304.5491567915</v>
      </c>
      <c r="O138" s="31">
        <v>0</v>
      </c>
      <c r="P138" s="31">
        <v>0</v>
      </c>
      <c r="Q138" s="31">
        <v>0</v>
      </c>
      <c r="R138" s="99">
        <f t="shared" si="29"/>
        <v>15675430.166881006</v>
      </c>
      <c r="S138" s="285"/>
      <c r="T138" s="285"/>
      <c r="U138" s="285"/>
      <c r="V138" s="285"/>
      <c r="W138" s="285"/>
      <c r="X138" s="285"/>
      <c r="Y138" s="285"/>
      <c r="Z138" s="285"/>
      <c r="AA138" s="285"/>
      <c r="AB138" s="285"/>
      <c r="AC138" s="285"/>
    </row>
    <row r="139" spans="1:29">
      <c r="A139" s="312"/>
      <c r="B139" s="309"/>
      <c r="C139" s="295"/>
      <c r="D139" s="306"/>
      <c r="E139" s="306"/>
      <c r="F139" s="306"/>
      <c r="G139" s="67" t="s">
        <v>160</v>
      </c>
      <c r="H139" s="31">
        <v>0</v>
      </c>
      <c r="I139" s="31">
        <v>0</v>
      </c>
      <c r="J139" s="31">
        <v>0</v>
      </c>
      <c r="K139" s="31">
        <v>0</v>
      </c>
      <c r="L139" s="31">
        <v>0</v>
      </c>
      <c r="M139" s="31">
        <v>0</v>
      </c>
      <c r="N139" s="31">
        <v>11643202.215285942</v>
      </c>
      <c r="O139" s="31">
        <v>16478589.604495088</v>
      </c>
      <c r="P139" s="31">
        <v>13118754.062219122</v>
      </c>
      <c r="Q139" s="31">
        <v>0</v>
      </c>
      <c r="R139" s="99">
        <f t="shared" si="29"/>
        <v>41240545.882000148</v>
      </c>
      <c r="S139" s="285"/>
      <c r="T139" s="285"/>
      <c r="U139" s="285"/>
      <c r="V139" s="285"/>
      <c r="W139" s="285"/>
      <c r="X139" s="285"/>
      <c r="Y139" s="285"/>
      <c r="Z139" s="285"/>
      <c r="AA139" s="285"/>
      <c r="AB139" s="285"/>
      <c r="AC139" s="285"/>
    </row>
    <row r="140" spans="1:29">
      <c r="A140" s="312"/>
      <c r="B140" s="309"/>
      <c r="C140" s="321"/>
      <c r="D140" s="307"/>
      <c r="E140" s="307"/>
      <c r="F140" s="307"/>
      <c r="G140" s="40" t="s">
        <v>132</v>
      </c>
      <c r="H140" s="32">
        <f>SUM(H130:H139)</f>
        <v>0</v>
      </c>
      <c r="I140" s="32">
        <f t="shared" ref="I140" si="30">SUM(I130:I139)</f>
        <v>0</v>
      </c>
      <c r="J140" s="32">
        <f t="shared" ref="J140" si="31">SUM(J130:J139)</f>
        <v>38205437.225899935</v>
      </c>
      <c r="K140" s="32">
        <f t="shared" ref="K140" si="32">SUM(K130:K139)</f>
        <v>51017153.349522322</v>
      </c>
      <c r="L140" s="32">
        <f t="shared" ref="L140" si="33">SUM(L130:L139)</f>
        <v>49602640.957009085</v>
      </c>
      <c r="M140" s="32">
        <f t="shared" ref="M140" si="34">SUM(M130:M139)</f>
        <v>143083482.63439399</v>
      </c>
      <c r="N140" s="32">
        <f t="shared" ref="N140" si="35">SUM(N130:N139)</f>
        <v>160760110.90384591</v>
      </c>
      <c r="O140" s="32">
        <f t="shared" ref="O140" si="36">SUM(O130:O139)</f>
        <v>131838193.34116457</v>
      </c>
      <c r="P140" s="32">
        <f t="shared" ref="P140" si="37">SUM(P130:P139)</f>
        <v>67726748.394362003</v>
      </c>
      <c r="Q140" s="32">
        <f t="shared" ref="Q140" si="38">SUM(Q130:Q139)</f>
        <v>0</v>
      </c>
      <c r="R140" s="99">
        <f t="shared" ref="R140" si="39">SUM(H140:Q140)</f>
        <v>642233766.80619776</v>
      </c>
      <c r="S140" s="285"/>
      <c r="T140" s="285"/>
      <c r="U140" s="285"/>
      <c r="V140" s="285"/>
      <c r="W140" s="285"/>
      <c r="X140" s="285"/>
      <c r="Y140" s="285"/>
      <c r="Z140" s="285"/>
      <c r="AA140" s="285"/>
      <c r="AB140" s="285"/>
      <c r="AC140" s="285"/>
    </row>
    <row r="141" spans="1:29">
      <c r="A141" s="312"/>
      <c r="B141" s="309"/>
      <c r="C141" s="300"/>
      <c r="D141" s="300"/>
      <c r="E141" s="300"/>
      <c r="F141" s="300"/>
      <c r="G141" s="300"/>
      <c r="H141" s="300"/>
      <c r="I141" s="300"/>
      <c r="J141" s="300"/>
      <c r="K141" s="300"/>
      <c r="L141" s="300"/>
      <c r="M141" s="300"/>
      <c r="N141" s="300"/>
      <c r="O141" s="300"/>
      <c r="P141" s="300"/>
      <c r="Q141" s="300"/>
      <c r="R141" s="301"/>
    </row>
    <row r="142" spans="1:29" ht="25.5">
      <c r="A142" s="312"/>
      <c r="B142" s="309"/>
      <c r="C142" s="113" t="s">
        <v>57</v>
      </c>
      <c r="D142" s="52" t="s">
        <v>58</v>
      </c>
      <c r="E142" s="52" t="s">
        <v>49</v>
      </c>
      <c r="F142" s="53" t="s">
        <v>59</v>
      </c>
      <c r="G142" s="52"/>
      <c r="H142" s="39">
        <f>'Detailed Budget'!G17</f>
        <v>0</v>
      </c>
      <c r="I142" s="39">
        <f>'Detailed Budget'!H17</f>
        <v>0</v>
      </c>
      <c r="J142" s="39">
        <v>10000000</v>
      </c>
      <c r="K142" s="39">
        <v>15000000</v>
      </c>
      <c r="L142" s="39">
        <v>15000000</v>
      </c>
      <c r="M142" s="39">
        <v>35000000</v>
      </c>
      <c r="N142" s="39">
        <v>40000000</v>
      </c>
      <c r="O142" s="39">
        <v>30000000</v>
      </c>
      <c r="P142" s="39">
        <v>5000000</v>
      </c>
      <c r="Q142" s="39">
        <f>'Detailed Budget'!P17</f>
        <v>0</v>
      </c>
      <c r="R142" s="98">
        <f t="shared" si="5"/>
        <v>150000000</v>
      </c>
    </row>
    <row r="143" spans="1:29">
      <c r="A143" s="312"/>
      <c r="B143" s="309"/>
      <c r="C143" s="300"/>
      <c r="D143" s="300"/>
      <c r="E143" s="300"/>
      <c r="F143" s="300"/>
      <c r="G143" s="300"/>
      <c r="H143" s="300"/>
      <c r="I143" s="300"/>
      <c r="J143" s="300"/>
      <c r="K143" s="300"/>
      <c r="L143" s="300"/>
      <c r="M143" s="300"/>
      <c r="N143" s="300"/>
      <c r="O143" s="300"/>
      <c r="P143" s="300"/>
      <c r="Q143" s="300"/>
      <c r="R143" s="301"/>
    </row>
    <row r="144" spans="1:29">
      <c r="A144" s="312"/>
      <c r="B144" s="309"/>
      <c r="C144" s="320"/>
      <c r="D144" s="305"/>
      <c r="E144" s="305"/>
      <c r="F144" s="305"/>
      <c r="G144" s="67" t="s">
        <v>151</v>
      </c>
      <c r="H144" s="31">
        <v>0</v>
      </c>
      <c r="I144" s="31">
        <v>0</v>
      </c>
      <c r="J144" s="31">
        <v>0</v>
      </c>
      <c r="K144" s="31">
        <v>0</v>
      </c>
      <c r="L144" s="31">
        <v>1514173.4633840069</v>
      </c>
      <c r="M144" s="31">
        <v>2142981.349398958</v>
      </c>
      <c r="N144" s="31">
        <v>1706027.7618960298</v>
      </c>
      <c r="O144" s="31">
        <v>0</v>
      </c>
      <c r="P144" s="31">
        <v>0</v>
      </c>
      <c r="Q144" s="31">
        <v>0</v>
      </c>
      <c r="R144" s="99">
        <f t="shared" ref="R144:R153" si="40">SUM(H144:Q144)</f>
        <v>5363182.5746789947</v>
      </c>
      <c r="S144" s="285"/>
      <c r="T144" s="285"/>
      <c r="U144" s="285"/>
      <c r="V144" s="285"/>
      <c r="W144" s="285"/>
      <c r="X144" s="285"/>
      <c r="Y144" s="285"/>
      <c r="Z144" s="285"/>
      <c r="AA144" s="285"/>
      <c r="AB144" s="285"/>
      <c r="AC144" s="285"/>
    </row>
    <row r="145" spans="1:29">
      <c r="A145" s="312"/>
      <c r="B145" s="309"/>
      <c r="C145" s="295"/>
      <c r="D145" s="306"/>
      <c r="E145" s="306"/>
      <c r="F145" s="306"/>
      <c r="G145" s="67" t="s">
        <v>152</v>
      </c>
      <c r="H145" s="31">
        <v>0</v>
      </c>
      <c r="I145" s="31">
        <v>0</v>
      </c>
      <c r="J145" s="31">
        <v>0</v>
      </c>
      <c r="K145" s="31">
        <v>0</v>
      </c>
      <c r="L145" s="31">
        <v>0</v>
      </c>
      <c r="M145" s="31">
        <v>4655330.6240517963</v>
      </c>
      <c r="N145" s="31">
        <v>5929775.0119306743</v>
      </c>
      <c r="O145" s="31">
        <v>5245245.630338164</v>
      </c>
      <c r="P145" s="31">
        <v>4454173.2642177343</v>
      </c>
      <c r="Q145" s="31">
        <v>0</v>
      </c>
      <c r="R145" s="99">
        <f t="shared" si="40"/>
        <v>20284524.530538369</v>
      </c>
      <c r="S145" s="285"/>
      <c r="T145" s="285"/>
      <c r="U145" s="285"/>
      <c r="V145" s="285"/>
      <c r="W145" s="285"/>
      <c r="X145" s="285"/>
      <c r="Y145" s="285"/>
      <c r="Z145" s="285"/>
      <c r="AA145" s="285"/>
      <c r="AB145" s="285"/>
      <c r="AC145" s="285"/>
    </row>
    <row r="146" spans="1:29">
      <c r="A146" s="312"/>
      <c r="B146" s="309"/>
      <c r="C146" s="295"/>
      <c r="D146" s="306"/>
      <c r="E146" s="306"/>
      <c r="F146" s="306"/>
      <c r="G146" s="67" t="s">
        <v>153</v>
      </c>
      <c r="H146" s="31">
        <v>0</v>
      </c>
      <c r="I146" s="31">
        <v>0</v>
      </c>
      <c r="J146" s="31">
        <v>0</v>
      </c>
      <c r="K146" s="31">
        <v>0</v>
      </c>
      <c r="L146" s="31">
        <v>0</v>
      </c>
      <c r="M146" s="31">
        <v>5567493.1674100198</v>
      </c>
      <c r="N146" s="31">
        <v>7879612.6489290334</v>
      </c>
      <c r="O146" s="31">
        <v>6272995.7475884035</v>
      </c>
      <c r="P146" s="31">
        <v>0</v>
      </c>
      <c r="Q146" s="31">
        <v>0</v>
      </c>
      <c r="R146" s="99">
        <f t="shared" si="40"/>
        <v>19720101.563927457</v>
      </c>
      <c r="S146" s="285"/>
      <c r="T146" s="285"/>
      <c r="U146" s="285"/>
      <c r="V146" s="285"/>
      <c r="W146" s="285"/>
      <c r="X146" s="285"/>
      <c r="Y146" s="285"/>
      <c r="Z146" s="285"/>
      <c r="AA146" s="285"/>
      <c r="AB146" s="285"/>
      <c r="AC146" s="285"/>
    </row>
    <row r="147" spans="1:29">
      <c r="A147" s="312"/>
      <c r="B147" s="309"/>
      <c r="C147" s="295"/>
      <c r="D147" s="306"/>
      <c r="E147" s="306"/>
      <c r="F147" s="306"/>
      <c r="G147" s="67" t="s">
        <v>154</v>
      </c>
      <c r="H147" s="31">
        <v>0</v>
      </c>
      <c r="I147" s="31">
        <v>0</v>
      </c>
      <c r="J147" s="31">
        <v>0</v>
      </c>
      <c r="K147" s="31">
        <v>0</v>
      </c>
      <c r="L147" s="31">
        <v>0</v>
      </c>
      <c r="M147" s="31">
        <v>3421418.7662513913</v>
      </c>
      <c r="N147" s="31">
        <v>4842296.8429755745</v>
      </c>
      <c r="O147" s="31">
        <v>3854974.7123261299</v>
      </c>
      <c r="P147" s="31">
        <v>0</v>
      </c>
      <c r="Q147" s="31">
        <v>0</v>
      </c>
      <c r="R147" s="99">
        <f t="shared" si="40"/>
        <v>12118690.321553096</v>
      </c>
      <c r="S147" s="285"/>
      <c r="T147" s="285"/>
      <c r="U147" s="285"/>
      <c r="V147" s="285"/>
      <c r="W147" s="285"/>
      <c r="X147" s="285"/>
      <c r="Y147" s="285"/>
      <c r="Z147" s="285"/>
      <c r="AA147" s="285"/>
      <c r="AB147" s="285"/>
      <c r="AC147" s="285"/>
    </row>
    <row r="148" spans="1:29">
      <c r="A148" s="312"/>
      <c r="B148" s="309"/>
      <c r="C148" s="295"/>
      <c r="D148" s="306"/>
      <c r="E148" s="306"/>
      <c r="F148" s="306"/>
      <c r="G148" s="67" t="s">
        <v>155</v>
      </c>
      <c r="H148" s="31">
        <v>0</v>
      </c>
      <c r="I148" s="31">
        <v>0</v>
      </c>
      <c r="J148" s="31">
        <v>0</v>
      </c>
      <c r="K148" s="31">
        <v>0</v>
      </c>
      <c r="L148" s="31">
        <v>0</v>
      </c>
      <c r="M148" s="31">
        <v>8523875.1981665045</v>
      </c>
      <c r="N148" s="31">
        <v>10857373.243001049</v>
      </c>
      <c r="O148" s="31">
        <v>9604005.1174318604</v>
      </c>
      <c r="P148" s="31">
        <v>8155557.5922032408</v>
      </c>
      <c r="Q148" s="31">
        <v>0</v>
      </c>
      <c r="R148" s="99">
        <f t="shared" si="40"/>
        <v>37140811.150802657</v>
      </c>
      <c r="S148" s="285"/>
      <c r="T148" s="285"/>
      <c r="U148" s="285"/>
      <c r="V148" s="285"/>
      <c r="W148" s="285"/>
      <c r="X148" s="285"/>
      <c r="Y148" s="285"/>
      <c r="Z148" s="285"/>
      <c r="AA148" s="285"/>
      <c r="AB148" s="285"/>
      <c r="AC148" s="285"/>
    </row>
    <row r="149" spans="1:29">
      <c r="A149" s="312"/>
      <c r="B149" s="309"/>
      <c r="C149" s="295"/>
      <c r="D149" s="306"/>
      <c r="E149" s="306"/>
      <c r="F149" s="306"/>
      <c r="G149" s="67" t="s">
        <v>156</v>
      </c>
      <c r="H149" s="31">
        <v>0</v>
      </c>
      <c r="I149" s="31">
        <v>0</v>
      </c>
      <c r="J149" s="31">
        <v>4982372.9748225259</v>
      </c>
      <c r="K149" s="31">
        <v>6346242.949265331</v>
      </c>
      <c r="L149" s="31">
        <v>5613543.1200418472</v>
      </c>
      <c r="M149" s="31">
        <v>4766845.4775629668</v>
      </c>
      <c r="N149" s="31">
        <v>0</v>
      </c>
      <c r="O149" s="31">
        <v>0</v>
      </c>
      <c r="P149" s="31">
        <v>0</v>
      </c>
      <c r="Q149" s="31">
        <v>0</v>
      </c>
      <c r="R149" s="99">
        <f t="shared" si="40"/>
        <v>21709004.521692671</v>
      </c>
      <c r="S149" s="285"/>
      <c r="T149" s="285"/>
      <c r="U149" s="285"/>
      <c r="V149" s="285"/>
      <c r="W149" s="285"/>
      <c r="X149" s="285"/>
      <c r="Y149" s="285"/>
      <c r="Z149" s="285"/>
      <c r="AA149" s="285"/>
      <c r="AB149" s="285"/>
      <c r="AC149" s="285"/>
    </row>
    <row r="150" spans="1:29">
      <c r="A150" s="312"/>
      <c r="B150" s="309"/>
      <c r="C150" s="295"/>
      <c r="D150" s="306"/>
      <c r="E150" s="306"/>
      <c r="F150" s="306"/>
      <c r="G150" s="67" t="s">
        <v>157</v>
      </c>
      <c r="H150" s="31">
        <v>0</v>
      </c>
      <c r="I150" s="31">
        <v>0</v>
      </c>
      <c r="J150" s="31">
        <v>0</v>
      </c>
      <c r="K150" s="31">
        <v>0</v>
      </c>
      <c r="L150" s="31">
        <v>0</v>
      </c>
      <c r="M150" s="31">
        <v>1474090.9235107694</v>
      </c>
      <c r="N150" s="31">
        <v>2086264.883908303</v>
      </c>
      <c r="O150" s="31">
        <v>1660885.0368905573</v>
      </c>
      <c r="P150" s="31">
        <v>0</v>
      </c>
      <c r="Q150" s="31">
        <v>0</v>
      </c>
      <c r="R150" s="99">
        <f t="shared" si="40"/>
        <v>5221240.8443096299</v>
      </c>
      <c r="S150" s="285"/>
      <c r="T150" s="285"/>
      <c r="U150" s="285"/>
      <c r="V150" s="285"/>
      <c r="W150" s="285"/>
      <c r="X150" s="285"/>
      <c r="Y150" s="285"/>
      <c r="Z150" s="285"/>
      <c r="AA150" s="285"/>
      <c r="AB150" s="285"/>
      <c r="AC150" s="285"/>
    </row>
    <row r="151" spans="1:29">
      <c r="A151" s="312"/>
      <c r="B151" s="309"/>
      <c r="C151" s="295"/>
      <c r="D151" s="306"/>
      <c r="E151" s="306"/>
      <c r="F151" s="306"/>
      <c r="G151" s="67" t="s">
        <v>158</v>
      </c>
      <c r="H151" s="31">
        <v>0</v>
      </c>
      <c r="I151" s="31">
        <v>0</v>
      </c>
      <c r="J151" s="31">
        <v>3839783.6812207024</v>
      </c>
      <c r="K151" s="31">
        <v>5434313.7378271203</v>
      </c>
      <c r="L151" s="31">
        <v>4326209.8953828774</v>
      </c>
      <c r="M151" s="31">
        <v>0</v>
      </c>
      <c r="N151" s="31">
        <v>0</v>
      </c>
      <c r="O151" s="31">
        <v>0</v>
      </c>
      <c r="P151" s="31">
        <v>0</v>
      </c>
      <c r="Q151" s="31">
        <v>0</v>
      </c>
      <c r="R151" s="99">
        <f t="shared" si="40"/>
        <v>13600307.314430701</v>
      </c>
      <c r="S151" s="285"/>
      <c r="T151" s="285"/>
      <c r="U151" s="285"/>
      <c r="V151" s="285"/>
      <c r="W151" s="285"/>
      <c r="X151" s="285"/>
      <c r="Y151" s="285"/>
      <c r="Z151" s="285"/>
      <c r="AA151" s="285"/>
      <c r="AB151" s="285"/>
      <c r="AC151" s="285"/>
    </row>
    <row r="152" spans="1:29">
      <c r="A152" s="312"/>
      <c r="B152" s="309"/>
      <c r="C152" s="295"/>
      <c r="D152" s="306"/>
      <c r="E152" s="306"/>
      <c r="F152" s="306"/>
      <c r="G152" s="67" t="s">
        <v>159</v>
      </c>
      <c r="H152" s="31">
        <v>0</v>
      </c>
      <c r="I152" s="31">
        <v>0</v>
      </c>
      <c r="J152" s="31">
        <v>0</v>
      </c>
      <c r="K152" s="31">
        <v>0</v>
      </c>
      <c r="L152" s="31">
        <v>0</v>
      </c>
      <c r="M152" s="31">
        <v>2487892.5863205474</v>
      </c>
      <c r="N152" s="31">
        <v>1131778.0842546034</v>
      </c>
      <c r="O152" s="31">
        <v>0</v>
      </c>
      <c r="P152" s="31">
        <v>0</v>
      </c>
      <c r="Q152" s="31">
        <v>0</v>
      </c>
      <c r="R152" s="99">
        <f t="shared" si="40"/>
        <v>3619670.6705751508</v>
      </c>
      <c r="S152" s="285"/>
      <c r="T152" s="285"/>
      <c r="U152" s="285"/>
      <c r="V152" s="285"/>
      <c r="W152" s="285"/>
      <c r="X152" s="285"/>
      <c r="Y152" s="285"/>
      <c r="Z152" s="285"/>
      <c r="AA152" s="285"/>
      <c r="AB152" s="285"/>
      <c r="AC152" s="285"/>
    </row>
    <row r="153" spans="1:29">
      <c r="A153" s="312"/>
      <c r="B153" s="309"/>
      <c r="C153" s="295"/>
      <c r="D153" s="306"/>
      <c r="E153" s="306"/>
      <c r="F153" s="306"/>
      <c r="G153" s="67" t="s">
        <v>160</v>
      </c>
      <c r="H153" s="31">
        <v>0</v>
      </c>
      <c r="I153" s="31">
        <v>0</v>
      </c>
      <c r="J153" s="31">
        <v>0</v>
      </c>
      <c r="K153" s="31">
        <v>0</v>
      </c>
      <c r="L153" s="31">
        <v>0</v>
      </c>
      <c r="M153" s="31">
        <v>0</v>
      </c>
      <c r="N153" s="31">
        <v>2688574.2286861772</v>
      </c>
      <c r="O153" s="31">
        <v>3805131.1414635088</v>
      </c>
      <c r="P153" s="31">
        <v>3029299.2796989083</v>
      </c>
      <c r="Q153" s="31">
        <v>0</v>
      </c>
      <c r="R153" s="99">
        <f t="shared" si="40"/>
        <v>9523004.6498485953</v>
      </c>
      <c r="S153" s="285"/>
      <c r="T153" s="285"/>
      <c r="U153" s="285"/>
      <c r="V153" s="285"/>
      <c r="W153" s="285"/>
      <c r="X153" s="285"/>
      <c r="Y153" s="285"/>
      <c r="Z153" s="285"/>
      <c r="AA153" s="285"/>
      <c r="AB153" s="285"/>
      <c r="AC153" s="285"/>
    </row>
    <row r="154" spans="1:29">
      <c r="A154" s="312"/>
      <c r="B154" s="309"/>
      <c r="C154" s="321"/>
      <c r="D154" s="307"/>
      <c r="E154" s="307"/>
      <c r="F154" s="307"/>
      <c r="G154" s="40" t="s">
        <v>132</v>
      </c>
      <c r="H154" s="32">
        <f>SUM(H144:H153)</f>
        <v>0</v>
      </c>
      <c r="I154" s="32">
        <f t="shared" ref="I154" si="41">SUM(I144:I153)</f>
        <v>0</v>
      </c>
      <c r="J154" s="32">
        <f t="shared" ref="J154" si="42">SUM(J144:J153)</f>
        <v>8822156.6560432278</v>
      </c>
      <c r="K154" s="32">
        <f t="shared" ref="K154" si="43">SUM(K144:K153)</f>
        <v>11780556.687092451</v>
      </c>
      <c r="L154" s="32">
        <f t="shared" ref="L154" si="44">SUM(L144:L153)</f>
        <v>11453926.478808731</v>
      </c>
      <c r="M154" s="32">
        <f t="shared" ref="M154" si="45">SUM(M144:M153)</f>
        <v>33039928.092672959</v>
      </c>
      <c r="N154" s="32">
        <f t="shared" ref="N154" si="46">SUM(N144:N153)</f>
        <v>37121702.705581442</v>
      </c>
      <c r="O154" s="32">
        <f t="shared" ref="O154" si="47">SUM(O144:O153)</f>
        <v>30443237.386038624</v>
      </c>
      <c r="P154" s="32">
        <f t="shared" ref="P154" si="48">SUM(P144:P153)</f>
        <v>15639030.136119884</v>
      </c>
      <c r="Q154" s="32">
        <f t="shared" ref="Q154" si="49">SUM(Q144:Q153)</f>
        <v>0</v>
      </c>
      <c r="R154" s="99">
        <f t="shared" ref="R154" si="50">SUM(H154:Q154)</f>
        <v>148300538.14235732</v>
      </c>
      <c r="S154" s="285"/>
      <c r="T154" s="285"/>
      <c r="U154" s="285"/>
      <c r="V154" s="285"/>
      <c r="W154" s="285"/>
      <c r="X154" s="285"/>
      <c r="Y154" s="285"/>
      <c r="Z154" s="285"/>
      <c r="AA154" s="285"/>
      <c r="AB154" s="285"/>
      <c r="AC154" s="285"/>
    </row>
    <row r="155" spans="1:29">
      <c r="A155" s="312"/>
      <c r="B155" s="309"/>
      <c r="C155" s="300"/>
      <c r="D155" s="300"/>
      <c r="E155" s="300"/>
      <c r="F155" s="300"/>
      <c r="G155" s="300"/>
      <c r="H155" s="300"/>
      <c r="I155" s="300"/>
      <c r="J155" s="300"/>
      <c r="K155" s="300"/>
      <c r="L155" s="300"/>
      <c r="M155" s="300"/>
      <c r="N155" s="300"/>
      <c r="O155" s="300"/>
      <c r="P155" s="300"/>
      <c r="Q155" s="300"/>
      <c r="R155" s="301"/>
    </row>
    <row r="156" spans="1:29">
      <c r="A156" s="312"/>
      <c r="B156" s="309"/>
      <c r="C156" s="113" t="s">
        <v>133</v>
      </c>
      <c r="D156" s="52" t="s">
        <v>63</v>
      </c>
      <c r="E156" s="52" t="s">
        <v>49</v>
      </c>
      <c r="F156" s="53" t="s">
        <v>64</v>
      </c>
      <c r="G156" s="52" t="s">
        <v>63</v>
      </c>
      <c r="H156" s="39">
        <v>0</v>
      </c>
      <c r="I156" s="39">
        <v>0</v>
      </c>
      <c r="J156" s="39">
        <v>0</v>
      </c>
      <c r="K156" s="39">
        <v>4000000</v>
      </c>
      <c r="L156" s="39">
        <v>8000000</v>
      </c>
      <c r="M156" s="39">
        <v>12000000</v>
      </c>
      <c r="N156" s="39">
        <v>12000000</v>
      </c>
      <c r="O156" s="39">
        <v>10000000</v>
      </c>
      <c r="P156" s="39">
        <v>4000000</v>
      </c>
      <c r="Q156" s="39">
        <v>0</v>
      </c>
      <c r="R156" s="98">
        <f>SUM(H156:Q156)</f>
        <v>50000000</v>
      </c>
    </row>
    <row r="157" spans="1:29">
      <c r="A157" s="312"/>
      <c r="B157" s="309"/>
      <c r="C157" s="300"/>
      <c r="D157" s="300"/>
      <c r="E157" s="300"/>
      <c r="F157" s="300"/>
      <c r="G157" s="300"/>
      <c r="H157" s="300"/>
      <c r="I157" s="300"/>
      <c r="J157" s="300"/>
      <c r="K157" s="300"/>
      <c r="L157" s="300"/>
      <c r="M157" s="300"/>
      <c r="N157" s="300"/>
      <c r="O157" s="300"/>
      <c r="P157" s="300"/>
      <c r="Q157" s="300"/>
      <c r="R157" s="301"/>
    </row>
    <row r="158" spans="1:29" ht="25.5">
      <c r="A158" s="312"/>
      <c r="B158" s="119" t="s">
        <v>206</v>
      </c>
      <c r="C158" s="46"/>
      <c r="D158" s="46"/>
      <c r="E158" s="46"/>
      <c r="F158" s="56"/>
      <c r="G158" s="46"/>
      <c r="H158" s="47">
        <f>H98+H99+H113+H114+H128+H142+H156</f>
        <v>0</v>
      </c>
      <c r="I158" s="47">
        <f t="shared" ref="I158:Q158" si="51">I98+I99+I113+I114+I128+I142+I156</f>
        <v>0</v>
      </c>
      <c r="J158" s="47">
        <f t="shared" si="51"/>
        <v>105000000</v>
      </c>
      <c r="K158" s="47">
        <f t="shared" si="51"/>
        <v>131500000</v>
      </c>
      <c r="L158" s="47">
        <f t="shared" si="51"/>
        <v>155500000</v>
      </c>
      <c r="M158" s="47">
        <f t="shared" si="51"/>
        <v>329500000</v>
      </c>
      <c r="N158" s="47">
        <f t="shared" si="51"/>
        <v>339500000</v>
      </c>
      <c r="O158" s="47">
        <f t="shared" si="51"/>
        <v>260000000</v>
      </c>
      <c r="P158" s="47">
        <f t="shared" si="51"/>
        <v>79000000</v>
      </c>
      <c r="Q158" s="47">
        <f t="shared" si="51"/>
        <v>0</v>
      </c>
      <c r="R158" s="101">
        <f>SUM(H158:Q158)</f>
        <v>1400000000</v>
      </c>
    </row>
    <row r="159" spans="1:29" ht="25.5">
      <c r="A159" s="312"/>
      <c r="B159" s="111" t="s">
        <v>207</v>
      </c>
      <c r="C159" s="46"/>
      <c r="D159" s="46"/>
      <c r="E159" s="46"/>
      <c r="F159" s="56"/>
      <c r="G159" s="46"/>
      <c r="H159" s="47">
        <f>H158-H156</f>
        <v>0</v>
      </c>
      <c r="I159" s="47">
        <f t="shared" ref="I159:Q159" si="52">I158-I156</f>
        <v>0</v>
      </c>
      <c r="J159" s="47">
        <f t="shared" si="52"/>
        <v>105000000</v>
      </c>
      <c r="K159" s="47">
        <f t="shared" si="52"/>
        <v>127500000</v>
      </c>
      <c r="L159" s="47">
        <f t="shared" si="52"/>
        <v>147500000</v>
      </c>
      <c r="M159" s="47">
        <f t="shared" si="52"/>
        <v>317500000</v>
      </c>
      <c r="N159" s="47">
        <f t="shared" si="52"/>
        <v>327500000</v>
      </c>
      <c r="O159" s="47">
        <f t="shared" si="52"/>
        <v>250000000</v>
      </c>
      <c r="P159" s="47">
        <f t="shared" si="52"/>
        <v>75000000</v>
      </c>
      <c r="Q159" s="47">
        <f t="shared" si="52"/>
        <v>0</v>
      </c>
      <c r="R159" s="101">
        <f>SUM(H159:Q159)</f>
        <v>1350000000</v>
      </c>
    </row>
    <row r="160" spans="1:29" ht="13.5" thickBot="1">
      <c r="A160" s="313"/>
      <c r="B160" s="112" t="s">
        <v>130</v>
      </c>
      <c r="C160" s="48"/>
      <c r="D160" s="48"/>
      <c r="E160" s="48"/>
      <c r="F160" s="57"/>
      <c r="G160" s="48"/>
      <c r="H160" s="49">
        <f t="shared" ref="H160:Q160" si="53">H111+H126+H140+H154</f>
        <v>0</v>
      </c>
      <c r="I160" s="49">
        <f t="shared" si="53"/>
        <v>0</v>
      </c>
      <c r="J160" s="49">
        <f t="shared" si="53"/>
        <v>87954375.130803928</v>
      </c>
      <c r="K160" s="49">
        <f t="shared" si="53"/>
        <v>116137957.908962</v>
      </c>
      <c r="L160" s="49">
        <f t="shared" si="53"/>
        <v>131129254.02731624</v>
      </c>
      <c r="M160" s="49">
        <f t="shared" si="53"/>
        <v>312363908.4172824</v>
      </c>
      <c r="N160" s="49">
        <f t="shared" si="53"/>
        <v>320373686.37563366</v>
      </c>
      <c r="O160" s="49">
        <f t="shared" si="53"/>
        <v>243975726.07944795</v>
      </c>
      <c r="P160" s="49">
        <f t="shared" si="53"/>
        <v>124959309.69621211</v>
      </c>
      <c r="Q160" s="49">
        <f t="shared" si="53"/>
        <v>0</v>
      </c>
      <c r="R160" s="103">
        <f>SUM(H160:Q160)</f>
        <v>1336894217.6356583</v>
      </c>
    </row>
    <row r="161" spans="1:18" ht="13.5" thickBot="1">
      <c r="A161" s="293"/>
      <c r="B161" s="294"/>
      <c r="C161" s="294"/>
      <c r="D161" s="294"/>
      <c r="E161" s="294"/>
      <c r="F161" s="294"/>
      <c r="G161" s="294"/>
      <c r="H161" s="294"/>
      <c r="I161" s="294"/>
      <c r="J161" s="294"/>
      <c r="K161" s="294"/>
      <c r="L161" s="294"/>
      <c r="M161" s="294"/>
      <c r="N161" s="294"/>
      <c r="O161" s="294"/>
      <c r="P161" s="294"/>
      <c r="Q161" s="294"/>
      <c r="R161" s="295"/>
    </row>
    <row r="162" spans="1:18" ht="26.25" thickBot="1">
      <c r="A162" s="296" t="s">
        <v>66</v>
      </c>
      <c r="B162" s="326" t="s">
        <v>150</v>
      </c>
      <c r="C162" s="257" t="s">
        <v>47</v>
      </c>
      <c r="D162" s="257" t="s">
        <v>32</v>
      </c>
      <c r="E162" s="257" t="s">
        <v>68</v>
      </c>
      <c r="F162" s="258" t="s">
        <v>69</v>
      </c>
      <c r="G162" s="257"/>
      <c r="H162" s="259">
        <f>'Detailed Budget'!G20</f>
        <v>0</v>
      </c>
      <c r="I162" s="259">
        <f>'Detailed Budget'!H20</f>
        <v>0</v>
      </c>
      <c r="J162" s="259">
        <f>SUM(J164:J165)</f>
        <v>1296888</v>
      </c>
      <c r="K162" s="259">
        <f t="shared" ref="K162:N162" si="54">SUM(K164:K165)</f>
        <v>983904</v>
      </c>
      <c r="L162" s="259">
        <f t="shared" si="54"/>
        <v>1085144</v>
      </c>
      <c r="M162" s="259">
        <f t="shared" si="54"/>
        <v>852336</v>
      </c>
      <c r="N162" s="259">
        <f t="shared" si="54"/>
        <v>781728</v>
      </c>
      <c r="O162" s="259">
        <f>'Detailed Budget'!N20</f>
        <v>0</v>
      </c>
      <c r="P162" s="259">
        <f>'Detailed Budget'!O20</f>
        <v>0</v>
      </c>
      <c r="Q162" s="259">
        <f>'Detailed Budget'!P20</f>
        <v>0</v>
      </c>
      <c r="R162" s="260">
        <f t="shared" si="5"/>
        <v>5000000</v>
      </c>
    </row>
    <row r="163" spans="1:18">
      <c r="A163" s="297"/>
      <c r="B163" s="327"/>
      <c r="C163" s="329"/>
      <c r="D163" s="323"/>
      <c r="E163" s="323"/>
      <c r="F163" s="323"/>
      <c r="G163" s="323"/>
      <c r="H163" s="323"/>
      <c r="I163" s="323"/>
      <c r="J163" s="323"/>
      <c r="K163" s="323"/>
      <c r="L163" s="323"/>
      <c r="M163" s="323"/>
      <c r="N163" s="323"/>
      <c r="O163" s="323"/>
      <c r="P163" s="323"/>
      <c r="Q163" s="323"/>
      <c r="R163" s="324"/>
    </row>
    <row r="164" spans="1:18" s="33" customFormat="1">
      <c r="A164" s="297"/>
      <c r="B164" s="327"/>
      <c r="C164" s="302"/>
      <c r="D164" s="302"/>
      <c r="E164" s="302"/>
      <c r="F164" s="302" t="s">
        <v>69</v>
      </c>
      <c r="G164" s="40" t="s">
        <v>161</v>
      </c>
      <c r="H164" s="32"/>
      <c r="I164" s="32"/>
      <c r="J164" s="31">
        <v>809128</v>
      </c>
      <c r="K164" s="31">
        <v>455144</v>
      </c>
      <c r="L164" s="31">
        <v>318824</v>
      </c>
      <c r="M164" s="31">
        <v>427176</v>
      </c>
      <c r="N164" s="31">
        <v>378448</v>
      </c>
      <c r="O164" s="32"/>
      <c r="P164" s="32"/>
      <c r="Q164" s="32"/>
      <c r="R164" s="99"/>
    </row>
    <row r="165" spans="1:18" s="33" customFormat="1">
      <c r="A165" s="297"/>
      <c r="B165" s="327"/>
      <c r="C165" s="304"/>
      <c r="D165" s="304"/>
      <c r="E165" s="304"/>
      <c r="F165" s="304"/>
      <c r="G165" s="40" t="s">
        <v>162</v>
      </c>
      <c r="H165" s="32">
        <v>0</v>
      </c>
      <c r="I165" s="32">
        <v>0</v>
      </c>
      <c r="J165" s="31">
        <v>487760</v>
      </c>
      <c r="K165" s="31">
        <v>528760</v>
      </c>
      <c r="L165" s="31">
        <v>766320</v>
      </c>
      <c r="M165" s="31">
        <v>425160</v>
      </c>
      <c r="N165" s="31">
        <v>403280</v>
      </c>
      <c r="O165" s="32"/>
      <c r="P165" s="32"/>
      <c r="Q165" s="32"/>
      <c r="R165" s="99">
        <f t="shared" ref="R165:R170" si="55">SUM(H165:Q165)</f>
        <v>2611280</v>
      </c>
    </row>
    <row r="166" spans="1:18" s="33" customFormat="1" ht="13.5" thickBot="1">
      <c r="A166" s="297"/>
      <c r="B166" s="327"/>
      <c r="C166" s="157"/>
      <c r="D166" s="157"/>
      <c r="E166" s="157"/>
      <c r="F166" s="157"/>
      <c r="G166" s="252"/>
      <c r="H166" s="253"/>
      <c r="I166" s="253"/>
      <c r="J166" s="253"/>
      <c r="K166" s="253"/>
      <c r="L166" s="253"/>
      <c r="M166" s="253"/>
      <c r="N166" s="253"/>
      <c r="O166" s="253"/>
      <c r="P166" s="253"/>
      <c r="Q166" s="253"/>
      <c r="R166" s="254"/>
    </row>
    <row r="167" spans="1:18" s="33" customFormat="1" ht="26.25" thickBot="1">
      <c r="A167" s="297"/>
      <c r="B167" s="327"/>
      <c r="C167" s="257" t="s">
        <v>31</v>
      </c>
      <c r="D167" s="257" t="s">
        <v>32</v>
      </c>
      <c r="E167" s="257" t="s">
        <v>68</v>
      </c>
      <c r="F167" s="258" t="s">
        <v>70</v>
      </c>
      <c r="G167" s="257"/>
      <c r="H167" s="259">
        <f>'Detailed Budget'!G21</f>
        <v>0</v>
      </c>
      <c r="I167" s="259">
        <f>'Detailed Budget'!H21</f>
        <v>0</v>
      </c>
      <c r="J167" s="259">
        <f>SUM(J169:J170)</f>
        <v>1006448</v>
      </c>
      <c r="K167" s="259">
        <f t="shared" ref="K167:N167" si="56">SUM(K169:K170)</f>
        <v>1069584</v>
      </c>
      <c r="L167" s="259">
        <f t="shared" si="56"/>
        <v>1164512</v>
      </c>
      <c r="M167" s="259">
        <f t="shared" si="56"/>
        <v>879728</v>
      </c>
      <c r="N167" s="259">
        <f t="shared" si="56"/>
        <v>879728</v>
      </c>
      <c r="O167" s="259">
        <f>'Detailed Budget'!N21</f>
        <v>0</v>
      </c>
      <c r="P167" s="259">
        <f>'Detailed Budget'!O21</f>
        <v>0</v>
      </c>
      <c r="Q167" s="259">
        <f>'Detailed Budget'!P21</f>
        <v>0</v>
      </c>
      <c r="R167" s="260">
        <f>SUM(H167:Q167)</f>
        <v>5000000</v>
      </c>
    </row>
    <row r="168" spans="1:18" s="33" customFormat="1">
      <c r="A168" s="297"/>
      <c r="B168" s="327"/>
      <c r="C168" s="158"/>
      <c r="D168" s="158"/>
      <c r="E168" s="158"/>
      <c r="F168" s="158"/>
      <c r="G168" s="159"/>
      <c r="H168" s="255"/>
      <c r="I168" s="255"/>
      <c r="J168" s="255"/>
      <c r="K168" s="255"/>
      <c r="L168" s="255"/>
      <c r="M168" s="255"/>
      <c r="N168" s="255"/>
      <c r="O168" s="255"/>
      <c r="P168" s="255"/>
      <c r="Q168" s="255"/>
      <c r="R168" s="256"/>
    </row>
    <row r="169" spans="1:18">
      <c r="A169" s="297"/>
      <c r="B169" s="327"/>
      <c r="C169" s="302"/>
      <c r="D169" s="302"/>
      <c r="E169" s="302"/>
      <c r="F169" s="302" t="s">
        <v>70</v>
      </c>
      <c r="G169" s="40" t="s">
        <v>161</v>
      </c>
      <c r="H169" s="31">
        <v>0</v>
      </c>
      <c r="I169" s="31">
        <v>0</v>
      </c>
      <c r="J169" s="31">
        <v>427328</v>
      </c>
      <c r="K169" s="31">
        <v>617184</v>
      </c>
      <c r="L169" s="31">
        <v>712112</v>
      </c>
      <c r="M169" s="31">
        <v>427328</v>
      </c>
      <c r="N169" s="31">
        <v>427328</v>
      </c>
      <c r="O169" s="31">
        <v>0</v>
      </c>
      <c r="P169" s="31">
        <v>0</v>
      </c>
      <c r="Q169" s="31">
        <v>0</v>
      </c>
      <c r="R169" s="154">
        <f t="shared" si="55"/>
        <v>2611280</v>
      </c>
    </row>
    <row r="170" spans="1:18">
      <c r="A170" s="297"/>
      <c r="B170" s="327"/>
      <c r="C170" s="303"/>
      <c r="D170" s="303"/>
      <c r="E170" s="303"/>
      <c r="F170" s="303"/>
      <c r="G170" s="40" t="s">
        <v>162</v>
      </c>
      <c r="H170" s="31">
        <v>0</v>
      </c>
      <c r="I170" s="31">
        <v>0</v>
      </c>
      <c r="J170" s="31">
        <v>579120</v>
      </c>
      <c r="K170" s="31">
        <v>452400</v>
      </c>
      <c r="L170" s="31">
        <v>452400</v>
      </c>
      <c r="M170" s="31">
        <v>452400</v>
      </c>
      <c r="N170" s="31">
        <v>452400</v>
      </c>
      <c r="O170" s="31">
        <v>0</v>
      </c>
      <c r="P170" s="31">
        <v>0</v>
      </c>
      <c r="Q170" s="31">
        <v>0</v>
      </c>
      <c r="R170" s="99">
        <f t="shared" si="55"/>
        <v>2388720</v>
      </c>
    </row>
    <row r="171" spans="1:18">
      <c r="A171" s="297"/>
      <c r="B171" s="328"/>
      <c r="C171" s="299"/>
      <c r="D171" s="300"/>
      <c r="E171" s="300"/>
      <c r="F171" s="300"/>
      <c r="G171" s="300"/>
      <c r="H171" s="300"/>
      <c r="I171" s="300"/>
      <c r="J171" s="300"/>
      <c r="K171" s="300"/>
      <c r="L171" s="300"/>
      <c r="M171" s="300"/>
      <c r="N171" s="300"/>
      <c r="O171" s="300"/>
      <c r="P171" s="300"/>
      <c r="Q171" s="300"/>
      <c r="R171" s="301"/>
    </row>
    <row r="172" spans="1:18">
      <c r="A172" s="297"/>
      <c r="B172" s="46" t="s">
        <v>136</v>
      </c>
      <c r="C172" s="46"/>
      <c r="D172" s="46"/>
      <c r="E172" s="46"/>
      <c r="F172" s="56"/>
      <c r="G172" s="46"/>
      <c r="H172" s="54">
        <f t="shared" ref="H172:Q172" si="57">H162+H167</f>
        <v>0</v>
      </c>
      <c r="I172" s="54">
        <f t="shared" si="57"/>
        <v>0</v>
      </c>
      <c r="J172" s="54">
        <f t="shared" si="57"/>
        <v>2303336</v>
      </c>
      <c r="K172" s="54">
        <f t="shared" si="57"/>
        <v>2053488</v>
      </c>
      <c r="L172" s="54">
        <f t="shared" si="57"/>
        <v>2249656</v>
      </c>
      <c r="M172" s="54">
        <f t="shared" si="57"/>
        <v>1732064</v>
      </c>
      <c r="N172" s="54">
        <f t="shared" si="57"/>
        <v>1661456</v>
      </c>
      <c r="O172" s="54">
        <f t="shared" si="57"/>
        <v>0</v>
      </c>
      <c r="P172" s="54">
        <f t="shared" si="57"/>
        <v>0</v>
      </c>
      <c r="Q172" s="54">
        <f t="shared" si="57"/>
        <v>0</v>
      </c>
      <c r="R172" s="100">
        <f t="shared" si="5"/>
        <v>10000000</v>
      </c>
    </row>
    <row r="173" spans="1:18" ht="13.5" thickBot="1">
      <c r="A173" s="298"/>
      <c r="B173" s="48" t="s">
        <v>137</v>
      </c>
      <c r="C173" s="48"/>
      <c r="D173" s="48"/>
      <c r="E173" s="48"/>
      <c r="F173" s="57"/>
      <c r="G173" s="48"/>
      <c r="H173" s="55">
        <f>H162+H167</f>
        <v>0</v>
      </c>
      <c r="I173" s="55">
        <f t="shared" ref="I173:Q173" si="58">I162+I167</f>
        <v>0</v>
      </c>
      <c r="J173" s="55">
        <f t="shared" si="58"/>
        <v>2303336</v>
      </c>
      <c r="K173" s="55">
        <f t="shared" si="58"/>
        <v>2053488</v>
      </c>
      <c r="L173" s="55">
        <f t="shared" si="58"/>
        <v>2249656</v>
      </c>
      <c r="M173" s="55">
        <f t="shared" si="58"/>
        <v>1732064</v>
      </c>
      <c r="N173" s="55">
        <f t="shared" si="58"/>
        <v>1661456</v>
      </c>
      <c r="O173" s="55">
        <f t="shared" si="58"/>
        <v>0</v>
      </c>
      <c r="P173" s="55">
        <f t="shared" si="58"/>
        <v>0</v>
      </c>
      <c r="Q173" s="55">
        <f t="shared" si="58"/>
        <v>0</v>
      </c>
      <c r="R173" s="102">
        <f t="shared" si="5"/>
        <v>10000000</v>
      </c>
    </row>
    <row r="174" spans="1:18" ht="13.5" thickBot="1">
      <c r="A174" s="293"/>
      <c r="B174" s="294"/>
      <c r="C174" s="294"/>
      <c r="D174" s="294"/>
      <c r="E174" s="294"/>
      <c r="F174" s="294"/>
      <c r="G174" s="294"/>
      <c r="H174" s="294"/>
      <c r="I174" s="294"/>
      <c r="J174" s="294"/>
      <c r="K174" s="294"/>
      <c r="L174" s="294"/>
      <c r="M174" s="294"/>
      <c r="N174" s="294"/>
      <c r="O174" s="294"/>
      <c r="P174" s="294"/>
      <c r="Q174" s="294"/>
      <c r="R174" s="295"/>
    </row>
    <row r="175" spans="1:18">
      <c r="A175" s="58" t="s">
        <v>197</v>
      </c>
      <c r="B175" s="59"/>
      <c r="C175" s="59"/>
      <c r="D175" s="59"/>
      <c r="E175" s="59"/>
      <c r="F175" s="127"/>
      <c r="G175" s="59"/>
      <c r="H175" s="60">
        <f t="shared" ref="H175:Q175" si="59">H74+H158+H172</f>
        <v>450000</v>
      </c>
      <c r="I175" s="60">
        <f t="shared" si="59"/>
        <v>20700000</v>
      </c>
      <c r="J175" s="60">
        <f t="shared" si="59"/>
        <v>128153336</v>
      </c>
      <c r="K175" s="60">
        <f t="shared" si="59"/>
        <v>148553488</v>
      </c>
      <c r="L175" s="60">
        <f t="shared" si="59"/>
        <v>162749656</v>
      </c>
      <c r="M175" s="60">
        <f t="shared" si="59"/>
        <v>331232064</v>
      </c>
      <c r="N175" s="60">
        <f t="shared" si="59"/>
        <v>341161456</v>
      </c>
      <c r="O175" s="60">
        <f t="shared" si="59"/>
        <v>260000000</v>
      </c>
      <c r="P175" s="60">
        <f t="shared" si="59"/>
        <v>79000000</v>
      </c>
      <c r="Q175" s="60">
        <f t="shared" si="59"/>
        <v>0</v>
      </c>
      <c r="R175" s="104">
        <f>SUM(H175:Q175)</f>
        <v>1472000000</v>
      </c>
    </row>
    <row r="176" spans="1:18">
      <c r="A176" s="86" t="s">
        <v>134</v>
      </c>
      <c r="B176" s="87"/>
      <c r="C176" s="87"/>
      <c r="D176" s="87"/>
      <c r="E176" s="87"/>
      <c r="F176" s="128"/>
      <c r="G176" s="87"/>
      <c r="H176" s="88">
        <f t="shared" ref="H176:Q176" si="60">H74+H159+H172</f>
        <v>450000</v>
      </c>
      <c r="I176" s="88">
        <f t="shared" si="60"/>
        <v>20700000</v>
      </c>
      <c r="J176" s="88">
        <f t="shared" si="60"/>
        <v>128153336</v>
      </c>
      <c r="K176" s="88">
        <f t="shared" si="60"/>
        <v>144553488</v>
      </c>
      <c r="L176" s="88">
        <f t="shared" si="60"/>
        <v>154749656</v>
      </c>
      <c r="M176" s="88">
        <f t="shared" si="60"/>
        <v>319232064</v>
      </c>
      <c r="N176" s="88">
        <f t="shared" si="60"/>
        <v>329161456</v>
      </c>
      <c r="O176" s="88">
        <f t="shared" si="60"/>
        <v>250000000</v>
      </c>
      <c r="P176" s="88">
        <f t="shared" si="60"/>
        <v>75000000</v>
      </c>
      <c r="Q176" s="88">
        <f t="shared" si="60"/>
        <v>0</v>
      </c>
      <c r="R176" s="105">
        <f>SUM(H176:Q176)</f>
        <v>1422000000</v>
      </c>
    </row>
    <row r="177" spans="1:18">
      <c r="A177" s="61" t="s">
        <v>135</v>
      </c>
      <c r="B177" s="62"/>
      <c r="C177" s="62"/>
      <c r="D177" s="62"/>
      <c r="E177" s="62"/>
      <c r="F177" s="129"/>
      <c r="G177" s="62"/>
      <c r="H177" s="63">
        <f>H41+H98++H99+H162</f>
        <v>0</v>
      </c>
      <c r="I177" s="63">
        <f t="shared" ref="I177:Q177" si="61">I41+I98++I99+I162</f>
        <v>10000000</v>
      </c>
      <c r="J177" s="63">
        <f t="shared" si="61"/>
        <v>31296888</v>
      </c>
      <c r="K177" s="63">
        <f t="shared" si="61"/>
        <v>35983904</v>
      </c>
      <c r="L177" s="63">
        <f t="shared" si="61"/>
        <v>41085144</v>
      </c>
      <c r="M177" s="63">
        <f t="shared" si="61"/>
        <v>55852336</v>
      </c>
      <c r="N177" s="63">
        <f t="shared" si="61"/>
        <v>40781728</v>
      </c>
      <c r="O177" s="63">
        <f t="shared" si="61"/>
        <v>20000000</v>
      </c>
      <c r="P177" s="63">
        <f t="shared" si="61"/>
        <v>0</v>
      </c>
      <c r="Q177" s="63">
        <f t="shared" si="61"/>
        <v>0</v>
      </c>
      <c r="R177" s="106">
        <f>SUM(H177:Q177)</f>
        <v>235000000</v>
      </c>
    </row>
    <row r="178" spans="1:18" ht="13.5" thickBot="1">
      <c r="A178" s="64" t="s">
        <v>205</v>
      </c>
      <c r="B178" s="65"/>
      <c r="C178" s="65"/>
      <c r="D178" s="65"/>
      <c r="E178" s="65"/>
      <c r="F178" s="130"/>
      <c r="G178" s="65"/>
      <c r="H178" s="66">
        <f t="shared" ref="H178:Q178" si="62">H75+H160+H173</f>
        <v>378562.5</v>
      </c>
      <c r="I178" s="66">
        <f t="shared" si="62"/>
        <v>6727051.5339322463</v>
      </c>
      <c r="J178" s="66">
        <f t="shared" si="62"/>
        <v>100695835.5468919</v>
      </c>
      <c r="K178" s="66">
        <f t="shared" si="62"/>
        <v>138924963.56363502</v>
      </c>
      <c r="L178" s="66">
        <f t="shared" si="62"/>
        <v>154724999.28330392</v>
      </c>
      <c r="M178" s="66">
        <f t="shared" si="62"/>
        <v>318051563.25865614</v>
      </c>
      <c r="N178" s="66">
        <f t="shared" si="62"/>
        <v>323092980.371952</v>
      </c>
      <c r="O178" s="66">
        <f t="shared" si="62"/>
        <v>245075902.72241232</v>
      </c>
      <c r="P178" s="66">
        <f t="shared" si="62"/>
        <v>126114495.17132469</v>
      </c>
      <c r="Q178" s="66">
        <f t="shared" si="62"/>
        <v>1212944.7488682019</v>
      </c>
      <c r="R178" s="106">
        <f t="shared" si="5"/>
        <v>1414999298.7009766</v>
      </c>
    </row>
    <row r="188" spans="1:18">
      <c r="R188" s="107"/>
    </row>
    <row r="190" spans="1:18">
      <c r="R190" s="108"/>
    </row>
  </sheetData>
  <mergeCells count="68">
    <mergeCell ref="A1:E1"/>
    <mergeCell ref="F164:F165"/>
    <mergeCell ref="E164:E165"/>
    <mergeCell ref="D164:D165"/>
    <mergeCell ref="C164:C165"/>
    <mergeCell ref="C143:R143"/>
    <mergeCell ref="C155:R155"/>
    <mergeCell ref="F144:F154"/>
    <mergeCell ref="E144:E154"/>
    <mergeCell ref="D144:D154"/>
    <mergeCell ref="C144:C154"/>
    <mergeCell ref="C157:R157"/>
    <mergeCell ref="F101:F110"/>
    <mergeCell ref="E101:E110"/>
    <mergeCell ref="F130:F140"/>
    <mergeCell ref="E130:E140"/>
    <mergeCell ref="C169:C170"/>
    <mergeCell ref="D169:D170"/>
    <mergeCell ref="E169:E170"/>
    <mergeCell ref="F169:F170"/>
    <mergeCell ref="B162:B171"/>
    <mergeCell ref="C163:R163"/>
    <mergeCell ref="C171:R171"/>
    <mergeCell ref="A161:R161"/>
    <mergeCell ref="E8:R8"/>
    <mergeCell ref="C115:R115"/>
    <mergeCell ref="F116:F126"/>
    <mergeCell ref="E116:E126"/>
    <mergeCell ref="D116:D126"/>
    <mergeCell ref="C116:C126"/>
    <mergeCell ref="C101:C110"/>
    <mergeCell ref="C100:R100"/>
    <mergeCell ref="B41:B73"/>
    <mergeCell ref="C112:R112"/>
    <mergeCell ref="C141:R141"/>
    <mergeCell ref="D77:D89"/>
    <mergeCell ref="C77:C89"/>
    <mergeCell ref="C129:R129"/>
    <mergeCell ref="C130:C140"/>
    <mergeCell ref="A77:A160"/>
    <mergeCell ref="A6:R6"/>
    <mergeCell ref="A76:R76"/>
    <mergeCell ref="D93:D96"/>
    <mergeCell ref="C93:C96"/>
    <mergeCell ref="D101:D110"/>
    <mergeCell ref="C97:R97"/>
    <mergeCell ref="E56:E72"/>
    <mergeCell ref="D56:D72"/>
    <mergeCell ref="C56:C72"/>
    <mergeCell ref="C91:D91"/>
    <mergeCell ref="C92:G92"/>
    <mergeCell ref="D130:D140"/>
    <mergeCell ref="A174:R174"/>
    <mergeCell ref="A162:A173"/>
    <mergeCell ref="C40:R40"/>
    <mergeCell ref="F44:F54"/>
    <mergeCell ref="E44:E54"/>
    <mergeCell ref="D44:D54"/>
    <mergeCell ref="C44:C54"/>
    <mergeCell ref="C73:R73"/>
    <mergeCell ref="C43:R43"/>
    <mergeCell ref="C127:R127"/>
    <mergeCell ref="B7:B40"/>
    <mergeCell ref="D8:D39"/>
    <mergeCell ref="C8:C39"/>
    <mergeCell ref="A7:A75"/>
    <mergeCell ref="C90:G90"/>
    <mergeCell ref="B77:B157"/>
  </mergeCells>
  <phoneticPr fontId="2" type="noConversion"/>
  <pageMargins left="0.70866141732283472" right="0.70866141732283472" top="0.74803149606299213" bottom="0.74803149606299213" header="0.31496062992125984" footer="0.31496062992125984"/>
  <pageSetup paperSize="9" scale="43" orientation="landscape" r:id="rId1"/>
  <headerFooter>
    <oddHeader xml:space="preserve">&amp;CDetailed budget breakdown
</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zoomScaleNormal="100" workbookViewId="0">
      <selection activeCell="B8" sqref="B8"/>
    </sheetView>
  </sheetViews>
  <sheetFormatPr defaultColWidth="9.140625" defaultRowHeight="15"/>
  <cols>
    <col min="1" max="1" width="9.85546875" style="136" customWidth="1"/>
    <col min="2" max="2" width="79.85546875" style="24" customWidth="1"/>
    <col min="3" max="3" width="9.140625" style="24"/>
    <col min="4" max="4" width="20.5703125" style="24" customWidth="1"/>
    <col min="5" max="5" width="13.85546875" style="24" customWidth="1"/>
    <col min="6" max="6" width="15.28515625" style="24" customWidth="1"/>
    <col min="7" max="7" width="10.42578125" style="24" customWidth="1"/>
    <col min="8" max="8" width="11.140625" style="24" customWidth="1"/>
    <col min="9" max="9" width="13.7109375" style="24" customWidth="1"/>
    <col min="10" max="15" width="9.140625" style="24"/>
    <col min="16" max="17" width="8.7109375" style="24" customWidth="1"/>
    <col min="18" max="16384" width="9.140625" style="24"/>
  </cols>
  <sheetData>
    <row r="1" spans="1:2">
      <c r="A1" s="156" t="s">
        <v>78</v>
      </c>
      <c r="B1" s="23"/>
    </row>
    <row r="2" spans="1:2">
      <c r="A2" s="331" t="s">
        <v>79</v>
      </c>
      <c r="B2" s="331"/>
    </row>
    <row r="3" spans="1:2" ht="240">
      <c r="A3" s="155" t="s">
        <v>244</v>
      </c>
      <c r="B3" s="18" t="s">
        <v>243</v>
      </c>
    </row>
    <row r="4" spans="1:2" ht="75">
      <c r="A4" s="70" t="s">
        <v>163</v>
      </c>
      <c r="B4" s="69" t="s">
        <v>362</v>
      </c>
    </row>
    <row r="5" spans="1:2" ht="123.75" customHeight="1">
      <c r="A5" s="70" t="s">
        <v>164</v>
      </c>
      <c r="B5" s="69" t="s">
        <v>363</v>
      </c>
    </row>
    <row r="6" spans="1:2" ht="91.5" customHeight="1">
      <c r="A6" s="70" t="s">
        <v>165</v>
      </c>
      <c r="B6" s="69" t="s">
        <v>80</v>
      </c>
    </row>
    <row r="7" spans="1:2" ht="360">
      <c r="A7" s="70" t="s">
        <v>166</v>
      </c>
      <c r="B7" s="69" t="s">
        <v>258</v>
      </c>
    </row>
    <row r="8" spans="1:2" ht="75">
      <c r="A8" s="70" t="s">
        <v>50</v>
      </c>
      <c r="B8" s="69" t="s">
        <v>365</v>
      </c>
    </row>
    <row r="9" spans="1:2" ht="75">
      <c r="A9" s="70" t="s">
        <v>53</v>
      </c>
      <c r="B9" s="69" t="s">
        <v>81</v>
      </c>
    </row>
    <row r="10" spans="1:2" ht="45">
      <c r="A10" s="70" t="s">
        <v>56</v>
      </c>
      <c r="B10" s="69" t="s">
        <v>82</v>
      </c>
    </row>
    <row r="11" spans="1:2" ht="75">
      <c r="A11" s="70" t="s">
        <v>59</v>
      </c>
      <c r="B11" s="69" t="s">
        <v>83</v>
      </c>
    </row>
    <row r="12" spans="1:2" ht="30">
      <c r="A12" s="70" t="s">
        <v>62</v>
      </c>
      <c r="B12" s="69" t="s">
        <v>84</v>
      </c>
    </row>
    <row r="13" spans="1:2" ht="60">
      <c r="A13" s="70" t="s">
        <v>64</v>
      </c>
      <c r="B13" s="69" t="s">
        <v>169</v>
      </c>
    </row>
    <row r="14" spans="1:2" ht="180">
      <c r="A14" s="70" t="s">
        <v>69</v>
      </c>
      <c r="B14" s="69" t="s">
        <v>170</v>
      </c>
    </row>
    <row r="15" spans="1:2" ht="60">
      <c r="A15" s="70" t="s">
        <v>70</v>
      </c>
      <c r="B15" s="69" t="s">
        <v>168</v>
      </c>
    </row>
    <row r="16" spans="1:2" ht="15.75" thickBot="1"/>
    <row r="17" spans="2:9" ht="30">
      <c r="B17" s="24" t="s">
        <v>259</v>
      </c>
      <c r="C17" s="160" t="s">
        <v>245</v>
      </c>
      <c r="D17" s="161" t="s">
        <v>246</v>
      </c>
      <c r="E17" s="161" t="s">
        <v>247</v>
      </c>
      <c r="F17" s="161" t="s">
        <v>248</v>
      </c>
      <c r="G17" s="161" t="s">
        <v>249</v>
      </c>
      <c r="H17" s="161" t="s">
        <v>250</v>
      </c>
      <c r="I17" s="162" t="s">
        <v>251</v>
      </c>
    </row>
    <row r="18" spans="2:9">
      <c r="C18" s="163">
        <v>1</v>
      </c>
      <c r="D18" s="164" t="s">
        <v>99</v>
      </c>
      <c r="E18" s="165" t="s">
        <v>108</v>
      </c>
      <c r="F18" s="165" t="s">
        <v>252</v>
      </c>
      <c r="G18" s="165" t="s">
        <v>253</v>
      </c>
      <c r="H18" s="165" t="s">
        <v>254</v>
      </c>
      <c r="I18" s="167">
        <v>124875</v>
      </c>
    </row>
    <row r="19" spans="2:9" ht="37.5" customHeight="1">
      <c r="C19" s="163">
        <v>1</v>
      </c>
      <c r="D19" s="164" t="s">
        <v>100</v>
      </c>
      <c r="E19" s="165" t="s">
        <v>108</v>
      </c>
      <c r="F19" s="165" t="s">
        <v>255</v>
      </c>
      <c r="G19" s="165" t="s">
        <v>253</v>
      </c>
      <c r="H19" s="165" t="s">
        <v>254</v>
      </c>
      <c r="I19" s="166">
        <f>36421.875/1.05</f>
        <v>34687.5</v>
      </c>
    </row>
    <row r="20" spans="2:9">
      <c r="C20" s="163">
        <v>2</v>
      </c>
      <c r="D20" s="164" t="s">
        <v>101</v>
      </c>
      <c r="E20" s="165" t="s">
        <v>109</v>
      </c>
      <c r="F20" s="165" t="s">
        <v>256</v>
      </c>
      <c r="G20" s="165" t="s">
        <v>253</v>
      </c>
      <c r="H20" s="165" t="s">
        <v>254</v>
      </c>
      <c r="I20" s="166">
        <f>41625*2</f>
        <v>83250</v>
      </c>
    </row>
    <row r="21" spans="2:9" ht="38.25" customHeight="1">
      <c r="C21" s="163">
        <v>2</v>
      </c>
      <c r="D21" s="164" t="s">
        <v>102</v>
      </c>
      <c r="E21" s="165" t="s">
        <v>110</v>
      </c>
      <c r="F21" s="165" t="s">
        <v>256</v>
      </c>
      <c r="G21" s="165" t="s">
        <v>253</v>
      </c>
      <c r="H21" s="165" t="s">
        <v>254</v>
      </c>
      <c r="I21" s="166">
        <f>(30958.59375/1.05)*2</f>
        <v>58968.75</v>
      </c>
    </row>
    <row r="22" spans="2:9">
      <c r="C22" s="163">
        <v>1</v>
      </c>
      <c r="D22" s="164" t="s">
        <v>103</v>
      </c>
      <c r="E22" s="165" t="s">
        <v>111</v>
      </c>
      <c r="F22" s="165" t="s">
        <v>256</v>
      </c>
      <c r="G22" s="165" t="s">
        <v>253</v>
      </c>
      <c r="H22" s="165" t="s">
        <v>254</v>
      </c>
      <c r="I22" s="166">
        <v>83250</v>
      </c>
    </row>
    <row r="23" spans="2:9">
      <c r="C23" s="163">
        <v>4</v>
      </c>
      <c r="D23" s="164" t="s">
        <v>104</v>
      </c>
      <c r="E23" s="165" t="s">
        <v>111</v>
      </c>
      <c r="F23" s="165" t="s">
        <v>255</v>
      </c>
      <c r="G23" s="165" t="s">
        <v>253</v>
      </c>
      <c r="H23" s="165" t="s">
        <v>254</v>
      </c>
      <c r="I23" s="166">
        <f>(23674.21875/1.05)*4</f>
        <v>90187.5</v>
      </c>
    </row>
    <row r="24" spans="2:9">
      <c r="C24" s="163">
        <v>2</v>
      </c>
      <c r="D24" s="164" t="s">
        <v>105</v>
      </c>
      <c r="E24" s="165" t="s">
        <v>112</v>
      </c>
      <c r="F24" s="165" t="s">
        <v>256</v>
      </c>
      <c r="G24" s="165" t="s">
        <v>253</v>
      </c>
      <c r="H24" s="165" t="s">
        <v>254</v>
      </c>
      <c r="I24" s="166">
        <f>(36421.875/1.05)*2</f>
        <v>69375</v>
      </c>
    </row>
    <row r="25" spans="2:9">
      <c r="C25" s="163">
        <v>2</v>
      </c>
      <c r="D25" s="164" t="s">
        <v>106</v>
      </c>
      <c r="E25" s="165" t="s">
        <v>112</v>
      </c>
      <c r="F25" s="165" t="s">
        <v>255</v>
      </c>
      <c r="G25" s="165" t="s">
        <v>253</v>
      </c>
      <c r="H25" s="165" t="s">
        <v>254</v>
      </c>
      <c r="I25" s="166">
        <f>(23674.21875/1.05)*2</f>
        <v>45093.75</v>
      </c>
    </row>
    <row r="26" spans="2:9">
      <c r="C26" s="163">
        <v>2</v>
      </c>
      <c r="D26" s="164" t="s">
        <v>107</v>
      </c>
      <c r="E26" s="165" t="s">
        <v>113</v>
      </c>
      <c r="F26" s="165" t="s">
        <v>255</v>
      </c>
      <c r="G26" s="165" t="s">
        <v>253</v>
      </c>
      <c r="H26" s="165" t="s">
        <v>254</v>
      </c>
      <c r="I26" s="166">
        <f>(18210.9375/1.05)*2</f>
        <v>34687.5</v>
      </c>
    </row>
  </sheetData>
  <mergeCells count="1">
    <mergeCell ref="A2:B2"/>
  </mergeCells>
  <pageMargins left="0.7" right="0.7" top="0.75" bottom="0.75" header="0.3" footer="0.3"/>
  <pageSetup paperSize="9" orientation="portrait" r:id="rId1"/>
  <headerFooter>
    <oddHeader>&amp;CDetailed budget notes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2FCD-56C4-473D-9CE6-C8B37F7071CD}">
  <dimension ref="B1:R42"/>
  <sheetViews>
    <sheetView workbookViewId="0">
      <selection activeCell="C7" sqref="C7:C27"/>
    </sheetView>
  </sheetViews>
  <sheetFormatPr defaultRowHeight="15"/>
  <cols>
    <col min="2" max="2" width="16.42578125" customWidth="1"/>
    <col min="3" max="3" width="13.42578125" customWidth="1"/>
    <col min="4" max="4" width="14" customWidth="1"/>
    <col min="5" max="5" width="11.5703125" customWidth="1"/>
    <col min="6" max="6" width="15.28515625" customWidth="1"/>
    <col min="10" max="10" width="11.5703125" customWidth="1"/>
    <col min="11" max="11" width="11.7109375" customWidth="1"/>
    <col min="12" max="12" width="11.28515625" customWidth="1"/>
    <col min="13" max="13" width="12.28515625" customWidth="1"/>
    <col min="14" max="14" width="11.7109375" customWidth="1"/>
    <col min="15" max="15" width="11.42578125" customWidth="1"/>
    <col min="16" max="16" width="12.140625" customWidth="1"/>
    <col min="17" max="17" width="22.7109375" customWidth="1"/>
    <col min="18" max="18" width="18.7109375" customWidth="1"/>
  </cols>
  <sheetData>
    <row r="1" spans="2:18">
      <c r="B1" s="250" t="s">
        <v>341</v>
      </c>
      <c r="C1" s="251"/>
      <c r="D1" s="25"/>
      <c r="E1" s="171"/>
    </row>
    <row r="2" spans="2:18">
      <c r="B2" s="250" t="s">
        <v>261</v>
      </c>
      <c r="C2" s="250" t="s">
        <v>361</v>
      </c>
      <c r="E2" s="171"/>
    </row>
    <row r="3" spans="2:18" ht="15.75" thickBot="1">
      <c r="B3" s="169"/>
      <c r="C3" s="170"/>
      <c r="E3" s="171"/>
    </row>
    <row r="4" spans="2:18" ht="15.75" thickBot="1">
      <c r="B4" s="172"/>
      <c r="C4" s="173"/>
      <c r="D4" s="173"/>
      <c r="E4" s="174"/>
      <c r="F4" s="173"/>
      <c r="G4" s="340" t="s">
        <v>262</v>
      </c>
      <c r="H4" s="341"/>
      <c r="I4" s="341"/>
      <c r="J4" s="342"/>
      <c r="K4" s="340" t="s">
        <v>263</v>
      </c>
      <c r="L4" s="341"/>
      <c r="M4" s="341"/>
      <c r="N4" s="341"/>
      <c r="O4" s="341"/>
      <c r="P4" s="341"/>
      <c r="Q4" s="343" t="s">
        <v>264</v>
      </c>
    </row>
    <row r="5" spans="2:18">
      <c r="B5" s="175"/>
      <c r="C5" s="176"/>
      <c r="D5" s="176"/>
      <c r="E5" s="176"/>
      <c r="F5" s="176"/>
      <c r="G5" s="176"/>
      <c r="H5" s="176"/>
      <c r="I5" s="176"/>
      <c r="J5" s="177"/>
      <c r="K5" s="178"/>
      <c r="L5" s="179"/>
      <c r="M5" s="179"/>
      <c r="N5" s="179"/>
      <c r="O5" s="179"/>
      <c r="P5" s="179"/>
      <c r="Q5" s="344"/>
    </row>
    <row r="6" spans="2:18" ht="25.5" thickBot="1">
      <c r="B6" s="180" t="s">
        <v>12</v>
      </c>
      <c r="C6" s="181" t="s">
        <v>265</v>
      </c>
      <c r="D6" s="181" t="s">
        <v>266</v>
      </c>
      <c r="E6" s="181" t="s">
        <v>267</v>
      </c>
      <c r="F6" s="181" t="s">
        <v>268</v>
      </c>
      <c r="G6" s="182" t="s">
        <v>269</v>
      </c>
      <c r="H6" s="182" t="s">
        <v>270</v>
      </c>
      <c r="I6" s="182" t="s">
        <v>271</v>
      </c>
      <c r="J6" s="183" t="s">
        <v>272</v>
      </c>
      <c r="K6" s="180" t="s">
        <v>273</v>
      </c>
      <c r="L6" s="176" t="s">
        <v>274</v>
      </c>
      <c r="M6" s="176" t="s">
        <v>275</v>
      </c>
      <c r="N6" s="176" t="s">
        <v>276</v>
      </c>
      <c r="O6" s="176" t="s">
        <v>277</v>
      </c>
      <c r="P6" s="181" t="s">
        <v>278</v>
      </c>
      <c r="Q6" s="345"/>
    </row>
    <row r="7" spans="2:18" ht="56.25" customHeight="1">
      <c r="B7" s="337" t="s">
        <v>125</v>
      </c>
      <c r="C7" s="346" t="s">
        <v>342</v>
      </c>
      <c r="D7" s="185" t="s">
        <v>343</v>
      </c>
      <c r="E7" s="186" t="s">
        <v>47</v>
      </c>
      <c r="F7" s="187" t="s">
        <v>347</v>
      </c>
      <c r="G7" s="188" t="s">
        <v>282</v>
      </c>
      <c r="H7" s="189">
        <v>490</v>
      </c>
      <c r="I7" s="189">
        <v>16810</v>
      </c>
      <c r="J7" s="190">
        <f>SUM(H7*I7)</f>
        <v>8236900</v>
      </c>
      <c r="K7" s="191">
        <f>$J$7*0</f>
        <v>0</v>
      </c>
      <c r="L7" s="191">
        <f>$J$7*0.5</f>
        <v>4118450</v>
      </c>
      <c r="M7" s="191">
        <f>$J$7*0.6</f>
        <v>4942140</v>
      </c>
      <c r="N7" s="191">
        <f>$J$7*0</f>
        <v>0</v>
      </c>
      <c r="O7" s="191">
        <f>$J$7*0</f>
        <v>0</v>
      </c>
      <c r="P7" s="189">
        <f>SUM(K7:O7)</f>
        <v>9060590</v>
      </c>
      <c r="Q7" s="192" t="s">
        <v>348</v>
      </c>
    </row>
    <row r="8" spans="2:18" ht="33.75" customHeight="1">
      <c r="B8" s="338"/>
      <c r="C8" s="347"/>
      <c r="D8" s="193"/>
      <c r="E8" s="186" t="s">
        <v>47</v>
      </c>
      <c r="F8" s="187" t="s">
        <v>286</v>
      </c>
      <c r="G8" s="188" t="s">
        <v>269</v>
      </c>
      <c r="H8" s="189">
        <v>78.385000000000005</v>
      </c>
      <c r="I8" s="189">
        <v>300</v>
      </c>
      <c r="J8" s="190">
        <f t="shared" ref="J8:J9" si="0">SUM(H8*I8)</f>
        <v>23515.5</v>
      </c>
      <c r="K8" s="191">
        <f>$J$8/5</f>
        <v>4703.1000000000004</v>
      </c>
      <c r="L8" s="191">
        <f t="shared" ref="L8:O8" si="1">$J$8/5</f>
        <v>4703.1000000000004</v>
      </c>
      <c r="M8" s="191">
        <f t="shared" si="1"/>
        <v>4703.1000000000004</v>
      </c>
      <c r="N8" s="191">
        <f t="shared" si="1"/>
        <v>4703.1000000000004</v>
      </c>
      <c r="O8" s="191">
        <f t="shared" si="1"/>
        <v>4703.1000000000004</v>
      </c>
      <c r="P8" s="189">
        <f t="shared" ref="P8:P9" si="2">SUM(K8:O8)</f>
        <v>23515.5</v>
      </c>
      <c r="Q8" s="192" t="s">
        <v>354</v>
      </c>
    </row>
    <row r="9" spans="2:18" ht="34.5" customHeight="1" thickBot="1">
      <c r="B9" s="338"/>
      <c r="C9" s="347"/>
      <c r="D9" s="193"/>
      <c r="E9" s="272" t="s">
        <v>47</v>
      </c>
      <c r="F9" s="273" t="s">
        <v>288</v>
      </c>
      <c r="G9" s="274" t="s">
        <v>269</v>
      </c>
      <c r="H9" s="270">
        <v>40</v>
      </c>
      <c r="I9" s="270">
        <f>50.61*25</f>
        <v>1265.25</v>
      </c>
      <c r="J9" s="271">
        <f t="shared" si="0"/>
        <v>50610</v>
      </c>
      <c r="K9" s="218">
        <f>$J$9/5</f>
        <v>10122</v>
      </c>
      <c r="L9" s="218">
        <f t="shared" ref="L9:O9" si="3">$J$9/5</f>
        <v>10122</v>
      </c>
      <c r="M9" s="218">
        <f t="shared" si="3"/>
        <v>10122</v>
      </c>
      <c r="N9" s="218">
        <f t="shared" si="3"/>
        <v>10122</v>
      </c>
      <c r="O9" s="218">
        <f t="shared" si="3"/>
        <v>10122</v>
      </c>
      <c r="P9" s="270">
        <f t="shared" si="2"/>
        <v>50610</v>
      </c>
      <c r="Q9" s="268" t="s">
        <v>353</v>
      </c>
    </row>
    <row r="10" spans="2:18" ht="21.75" customHeight="1" thickBot="1">
      <c r="B10" s="338"/>
      <c r="C10" s="347"/>
      <c r="D10" s="275" t="s">
        <v>355</v>
      </c>
      <c r="E10" s="276"/>
      <c r="F10" s="277"/>
      <c r="G10" s="278"/>
      <c r="H10" s="279"/>
      <c r="I10" s="279"/>
      <c r="J10" s="280"/>
      <c r="K10" s="279">
        <f>SUM(K7:K9)</f>
        <v>14825.1</v>
      </c>
      <c r="L10" s="279">
        <f t="shared" ref="L10:O10" si="4">SUM(L7:L9)</f>
        <v>4133275.1</v>
      </c>
      <c r="M10" s="279">
        <f t="shared" si="4"/>
        <v>4956965.0999999996</v>
      </c>
      <c r="N10" s="279">
        <f t="shared" si="4"/>
        <v>14825.1</v>
      </c>
      <c r="O10" s="279">
        <f t="shared" si="4"/>
        <v>14825.1</v>
      </c>
      <c r="P10" s="279">
        <f>SUM(P7:P9)</f>
        <v>9134715.5</v>
      </c>
      <c r="Q10" s="281"/>
    </row>
    <row r="11" spans="2:18">
      <c r="B11" s="338"/>
      <c r="C11" s="347"/>
      <c r="D11" s="231"/>
      <c r="E11" s="197"/>
      <c r="F11" s="198"/>
      <c r="G11" s="199"/>
      <c r="H11" s="200"/>
      <c r="I11" s="200"/>
      <c r="J11" s="201"/>
      <c r="K11" s="200"/>
      <c r="L11" s="200"/>
      <c r="M11" s="200"/>
      <c r="N11" s="200"/>
      <c r="O11" s="200"/>
      <c r="P11" s="200"/>
      <c r="Q11" s="202"/>
    </row>
    <row r="12" spans="2:18" ht="30" customHeight="1">
      <c r="B12" s="338"/>
      <c r="C12" s="347"/>
      <c r="D12" s="349" t="s">
        <v>344</v>
      </c>
      <c r="E12" s="186" t="s">
        <v>47</v>
      </c>
      <c r="F12" s="187" t="s">
        <v>347</v>
      </c>
      <c r="G12" s="188" t="s">
        <v>282</v>
      </c>
      <c r="H12" s="189">
        <v>3</v>
      </c>
      <c r="I12" s="189">
        <v>16810</v>
      </c>
      <c r="J12" s="190">
        <f>SUM(H12*I12)</f>
        <v>50430</v>
      </c>
      <c r="K12" s="191">
        <f>$J$12*0.6</f>
        <v>30258</v>
      </c>
      <c r="L12" s="191">
        <f>$J$12*0.15</f>
        <v>7564.5</v>
      </c>
      <c r="M12" s="191">
        <f t="shared" ref="M12:N12" si="5">$J$12*0.1</f>
        <v>5043</v>
      </c>
      <c r="N12" s="191">
        <f t="shared" si="5"/>
        <v>5043</v>
      </c>
      <c r="O12" s="191">
        <f>$J$12*0.05</f>
        <v>2521.5</v>
      </c>
      <c r="P12" s="189">
        <f>SUM(K12:O12)</f>
        <v>50430</v>
      </c>
      <c r="Q12" s="192" t="s">
        <v>349</v>
      </c>
    </row>
    <row r="13" spans="2:18" ht="39.75" customHeight="1">
      <c r="B13" s="338"/>
      <c r="C13" s="347"/>
      <c r="D13" s="350"/>
      <c r="E13" s="186" t="s">
        <v>47</v>
      </c>
      <c r="F13" s="187" t="s">
        <v>288</v>
      </c>
      <c r="G13" s="188" t="s">
        <v>269</v>
      </c>
      <c r="H13" s="189">
        <v>10</v>
      </c>
      <c r="I13" s="189">
        <f>55*20</f>
        <v>1100</v>
      </c>
      <c r="J13" s="190">
        <f t="shared" ref="J13:J14" si="6">SUM(H13*I13)</f>
        <v>11000</v>
      </c>
      <c r="K13" s="191">
        <f>$J$13*(4/12)</f>
        <v>3666.6666666666665</v>
      </c>
      <c r="L13" s="191">
        <f>$J$13*(4/12)</f>
        <v>3666.6666666666665</v>
      </c>
      <c r="M13" s="191">
        <f>$J$13*(1/12)</f>
        <v>916.66666666666663</v>
      </c>
      <c r="N13" s="191">
        <f>$J$13*(1/12)</f>
        <v>916.66666666666663</v>
      </c>
      <c r="O13" s="191">
        <f>$J$13*(2/12)</f>
        <v>1833.3333333333333</v>
      </c>
      <c r="P13" s="189">
        <f t="shared" ref="P13:P23" si="7">SUM(K13:O13)</f>
        <v>11000</v>
      </c>
      <c r="Q13" s="192" t="s">
        <v>350</v>
      </c>
    </row>
    <row r="14" spans="2:18" ht="36" customHeight="1" thickBot="1">
      <c r="B14" s="338"/>
      <c r="C14" s="347"/>
      <c r="D14" s="350"/>
      <c r="E14" s="186" t="s">
        <v>294</v>
      </c>
      <c r="F14" s="187" t="s">
        <v>292</v>
      </c>
      <c r="G14" s="188" t="s">
        <v>269</v>
      </c>
      <c r="H14" s="189">
        <v>5000</v>
      </c>
      <c r="I14" s="189">
        <v>10</v>
      </c>
      <c r="J14" s="190">
        <f t="shared" si="6"/>
        <v>50000</v>
      </c>
      <c r="K14" s="191">
        <f>$J$14*(1/10)</f>
        <v>5000</v>
      </c>
      <c r="L14" s="191">
        <f>$J$14*(3/10)</f>
        <v>15000</v>
      </c>
      <c r="M14" s="191">
        <f>$J$14*(3/10)</f>
        <v>15000</v>
      </c>
      <c r="N14" s="191">
        <f>$J$14*(2/10)</f>
        <v>10000</v>
      </c>
      <c r="O14" s="191">
        <f>$J$14*(1/10)</f>
        <v>5000</v>
      </c>
      <c r="P14" s="189">
        <f t="shared" si="7"/>
        <v>50000</v>
      </c>
      <c r="Q14" s="192" t="s">
        <v>351</v>
      </c>
    </row>
    <row r="15" spans="2:18" ht="33" customHeight="1" thickBot="1">
      <c r="B15" s="338"/>
      <c r="C15" s="347"/>
      <c r="D15" s="275" t="s">
        <v>355</v>
      </c>
      <c r="E15" s="276"/>
      <c r="F15" s="277"/>
      <c r="G15" s="278"/>
      <c r="H15" s="279"/>
      <c r="I15" s="279"/>
      <c r="J15" s="280"/>
      <c r="K15" s="279">
        <f t="shared" ref="K15:O15" si="8">SUM(K12:K14)</f>
        <v>38924.666666666664</v>
      </c>
      <c r="L15" s="279">
        <f t="shared" si="8"/>
        <v>26231.166666666664</v>
      </c>
      <c r="M15" s="279">
        <f t="shared" si="8"/>
        <v>20959.666666666668</v>
      </c>
      <c r="N15" s="279">
        <f t="shared" si="8"/>
        <v>15959.666666666668</v>
      </c>
      <c r="O15" s="279">
        <f t="shared" si="8"/>
        <v>9354.8333333333321</v>
      </c>
      <c r="P15" s="279">
        <f>SUM(P12:P14)</f>
        <v>111430</v>
      </c>
      <c r="Q15" s="281"/>
      <c r="R15" s="284">
        <f>P10+P15</f>
        <v>9246145.5</v>
      </c>
    </row>
    <row r="16" spans="2:18">
      <c r="B16" s="338"/>
      <c r="C16" s="347"/>
      <c r="D16" s="196"/>
      <c r="E16" s="197"/>
      <c r="F16" s="198"/>
      <c r="G16" s="199"/>
      <c r="H16" s="199"/>
      <c r="I16" s="200"/>
      <c r="J16" s="201"/>
      <c r="K16" s="200"/>
      <c r="L16" s="200"/>
      <c r="M16" s="200"/>
      <c r="N16" s="200"/>
      <c r="O16" s="200"/>
      <c r="P16" s="200"/>
      <c r="Q16" s="203"/>
    </row>
    <row r="17" spans="2:17" ht="54.75" customHeight="1">
      <c r="B17" s="338"/>
      <c r="C17" s="347"/>
      <c r="D17" s="332" t="s">
        <v>345</v>
      </c>
      <c r="E17" s="186" t="s">
        <v>47</v>
      </c>
      <c r="F17" s="187" t="s">
        <v>347</v>
      </c>
      <c r="G17" s="188" t="s">
        <v>282</v>
      </c>
      <c r="H17" s="189">
        <v>700</v>
      </c>
      <c r="I17" s="189">
        <v>16810</v>
      </c>
      <c r="J17" s="190">
        <f>SUM(H17*I17)</f>
        <v>11767000</v>
      </c>
      <c r="K17" s="191"/>
      <c r="L17" s="191">
        <f>$J$17*(0.255)</f>
        <v>3000585</v>
      </c>
      <c r="M17" s="191">
        <f>$J$17*(0.42)</f>
        <v>4942140</v>
      </c>
      <c r="N17" s="191">
        <f>$J$17*(0.325)</f>
        <v>3824275</v>
      </c>
      <c r="O17" s="191">
        <v>0</v>
      </c>
      <c r="P17" s="189">
        <f>SUM(K17:O17)</f>
        <v>11767000</v>
      </c>
      <c r="Q17" s="192" t="s">
        <v>356</v>
      </c>
    </row>
    <row r="18" spans="2:17" ht="54.75" customHeight="1">
      <c r="B18" s="338"/>
      <c r="C18" s="347"/>
      <c r="D18" s="333"/>
      <c r="E18" s="186" t="s">
        <v>294</v>
      </c>
      <c r="F18" s="187" t="s">
        <v>347</v>
      </c>
      <c r="G18" s="188" t="s">
        <v>282</v>
      </c>
      <c r="H18" s="189">
        <v>750</v>
      </c>
      <c r="I18" s="189">
        <v>16810</v>
      </c>
      <c r="J18" s="190">
        <f>SUM(H18*I18)</f>
        <v>12607500</v>
      </c>
      <c r="K18" s="191"/>
      <c r="L18" s="191">
        <f>$J$18*(0.185)</f>
        <v>2332387.5</v>
      </c>
      <c r="M18" s="191">
        <f>$J$18*(0.511)</f>
        <v>6442432.5</v>
      </c>
      <c r="N18" s="191">
        <f>$J$18*(0.304)</f>
        <v>3832680</v>
      </c>
      <c r="O18" s="191">
        <v>0</v>
      </c>
      <c r="P18" s="189">
        <f>SUM(K18:O18)</f>
        <v>12607500</v>
      </c>
      <c r="Q18" s="192" t="s">
        <v>356</v>
      </c>
    </row>
    <row r="19" spans="2:17" ht="54.75" customHeight="1">
      <c r="B19" s="338"/>
      <c r="C19" s="347"/>
      <c r="D19" s="333"/>
      <c r="E19" s="186" t="s">
        <v>47</v>
      </c>
      <c r="F19" s="187" t="s">
        <v>358</v>
      </c>
      <c r="G19" s="188" t="s">
        <v>282</v>
      </c>
      <c r="H19" s="189">
        <v>500</v>
      </c>
      <c r="I19" s="189">
        <v>16810</v>
      </c>
      <c r="J19" s="190">
        <f>SUM(H19*I19)</f>
        <v>8405000</v>
      </c>
      <c r="K19" s="191">
        <f>$J$19*(0.22)</f>
        <v>1849100</v>
      </c>
      <c r="L19" s="191">
        <f>$J$20*0</f>
        <v>0</v>
      </c>
      <c r="M19" s="191">
        <f>$J$19*(0.13)</f>
        <v>1092650</v>
      </c>
      <c r="N19" s="191">
        <f>$J$19*(0.65)</f>
        <v>5463250</v>
      </c>
      <c r="O19" s="191">
        <v>0</v>
      </c>
      <c r="P19" s="189">
        <f>SUM(K19:O19)</f>
        <v>8405000</v>
      </c>
      <c r="Q19" s="192" t="s">
        <v>357</v>
      </c>
    </row>
    <row r="20" spans="2:17" ht="56.25" customHeight="1">
      <c r="B20" s="338"/>
      <c r="C20" s="347"/>
      <c r="D20" s="334"/>
      <c r="E20" s="186" t="s">
        <v>294</v>
      </c>
      <c r="F20" s="187" t="s">
        <v>358</v>
      </c>
      <c r="G20" s="188" t="s">
        <v>282</v>
      </c>
      <c r="H20" s="189">
        <v>975</v>
      </c>
      <c r="I20" s="189">
        <v>16810</v>
      </c>
      <c r="J20" s="190">
        <f>SUM(H20*I20)</f>
        <v>16389750</v>
      </c>
      <c r="K20" s="191">
        <f>$J$20*(0.25)</f>
        <v>4097437.5</v>
      </c>
      <c r="L20" s="191">
        <f>$J$20*0</f>
        <v>0</v>
      </c>
      <c r="M20" s="191">
        <f>$J$20*(0.14)</f>
        <v>2294565</v>
      </c>
      <c r="N20" s="191">
        <f>$J$20*(0.4359)</f>
        <v>7144292.0250000004</v>
      </c>
      <c r="O20" s="191">
        <f>$J$20*(0.1741)</f>
        <v>2853455.4750000001</v>
      </c>
      <c r="P20" s="189">
        <f>SUM(K20:O20)</f>
        <v>16389750</v>
      </c>
      <c r="Q20" s="192" t="s">
        <v>357</v>
      </c>
    </row>
    <row r="21" spans="2:17" ht="31.5" customHeight="1">
      <c r="B21" s="338"/>
      <c r="C21" s="347"/>
      <c r="D21" s="334"/>
      <c r="E21" s="186" t="s">
        <v>47</v>
      </c>
      <c r="F21" s="204" t="s">
        <v>288</v>
      </c>
      <c r="G21" s="188" t="s">
        <v>269</v>
      </c>
      <c r="H21" s="191">
        <v>18</v>
      </c>
      <c r="I21" s="191">
        <f>55*25</f>
        <v>1375</v>
      </c>
      <c r="J21" s="190">
        <f t="shared" ref="J21:J22" si="9">SUM(H21*I21)</f>
        <v>24750</v>
      </c>
      <c r="K21" s="191">
        <f>$J$21*(0.2)</f>
        <v>4950</v>
      </c>
      <c r="L21" s="191">
        <f>$J$21*(0.4)</f>
        <v>9900</v>
      </c>
      <c r="M21" s="191">
        <f>$J$21*(0.1)</f>
        <v>2475</v>
      </c>
      <c r="N21" s="191">
        <f>$J$21*(0.3)</f>
        <v>7425</v>
      </c>
      <c r="O21" s="191"/>
      <c r="P21" s="189">
        <f t="shared" ref="P21:P22" si="10">SUM(K21:O21)</f>
        <v>24750</v>
      </c>
      <c r="Q21" s="336" t="s">
        <v>359</v>
      </c>
    </row>
    <row r="22" spans="2:17" ht="28.5" customHeight="1">
      <c r="B22" s="338"/>
      <c r="C22" s="347"/>
      <c r="D22" s="334"/>
      <c r="E22" s="214" t="s">
        <v>294</v>
      </c>
      <c r="F22" s="216" t="s">
        <v>288</v>
      </c>
      <c r="G22" s="217" t="s">
        <v>269</v>
      </c>
      <c r="H22" s="218">
        <v>22</v>
      </c>
      <c r="I22" s="191">
        <f>55*25</f>
        <v>1375</v>
      </c>
      <c r="J22" s="269">
        <f t="shared" si="9"/>
        <v>30250</v>
      </c>
      <c r="K22" s="191">
        <f>$J$22*(0.2)</f>
        <v>6050</v>
      </c>
      <c r="L22" s="191">
        <f>$J$22*(0.4)</f>
        <v>12100</v>
      </c>
      <c r="M22" s="191">
        <f>$J$22*(0.2)</f>
        <v>6050</v>
      </c>
      <c r="N22" s="191">
        <f>$J$22*(0.1)</f>
        <v>3025</v>
      </c>
      <c r="O22" s="191">
        <f>$J$22*0.1</f>
        <v>3025</v>
      </c>
      <c r="P22" s="189">
        <f t="shared" si="10"/>
        <v>30250</v>
      </c>
      <c r="Q22" s="292"/>
    </row>
    <row r="23" spans="2:17" ht="38.25" customHeight="1">
      <c r="B23" s="338"/>
      <c r="C23" s="347"/>
      <c r="D23" s="334"/>
      <c r="E23" s="204" t="s">
        <v>47</v>
      </c>
      <c r="F23" s="204" t="s">
        <v>352</v>
      </c>
      <c r="G23" s="232" t="s">
        <v>269</v>
      </c>
      <c r="H23" s="218">
        <v>28</v>
      </c>
      <c r="I23" s="191">
        <f>55*40</f>
        <v>2200</v>
      </c>
      <c r="J23" s="269">
        <f t="shared" ref="J23" si="11">SUM(H23*I23)</f>
        <v>61600</v>
      </c>
      <c r="K23" s="191">
        <f>$J$23*(2/10)</f>
        <v>12320</v>
      </c>
      <c r="L23" s="191">
        <f t="shared" ref="L23:N23" si="12">$J$23*(2/10)</f>
        <v>12320</v>
      </c>
      <c r="M23" s="191">
        <f t="shared" si="12"/>
        <v>12320</v>
      </c>
      <c r="N23" s="191">
        <f t="shared" si="12"/>
        <v>12320</v>
      </c>
      <c r="O23" s="191"/>
      <c r="P23" s="191">
        <f t="shared" si="7"/>
        <v>49280</v>
      </c>
      <c r="Q23" s="215" t="s">
        <v>301</v>
      </c>
    </row>
    <row r="24" spans="2:17" ht="38.25" customHeight="1">
      <c r="B24" s="338"/>
      <c r="C24" s="347"/>
      <c r="D24" s="334"/>
      <c r="E24" s="214" t="s">
        <v>294</v>
      </c>
      <c r="F24" s="204" t="s">
        <v>352</v>
      </c>
      <c r="G24" s="232" t="s">
        <v>269</v>
      </c>
      <c r="H24" s="218">
        <v>7</v>
      </c>
      <c r="I24" s="191">
        <f>55*40</f>
        <v>2200</v>
      </c>
      <c r="J24" s="269">
        <f t="shared" ref="J24" si="13">SUM(H24*I24)</f>
        <v>15400</v>
      </c>
      <c r="K24" s="191"/>
      <c r="L24" s="191"/>
      <c r="M24" s="191"/>
      <c r="N24" s="191"/>
      <c r="O24" s="191">
        <f>$J$24</f>
        <v>15400</v>
      </c>
      <c r="P24" s="191">
        <f t="shared" ref="P24" si="14">SUM(K24:O24)</f>
        <v>15400</v>
      </c>
      <c r="Q24" s="215" t="s">
        <v>301</v>
      </c>
    </row>
    <row r="25" spans="2:17" ht="36" customHeight="1" thickBot="1">
      <c r="B25" s="338"/>
      <c r="C25" s="347"/>
      <c r="D25" s="335"/>
      <c r="E25" s="214" t="s">
        <v>294</v>
      </c>
      <c r="F25" s="204" t="s">
        <v>286</v>
      </c>
      <c r="G25" s="188" t="s">
        <v>269</v>
      </c>
      <c r="H25" s="191">
        <v>393.9135</v>
      </c>
      <c r="I25" s="282">
        <v>300</v>
      </c>
      <c r="J25" s="283">
        <f t="shared" ref="J25" si="15">SUM(H25*I25)</f>
        <v>118174.05</v>
      </c>
      <c r="K25" s="191">
        <f>$J$25*(0.213577)</f>
        <v>25239.259076849998</v>
      </c>
      <c r="L25" s="191">
        <f>$J$25*(0.21241)</f>
        <v>25101.3499605</v>
      </c>
      <c r="M25" s="191">
        <f>$J$25*(0.17438)</f>
        <v>20607.190839000003</v>
      </c>
      <c r="N25" s="191">
        <f>$J$25*(0.12105)</f>
        <v>14304.968752500001</v>
      </c>
      <c r="O25" s="191">
        <f>J25-K25-L25-M25-N25</f>
        <v>32921.281371150006</v>
      </c>
      <c r="P25" s="191">
        <f t="shared" ref="P25" si="16">SUM(K25:O25)</f>
        <v>118174.05000000002</v>
      </c>
      <c r="Q25" s="215" t="s">
        <v>360</v>
      </c>
    </row>
    <row r="26" spans="2:17" ht="29.25" customHeight="1" thickBot="1">
      <c r="B26" s="338"/>
      <c r="C26" s="347"/>
      <c r="D26" s="275" t="s">
        <v>355</v>
      </c>
      <c r="E26" s="276"/>
      <c r="F26" s="277"/>
      <c r="G26" s="278"/>
      <c r="H26" s="279"/>
      <c r="I26" s="279"/>
      <c r="J26" s="280"/>
      <c r="K26" s="279">
        <f>SUM(K17:K25)</f>
        <v>5995096.7590768496</v>
      </c>
      <c r="L26" s="279">
        <f t="shared" ref="L26:O26" si="17">SUM(L17:L25)</f>
        <v>5392393.8499605004</v>
      </c>
      <c r="M26" s="279">
        <f t="shared" si="17"/>
        <v>14813239.690839</v>
      </c>
      <c r="N26" s="279">
        <f t="shared" si="17"/>
        <v>20301571.993752498</v>
      </c>
      <c r="O26" s="279">
        <f t="shared" si="17"/>
        <v>2904801.7563711503</v>
      </c>
      <c r="P26" s="279">
        <f>SUM(P17:P25)</f>
        <v>49407104.049999997</v>
      </c>
      <c r="Q26" s="281"/>
    </row>
    <row r="27" spans="2:17" ht="15.75" thickBot="1">
      <c r="B27" s="338"/>
      <c r="C27" s="348"/>
      <c r="D27" s="213"/>
      <c r="E27" s="207"/>
      <c r="F27" s="208"/>
      <c r="G27" s="219"/>
      <c r="H27" s="210"/>
      <c r="I27" s="210"/>
      <c r="J27" s="211"/>
      <c r="K27" s="210"/>
      <c r="L27" s="210"/>
      <c r="M27" s="210"/>
      <c r="N27" s="210"/>
      <c r="O27" s="210"/>
      <c r="P27" s="212"/>
      <c r="Q27" s="213"/>
    </row>
    <row r="28" spans="2:17" ht="16.5" thickTop="1" thickBot="1">
      <c r="B28" s="339"/>
      <c r="C28" s="220" t="s">
        <v>309</v>
      </c>
      <c r="D28" s="221"/>
      <c r="E28" s="222"/>
      <c r="F28" s="223"/>
      <c r="G28" s="224"/>
      <c r="H28" s="225"/>
      <c r="I28" s="225"/>
      <c r="J28" s="226">
        <f t="shared" ref="J28:O28" si="18">J10+J15+J26</f>
        <v>0</v>
      </c>
      <c r="K28" s="226">
        <f t="shared" si="18"/>
        <v>6048846.5257435162</v>
      </c>
      <c r="L28" s="226">
        <f t="shared" si="18"/>
        <v>9551900.1166271679</v>
      </c>
      <c r="M28" s="226">
        <f t="shared" si="18"/>
        <v>19791164.457505666</v>
      </c>
      <c r="N28" s="226">
        <f t="shared" si="18"/>
        <v>20332356.760419164</v>
      </c>
      <c r="O28" s="226">
        <f t="shared" si="18"/>
        <v>2928981.6897044834</v>
      </c>
      <c r="P28" s="226">
        <f>P10+P15+P26</f>
        <v>58653249.549999997</v>
      </c>
      <c r="Q28" s="227"/>
    </row>
    <row r="29" spans="2:17" ht="15.75" thickTop="1">
      <c r="B29" s="241"/>
      <c r="C29" s="241"/>
      <c r="D29" s="242"/>
      <c r="E29" s="205"/>
      <c r="F29" s="204"/>
      <c r="G29" s="232"/>
      <c r="H29" s="191"/>
      <c r="I29" s="191"/>
      <c r="J29" s="190"/>
      <c r="K29" s="191"/>
      <c r="L29" s="191"/>
      <c r="M29" s="191"/>
      <c r="N29" s="191"/>
      <c r="O29" s="191"/>
      <c r="P29" s="189"/>
      <c r="Q29" s="243"/>
    </row>
    <row r="30" spans="2:17">
      <c r="B30" s="241"/>
      <c r="C30" s="241"/>
      <c r="D30" s="242"/>
      <c r="E30" s="205"/>
      <c r="F30" s="204"/>
      <c r="G30" s="232"/>
      <c r="H30" s="191"/>
      <c r="I30" s="191"/>
      <c r="J30" s="190"/>
      <c r="K30" s="191"/>
      <c r="L30" s="191"/>
      <c r="M30" s="191"/>
      <c r="N30" s="191"/>
      <c r="O30" s="191"/>
      <c r="P30" s="189"/>
      <c r="Q30" s="243"/>
    </row>
    <row r="31" spans="2:17">
      <c r="B31" s="244" t="s">
        <v>322</v>
      </c>
      <c r="C31" s="244"/>
      <c r="D31" s="244"/>
      <c r="E31" s="244"/>
      <c r="F31" s="244"/>
      <c r="G31" s="245"/>
      <c r="H31" s="245"/>
      <c r="I31" s="245"/>
      <c r="J31" s="245"/>
      <c r="K31" s="168">
        <f>K28</f>
        <v>6048846.5257435162</v>
      </c>
      <c r="L31" s="168">
        <f t="shared" ref="L31:P31" si="19">L28</f>
        <v>9551900.1166271679</v>
      </c>
      <c r="M31" s="168">
        <f t="shared" si="19"/>
        <v>19791164.457505666</v>
      </c>
      <c r="N31" s="168">
        <f t="shared" si="19"/>
        <v>20332356.760419164</v>
      </c>
      <c r="O31" s="168">
        <f t="shared" si="19"/>
        <v>2928981.6897044834</v>
      </c>
      <c r="P31" s="168">
        <f t="shared" si="19"/>
        <v>58653249.549999997</v>
      </c>
      <c r="Q31" s="245"/>
    </row>
    <row r="32" spans="2:17">
      <c r="B32" s="245" t="s">
        <v>346</v>
      </c>
      <c r="C32" s="246" t="str">
        <f>'[1]Title Lists'!H2</f>
        <v>GCF</v>
      </c>
      <c r="D32" s="245"/>
      <c r="E32" s="247"/>
      <c r="F32" s="245"/>
      <c r="G32" s="245"/>
      <c r="H32" s="245"/>
      <c r="I32" s="245"/>
      <c r="J32" s="245"/>
      <c r="K32" s="168">
        <f>K7+K8+K9+K12+K13+K17+K21+K23+K19</f>
        <v>1915119.7666666666</v>
      </c>
      <c r="L32" s="168">
        <f t="shared" ref="L32:P32" si="20">L7+L8+L9+L12+L13+L17+L21+L23+L19</f>
        <v>7167311.2666666666</v>
      </c>
      <c r="M32" s="168">
        <f t="shared" si="20"/>
        <v>11012509.766666666</v>
      </c>
      <c r="N32" s="168">
        <f t="shared" si="20"/>
        <v>9328054.7666666657</v>
      </c>
      <c r="O32" s="168">
        <f>O7+O8+O9+O12+O13+O17+O21+O23+O19</f>
        <v>19179.933333333331</v>
      </c>
      <c r="P32" s="168">
        <f t="shared" si="20"/>
        <v>29442175.5</v>
      </c>
      <c r="Q32" s="245"/>
    </row>
    <row r="33" spans="2:17">
      <c r="B33" s="245" t="s">
        <v>346</v>
      </c>
      <c r="C33" s="246" t="str">
        <f>'[1]Title Lists'!H3</f>
        <v>Country/1</v>
      </c>
      <c r="D33" s="245"/>
      <c r="E33" s="247"/>
      <c r="F33" s="245"/>
      <c r="G33" s="245"/>
      <c r="H33" s="245"/>
      <c r="I33" s="245"/>
      <c r="J33" s="245"/>
      <c r="K33" s="168">
        <f>K14+K20+K22+K25+K18+K24</f>
        <v>4133726.75907685</v>
      </c>
      <c r="L33" s="168">
        <f>L14+L20+L22+L25+L18+L24</f>
        <v>2384588.8499604999</v>
      </c>
      <c r="M33" s="168">
        <f t="shared" ref="M33:P33" si="21">M14+M20+M22+M25+M18+M24</f>
        <v>8778654.690839</v>
      </c>
      <c r="N33" s="168">
        <f t="shared" si="21"/>
        <v>11004301.9937525</v>
      </c>
      <c r="O33" s="168">
        <f t="shared" si="21"/>
        <v>2909801.7563711503</v>
      </c>
      <c r="P33" s="168">
        <f t="shared" si="21"/>
        <v>29211074.050000001</v>
      </c>
      <c r="Q33" s="245"/>
    </row>
    <row r="36" spans="2:17">
      <c r="B36" s="261" t="s">
        <v>328</v>
      </c>
      <c r="C36" s="261"/>
      <c r="D36" s="261"/>
      <c r="E36" s="262"/>
    </row>
    <row r="37" spans="2:17" ht="41.25" customHeight="1">
      <c r="B37" s="263" t="s">
        <v>329</v>
      </c>
      <c r="C37" s="263" t="s">
        <v>335</v>
      </c>
      <c r="D37" s="263" t="s">
        <v>330</v>
      </c>
      <c r="E37" s="263" t="s">
        <v>336</v>
      </c>
    </row>
    <row r="38" spans="2:17">
      <c r="B38" s="264" t="s">
        <v>331</v>
      </c>
      <c r="C38" s="264">
        <v>21120</v>
      </c>
      <c r="D38" s="265">
        <v>0.1</v>
      </c>
      <c r="E38" s="264">
        <f>C38*D38</f>
        <v>2112</v>
      </c>
    </row>
    <row r="39" spans="2:17">
      <c r="B39" s="264" t="s">
        <v>332</v>
      </c>
      <c r="C39" s="264">
        <v>18775</v>
      </c>
      <c r="D39" s="265">
        <v>0.25</v>
      </c>
      <c r="E39" s="264">
        <f t="shared" ref="E39:E41" si="22">C39*D39</f>
        <v>4693.75</v>
      </c>
    </row>
    <row r="40" spans="2:17">
      <c r="B40" s="264" t="s">
        <v>333</v>
      </c>
      <c r="C40" s="264">
        <v>16430</v>
      </c>
      <c r="D40" s="265">
        <v>0.3</v>
      </c>
      <c r="E40" s="264">
        <f t="shared" si="22"/>
        <v>4929</v>
      </c>
    </row>
    <row r="41" spans="2:17">
      <c r="B41" s="264" t="s">
        <v>334</v>
      </c>
      <c r="C41" s="264">
        <v>14500</v>
      </c>
      <c r="D41" s="265">
        <v>0.35</v>
      </c>
      <c r="E41" s="264">
        <f t="shared" si="22"/>
        <v>5075</v>
      </c>
    </row>
    <row r="42" spans="2:17">
      <c r="B42" s="266" t="s">
        <v>337</v>
      </c>
      <c r="C42" s="266"/>
      <c r="D42" s="266"/>
      <c r="E42" s="266">
        <f>SUM(E38:E41)</f>
        <v>16809.75</v>
      </c>
    </row>
  </sheetData>
  <mergeCells count="8">
    <mergeCell ref="D17:D25"/>
    <mergeCell ref="Q21:Q22"/>
    <mergeCell ref="B7:B28"/>
    <mergeCell ref="G4:J4"/>
    <mergeCell ref="K4:P4"/>
    <mergeCell ref="Q4:Q6"/>
    <mergeCell ref="C7:C27"/>
    <mergeCell ref="D12:D14"/>
  </mergeCells>
  <dataValidations count="8">
    <dataValidation type="list" allowBlank="1" showInputMessage="1" showErrorMessage="1" prompt="Please select Component" sqref="B7" xr:uid="{624FA8A5-A3E3-4D10-9B83-F368C39BD1BA}">
      <formula1>Components</formula1>
    </dataValidation>
    <dataValidation type="list" allowBlank="1" showInputMessage="1" showErrorMessage="1" prompt="Please select Output" sqref="C7" xr:uid="{2E2F92C1-A86D-48BB-A3AA-BC7B615F9699}">
      <formula1>Outputs</formula1>
    </dataValidation>
    <dataValidation type="list" allowBlank="1" showInputMessage="1" showErrorMessage="1" sqref="E8:E11 E13:E16 E18:E30" xr:uid="{C65AB299-6081-4D12-B2CA-FF61C8F3A278}">
      <formula1>Funding</formula1>
    </dataValidation>
    <dataValidation type="list" allowBlank="1" showInputMessage="1" showErrorMessage="1" prompt="Please select Funding Source" sqref="E7 C32:C33 E12 E17" xr:uid="{01174F1A-D3EC-49B7-8E1C-D8289151EECE}">
      <formula1>Funding</formula1>
    </dataValidation>
    <dataValidation type="list" allowBlank="1" showInputMessage="1" showErrorMessage="1" sqref="F8:F11 F13:F16 F21:F30" xr:uid="{B1A24067-56BF-44A4-A498-389C0EE6C1F9}">
      <formula1>Categories</formula1>
    </dataValidation>
    <dataValidation type="list" allowBlank="1" showInputMessage="1" showErrorMessage="1" prompt="Please select Budget Categories" sqref="F7 F12 F17:F20" xr:uid="{DE32A768-FEF7-407C-9771-3B71C88F67F4}">
      <formula1>Categories</formula1>
    </dataValidation>
    <dataValidation type="list" allowBlank="1" showInputMessage="1" showErrorMessage="1" sqref="C28:C30" xr:uid="{7162B85B-D27C-414E-A16C-1F68E71ADB7D}">
      <formula1>Outputs</formula1>
    </dataValidation>
    <dataValidation type="list" allowBlank="1" showInputMessage="1" showErrorMessage="1" sqref="B29:B30" xr:uid="{D1F20D97-F3E8-42D3-8E4C-D61AC70424BB}">
      <formula1>Components</formula1>
    </dataValidation>
  </dataValidations>
  <pageMargins left="0.7" right="0.7" top="0.75" bottom="0.75" header="0.3" footer="0.3"/>
  <ignoredErrors>
    <ignoredError sqref="L21:M21 I21 L26:P26 P25 P17 P18 L19:M19 P19 L20 P20 K19 I22:I23 L23:N23 M22:P22 J28:P28 O19 K20:K23 K26 N19 L17:N17 P21 P23" unlockedFormula="1"/>
    <ignoredError sqref="L2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E4D90-0C72-44AA-9C80-E2724ABFF84F}">
  <dimension ref="B1:Q65"/>
  <sheetViews>
    <sheetView workbookViewId="0">
      <selection activeCell="I10" sqref="I10"/>
    </sheetView>
  </sheetViews>
  <sheetFormatPr defaultRowHeight="15"/>
  <cols>
    <col min="2" max="2" width="13.5703125" customWidth="1"/>
    <col min="3" max="3" width="13.140625" customWidth="1"/>
    <col min="4" max="4" width="20.140625" customWidth="1"/>
    <col min="5" max="5" width="15.42578125" customWidth="1"/>
    <col min="6" max="6" width="18.42578125" customWidth="1"/>
    <col min="7" max="7" width="11.42578125" customWidth="1"/>
    <col min="8" max="8" width="11.28515625" customWidth="1"/>
    <col min="9" max="10" width="11" customWidth="1"/>
    <col min="11" max="11" width="11.5703125" customWidth="1"/>
    <col min="12" max="12" width="12.28515625" customWidth="1"/>
    <col min="13" max="13" width="11.28515625" customWidth="1"/>
    <col min="14" max="14" width="11.140625" customWidth="1"/>
    <col min="15" max="15" width="11.5703125" customWidth="1"/>
    <col min="16" max="16" width="11.140625" customWidth="1"/>
    <col min="17" max="17" width="26.5703125" customWidth="1"/>
  </cols>
  <sheetData>
    <row r="1" spans="2:17">
      <c r="B1" s="250" t="s">
        <v>260</v>
      </c>
      <c r="C1" s="251"/>
      <c r="D1" s="25"/>
      <c r="E1" s="171"/>
    </row>
    <row r="2" spans="2:17">
      <c r="B2" s="250" t="s">
        <v>261</v>
      </c>
      <c r="C2" s="250" t="s">
        <v>327</v>
      </c>
      <c r="E2" s="171"/>
    </row>
    <row r="3" spans="2:17" ht="15.75" thickBot="1">
      <c r="B3" s="169"/>
      <c r="C3" s="170"/>
      <c r="E3" s="171"/>
    </row>
    <row r="4" spans="2:17" ht="15.75" thickBot="1">
      <c r="B4" s="172"/>
      <c r="C4" s="173"/>
      <c r="D4" s="173"/>
      <c r="E4" s="174"/>
      <c r="F4" s="173"/>
      <c r="G4" s="340" t="s">
        <v>262</v>
      </c>
      <c r="H4" s="341"/>
      <c r="I4" s="341"/>
      <c r="J4" s="342"/>
      <c r="K4" s="340" t="s">
        <v>263</v>
      </c>
      <c r="L4" s="341"/>
      <c r="M4" s="341"/>
      <c r="N4" s="341"/>
      <c r="O4" s="341"/>
      <c r="P4" s="341"/>
      <c r="Q4" s="343" t="s">
        <v>264</v>
      </c>
    </row>
    <row r="5" spans="2:17">
      <c r="B5" s="175"/>
      <c r="C5" s="176"/>
      <c r="D5" s="176"/>
      <c r="E5" s="176"/>
      <c r="F5" s="176"/>
      <c r="G5" s="176"/>
      <c r="H5" s="176"/>
      <c r="I5" s="176"/>
      <c r="J5" s="177"/>
      <c r="K5" s="178"/>
      <c r="L5" s="179"/>
      <c r="M5" s="179"/>
      <c r="N5" s="179"/>
      <c r="O5" s="179"/>
      <c r="P5" s="179"/>
      <c r="Q5" s="344"/>
    </row>
    <row r="6" spans="2:17" ht="25.5" thickBot="1">
      <c r="B6" s="180" t="s">
        <v>12</v>
      </c>
      <c r="C6" s="181" t="s">
        <v>265</v>
      </c>
      <c r="D6" s="181" t="s">
        <v>266</v>
      </c>
      <c r="E6" s="181" t="s">
        <v>267</v>
      </c>
      <c r="F6" s="181" t="s">
        <v>268</v>
      </c>
      <c r="G6" s="182" t="s">
        <v>269</v>
      </c>
      <c r="H6" s="182" t="s">
        <v>270</v>
      </c>
      <c r="I6" s="182" t="s">
        <v>271</v>
      </c>
      <c r="J6" s="183" t="s">
        <v>272</v>
      </c>
      <c r="K6" s="180" t="s">
        <v>273</v>
      </c>
      <c r="L6" s="176" t="s">
        <v>274</v>
      </c>
      <c r="M6" s="176" t="s">
        <v>275</v>
      </c>
      <c r="N6" s="176" t="s">
        <v>276</v>
      </c>
      <c r="O6" s="176" t="s">
        <v>277</v>
      </c>
      <c r="P6" s="181" t="s">
        <v>278</v>
      </c>
      <c r="Q6" s="345"/>
    </row>
    <row r="7" spans="2:17" ht="48" customHeight="1">
      <c r="B7" s="184" t="s">
        <v>279</v>
      </c>
      <c r="C7" s="354" t="s">
        <v>280</v>
      </c>
      <c r="D7" s="185" t="s">
        <v>208</v>
      </c>
      <c r="E7" s="186" t="s">
        <v>47</v>
      </c>
      <c r="F7" s="187" t="s">
        <v>281</v>
      </c>
      <c r="G7" s="188" t="s">
        <v>282</v>
      </c>
      <c r="H7" s="189">
        <v>18</v>
      </c>
      <c r="I7" s="189">
        <v>16810</v>
      </c>
      <c r="J7" s="190">
        <f>SUM(H7*I7)</f>
        <v>302580</v>
      </c>
      <c r="K7" s="191">
        <f>$J$7*(6/16)</f>
        <v>113467.5</v>
      </c>
      <c r="L7" s="191">
        <f>$J$7*(6/16)</f>
        <v>113467.5</v>
      </c>
      <c r="M7" s="191">
        <f>$J$7*(1/16)</f>
        <v>18911.25</v>
      </c>
      <c r="N7" s="191">
        <f>$J$7*(1/16)</f>
        <v>18911.25</v>
      </c>
      <c r="O7" s="191">
        <f>$J$7*(2/16)</f>
        <v>37822.5</v>
      </c>
      <c r="P7" s="189">
        <f>SUM(K7:O7)</f>
        <v>302580</v>
      </c>
      <c r="Q7" s="192" t="s">
        <v>283</v>
      </c>
    </row>
    <row r="8" spans="2:17" ht="54" customHeight="1">
      <c r="B8" s="357"/>
      <c r="C8" s="355"/>
      <c r="D8" s="193"/>
      <c r="E8" s="186" t="s">
        <v>47</v>
      </c>
      <c r="F8" s="187" t="s">
        <v>284</v>
      </c>
      <c r="G8" s="188" t="s">
        <v>282</v>
      </c>
      <c r="H8" s="189">
        <v>26</v>
      </c>
      <c r="I8" s="189">
        <v>16810</v>
      </c>
      <c r="J8" s="194">
        <f>SUM(H8*I8)</f>
        <v>437060</v>
      </c>
      <c r="K8" s="191">
        <f>$J$8*0.6</f>
        <v>262236</v>
      </c>
      <c r="L8" s="191">
        <f>$J$8*0.1</f>
        <v>43706</v>
      </c>
      <c r="M8" s="191">
        <f t="shared" ref="M8:O8" si="0">$J$8*0.1</f>
        <v>43706</v>
      </c>
      <c r="N8" s="191">
        <f t="shared" si="0"/>
        <v>43706</v>
      </c>
      <c r="O8" s="191">
        <f t="shared" si="0"/>
        <v>43706</v>
      </c>
      <c r="P8" s="189">
        <f>SUM(K8:O8)</f>
        <v>437060</v>
      </c>
      <c r="Q8" s="192" t="s">
        <v>285</v>
      </c>
    </row>
    <row r="9" spans="2:17" ht="45" customHeight="1">
      <c r="B9" s="338"/>
      <c r="C9" s="355"/>
      <c r="D9" s="193"/>
      <c r="E9" s="186" t="s">
        <v>47</v>
      </c>
      <c r="F9" s="187" t="s">
        <v>286</v>
      </c>
      <c r="G9" s="188" t="s">
        <v>269</v>
      </c>
      <c r="H9" s="189">
        <v>249</v>
      </c>
      <c r="I9" s="189">
        <v>300</v>
      </c>
      <c r="J9" s="190">
        <f t="shared" ref="J9:J46" si="1">SUM(H9*I9)</f>
        <v>74700</v>
      </c>
      <c r="K9" s="191">
        <f>$J$9/5</f>
        <v>14940</v>
      </c>
      <c r="L9" s="191">
        <f t="shared" ref="L9:O9" si="2">$J$9/5</f>
        <v>14940</v>
      </c>
      <c r="M9" s="191">
        <f t="shared" si="2"/>
        <v>14940</v>
      </c>
      <c r="N9" s="191">
        <f t="shared" si="2"/>
        <v>14940</v>
      </c>
      <c r="O9" s="191">
        <f t="shared" si="2"/>
        <v>14940</v>
      </c>
      <c r="P9" s="189">
        <f t="shared" ref="P9:P46" si="3">SUM(K9:O9)</f>
        <v>74700</v>
      </c>
      <c r="Q9" s="192" t="s">
        <v>287</v>
      </c>
    </row>
    <row r="10" spans="2:17" ht="24" customHeight="1">
      <c r="B10" s="338"/>
      <c r="C10" s="355"/>
      <c r="D10" s="193"/>
      <c r="E10" s="186" t="s">
        <v>47</v>
      </c>
      <c r="F10" s="187" t="s">
        <v>288</v>
      </c>
      <c r="G10" s="195" t="s">
        <v>269</v>
      </c>
      <c r="H10" s="189">
        <v>16</v>
      </c>
      <c r="I10" s="189">
        <f>55*20</f>
        <v>1100</v>
      </c>
      <c r="J10" s="190">
        <f t="shared" si="1"/>
        <v>17600</v>
      </c>
      <c r="K10" s="191">
        <f>$J$10/5</f>
        <v>3520</v>
      </c>
      <c r="L10" s="191">
        <f t="shared" ref="L10:O10" si="4">$J$10/5</f>
        <v>3520</v>
      </c>
      <c r="M10" s="191">
        <f t="shared" si="4"/>
        <v>3520</v>
      </c>
      <c r="N10" s="191">
        <f t="shared" si="4"/>
        <v>3520</v>
      </c>
      <c r="O10" s="191">
        <f t="shared" si="4"/>
        <v>3520</v>
      </c>
      <c r="P10" s="189">
        <f t="shared" si="3"/>
        <v>17600</v>
      </c>
      <c r="Q10" s="192" t="s">
        <v>289</v>
      </c>
    </row>
    <row r="11" spans="2:17">
      <c r="B11" s="338"/>
      <c r="C11" s="355"/>
      <c r="D11" s="196"/>
      <c r="E11" s="197"/>
      <c r="F11" s="198"/>
      <c r="G11" s="199"/>
      <c r="H11" s="200"/>
      <c r="I11" s="200"/>
      <c r="J11" s="201"/>
      <c r="K11" s="200"/>
      <c r="L11" s="200"/>
      <c r="M11" s="200"/>
      <c r="N11" s="200"/>
      <c r="O11" s="200"/>
      <c r="P11" s="200"/>
      <c r="Q11" s="202"/>
    </row>
    <row r="12" spans="2:17" ht="27.75" customHeight="1">
      <c r="B12" s="338"/>
      <c r="C12" s="355"/>
      <c r="D12" s="349" t="s">
        <v>209</v>
      </c>
      <c r="E12" s="186" t="s">
        <v>47</v>
      </c>
      <c r="F12" s="187" t="s">
        <v>281</v>
      </c>
      <c r="G12" s="188" t="s">
        <v>282</v>
      </c>
      <c r="H12" s="189">
        <v>22</v>
      </c>
      <c r="I12" s="189">
        <v>16810</v>
      </c>
      <c r="J12" s="190">
        <f>SUM(H12*I12)</f>
        <v>369820</v>
      </c>
      <c r="K12" s="191">
        <f>$J$12*0.6</f>
        <v>221892</v>
      </c>
      <c r="L12" s="191">
        <f>$J$12*0.15</f>
        <v>55473</v>
      </c>
      <c r="M12" s="191">
        <f t="shared" ref="M12:N12" si="5">$J$12*0.1</f>
        <v>36982</v>
      </c>
      <c r="N12" s="191">
        <f t="shared" si="5"/>
        <v>36982</v>
      </c>
      <c r="O12" s="191">
        <f>$J$12*0.05</f>
        <v>18491</v>
      </c>
      <c r="P12" s="189">
        <f>SUM(K12:O12)</f>
        <v>369820</v>
      </c>
      <c r="Q12" s="192" t="s">
        <v>290</v>
      </c>
    </row>
    <row r="13" spans="2:17" ht="36" customHeight="1">
      <c r="B13" s="338"/>
      <c r="C13" s="355"/>
      <c r="D13" s="350"/>
      <c r="E13" s="186" t="s">
        <v>47</v>
      </c>
      <c r="F13" s="187" t="s">
        <v>288</v>
      </c>
      <c r="G13" s="188" t="s">
        <v>269</v>
      </c>
      <c r="H13" s="189">
        <v>12</v>
      </c>
      <c r="I13" s="189">
        <f>55*20</f>
        <v>1100</v>
      </c>
      <c r="J13" s="190">
        <f t="shared" ref="J13:J24" si="6">SUM(H13*I13)</f>
        <v>13200</v>
      </c>
      <c r="K13" s="191">
        <f>$J$13*(4/12)</f>
        <v>4400</v>
      </c>
      <c r="L13" s="191">
        <f>$J$13*(4/12)</f>
        <v>4400</v>
      </c>
      <c r="M13" s="191">
        <f>$J$13*(1/12)</f>
        <v>1100</v>
      </c>
      <c r="N13" s="191">
        <f>$J$13*(1/12)</f>
        <v>1100</v>
      </c>
      <c r="O13" s="191">
        <f>$J$13*(2/12)</f>
        <v>2200</v>
      </c>
      <c r="P13" s="189">
        <f t="shared" ref="P13:P24" si="7">SUM(K13:O13)</f>
        <v>13200</v>
      </c>
      <c r="Q13" s="192" t="s">
        <v>291</v>
      </c>
    </row>
    <row r="14" spans="2:17" ht="50.25" customHeight="1">
      <c r="B14" s="338"/>
      <c r="C14" s="355"/>
      <c r="D14" s="350"/>
      <c r="E14" s="186" t="s">
        <v>47</v>
      </c>
      <c r="F14" s="187" t="s">
        <v>292</v>
      </c>
      <c r="G14" s="188" t="s">
        <v>269</v>
      </c>
      <c r="H14" s="189">
        <v>59986</v>
      </c>
      <c r="I14" s="189">
        <v>10</v>
      </c>
      <c r="J14" s="190">
        <f t="shared" si="6"/>
        <v>599860</v>
      </c>
      <c r="K14" s="191">
        <f>$J$14*(1/10)</f>
        <v>59986</v>
      </c>
      <c r="L14" s="191">
        <f>$J$14*(3/10)</f>
        <v>179958</v>
      </c>
      <c r="M14" s="191">
        <f>$J$14*(3/10)</f>
        <v>179958</v>
      </c>
      <c r="N14" s="191">
        <f>$J$14*(2/10)</f>
        <v>119972</v>
      </c>
      <c r="O14" s="191">
        <f>$J$14*(1/10)</f>
        <v>59986</v>
      </c>
      <c r="P14" s="189">
        <f t="shared" si="7"/>
        <v>599860</v>
      </c>
      <c r="Q14" s="192" t="s">
        <v>293</v>
      </c>
    </row>
    <row r="15" spans="2:17" ht="54.75" customHeight="1">
      <c r="B15" s="338"/>
      <c r="C15" s="355"/>
      <c r="D15" s="359"/>
      <c r="E15" s="186" t="s">
        <v>294</v>
      </c>
      <c r="F15" s="187" t="s">
        <v>292</v>
      </c>
      <c r="G15" s="188" t="s">
        <v>269</v>
      </c>
      <c r="H15" s="267">
        <v>100000</v>
      </c>
      <c r="I15" s="189">
        <v>10</v>
      </c>
      <c r="J15" s="190">
        <f t="shared" ref="J15" si="8">SUM(H15*I15)</f>
        <v>1000000</v>
      </c>
      <c r="K15" s="191">
        <f>$J$15*(1/10)</f>
        <v>100000</v>
      </c>
      <c r="L15" s="191">
        <f>$J$15*(3/10)</f>
        <v>300000</v>
      </c>
      <c r="M15" s="191">
        <f>$J$15*(3/10)</f>
        <v>300000</v>
      </c>
      <c r="N15" s="191">
        <f>$J$15*(2/10)</f>
        <v>200000</v>
      </c>
      <c r="O15" s="191">
        <f>$J$15*(1/10)</f>
        <v>100000</v>
      </c>
      <c r="P15" s="189">
        <f t="shared" ref="P15" si="9">SUM(K15:O15)</f>
        <v>1000000</v>
      </c>
      <c r="Q15" s="192" t="s">
        <v>295</v>
      </c>
    </row>
    <row r="16" spans="2:17">
      <c r="B16" s="338"/>
      <c r="C16" s="355"/>
      <c r="D16" s="196"/>
      <c r="E16" s="197"/>
      <c r="F16" s="198"/>
      <c r="G16" s="199"/>
      <c r="H16" s="199"/>
      <c r="I16" s="200"/>
      <c r="J16" s="201"/>
      <c r="K16" s="200"/>
      <c r="L16" s="200"/>
      <c r="M16" s="200"/>
      <c r="N16" s="200"/>
      <c r="O16" s="200"/>
      <c r="P16" s="200"/>
      <c r="Q16" s="203"/>
    </row>
    <row r="17" spans="2:17" ht="36" customHeight="1">
      <c r="B17" s="338"/>
      <c r="C17" s="355"/>
      <c r="D17" s="360" t="s">
        <v>210</v>
      </c>
      <c r="E17" s="186" t="s">
        <v>47</v>
      </c>
      <c r="F17" s="187" t="s">
        <v>288</v>
      </c>
      <c r="G17" s="188" t="s">
        <v>269</v>
      </c>
      <c r="H17" s="189">
        <v>50</v>
      </c>
      <c r="I17" s="189">
        <f>55*40</f>
        <v>2200</v>
      </c>
      <c r="J17" s="190">
        <f t="shared" si="6"/>
        <v>110000</v>
      </c>
      <c r="K17" s="191">
        <f>$J$17*(2/10)</f>
        <v>22000</v>
      </c>
      <c r="L17" s="191">
        <f t="shared" ref="L17:O17" si="10">$J$17*(2/10)</f>
        <v>22000</v>
      </c>
      <c r="M17" s="191">
        <f t="shared" si="10"/>
        <v>22000</v>
      </c>
      <c r="N17" s="191">
        <f t="shared" si="10"/>
        <v>22000</v>
      </c>
      <c r="O17" s="191">
        <f t="shared" si="10"/>
        <v>22000</v>
      </c>
      <c r="P17" s="189">
        <f t="shared" si="7"/>
        <v>110000</v>
      </c>
      <c r="Q17" s="192" t="s">
        <v>296</v>
      </c>
    </row>
    <row r="18" spans="2:17" ht="37.5" customHeight="1">
      <c r="B18" s="338"/>
      <c r="C18" s="355"/>
      <c r="D18" s="361"/>
      <c r="E18" s="186" t="s">
        <v>47</v>
      </c>
      <c r="F18" s="187" t="s">
        <v>297</v>
      </c>
      <c r="G18" s="188" t="s">
        <v>269</v>
      </c>
      <c r="H18" s="189">
        <v>48</v>
      </c>
      <c r="I18" s="189">
        <f>55*25</f>
        <v>1375</v>
      </c>
      <c r="J18" s="190">
        <f t="shared" si="6"/>
        <v>66000</v>
      </c>
      <c r="K18" s="191">
        <f>$J$18*(2/10)</f>
        <v>13200</v>
      </c>
      <c r="L18" s="191">
        <f t="shared" ref="L18:O18" si="11">$J$18*(2/10)</f>
        <v>13200</v>
      </c>
      <c r="M18" s="191">
        <f t="shared" si="11"/>
        <v>13200</v>
      </c>
      <c r="N18" s="191">
        <f t="shared" si="11"/>
        <v>13200</v>
      </c>
      <c r="O18" s="191">
        <f t="shared" si="11"/>
        <v>13200</v>
      </c>
      <c r="P18" s="189">
        <f t="shared" si="7"/>
        <v>66000</v>
      </c>
      <c r="Q18" s="192" t="s">
        <v>298</v>
      </c>
    </row>
    <row r="19" spans="2:17" ht="47.25" customHeight="1">
      <c r="B19" s="338"/>
      <c r="C19" s="355"/>
      <c r="D19" s="361"/>
      <c r="E19" s="186" t="s">
        <v>294</v>
      </c>
      <c r="F19" s="187" t="s">
        <v>288</v>
      </c>
      <c r="G19" s="188" t="s">
        <v>269</v>
      </c>
      <c r="H19" s="189">
        <v>25</v>
      </c>
      <c r="I19" s="189">
        <f>55*40</f>
        <v>2200</v>
      </c>
      <c r="J19" s="190">
        <f t="shared" si="6"/>
        <v>55000</v>
      </c>
      <c r="K19" s="191">
        <f>$J$19*(2/10)</f>
        <v>11000</v>
      </c>
      <c r="L19" s="191">
        <f t="shared" ref="L19:O19" si="12">$J$19*(2/10)</f>
        <v>11000</v>
      </c>
      <c r="M19" s="191">
        <f t="shared" si="12"/>
        <v>11000</v>
      </c>
      <c r="N19" s="191">
        <f t="shared" si="12"/>
        <v>11000</v>
      </c>
      <c r="O19" s="191">
        <f t="shared" si="12"/>
        <v>11000</v>
      </c>
      <c r="P19" s="189">
        <f t="shared" si="7"/>
        <v>55000</v>
      </c>
      <c r="Q19" s="192" t="s">
        <v>299</v>
      </c>
    </row>
    <row r="20" spans="2:17" ht="56.25" customHeight="1">
      <c r="B20" s="338"/>
      <c r="C20" s="355"/>
      <c r="D20" s="361"/>
      <c r="E20" s="186" t="s">
        <v>294</v>
      </c>
      <c r="F20" s="187" t="s">
        <v>297</v>
      </c>
      <c r="G20" s="188" t="s">
        <v>269</v>
      </c>
      <c r="H20" s="189">
        <v>60</v>
      </c>
      <c r="I20" s="189">
        <f>55*25</f>
        <v>1375</v>
      </c>
      <c r="J20" s="190">
        <f t="shared" si="6"/>
        <v>82500</v>
      </c>
      <c r="K20" s="191">
        <f>$J$20*(2/10)</f>
        <v>16500</v>
      </c>
      <c r="L20" s="191">
        <f>$J$20*(2/10)</f>
        <v>16500</v>
      </c>
      <c r="M20" s="191">
        <f>$J$20*(2/10)</f>
        <v>16500</v>
      </c>
      <c r="N20" s="191">
        <f>$J$20*(2/10)</f>
        <v>16500</v>
      </c>
      <c r="O20" s="191">
        <f>$J$20*(2/10)</f>
        <v>16500</v>
      </c>
      <c r="P20" s="189">
        <f t="shared" si="7"/>
        <v>82500</v>
      </c>
      <c r="Q20" s="192" t="s">
        <v>300</v>
      </c>
    </row>
    <row r="21" spans="2:17" ht="39" customHeight="1">
      <c r="B21" s="338"/>
      <c r="C21" s="355"/>
      <c r="D21" s="362"/>
      <c r="E21" s="186" t="s">
        <v>294</v>
      </c>
      <c r="F21" s="187" t="s">
        <v>286</v>
      </c>
      <c r="G21" s="188" t="s">
        <v>269</v>
      </c>
      <c r="H21" s="189">
        <v>422</v>
      </c>
      <c r="I21" s="189">
        <v>300</v>
      </c>
      <c r="J21" s="190">
        <f t="shared" si="6"/>
        <v>126600</v>
      </c>
      <c r="K21" s="191">
        <f>$J$21*(2/10)</f>
        <v>25320</v>
      </c>
      <c r="L21" s="191">
        <f t="shared" ref="L21:O21" si="13">$J$21*(2/10)</f>
        <v>25320</v>
      </c>
      <c r="M21" s="191">
        <f t="shared" si="13"/>
        <v>25320</v>
      </c>
      <c r="N21" s="191">
        <f t="shared" si="13"/>
        <v>25320</v>
      </c>
      <c r="O21" s="191">
        <f t="shared" si="13"/>
        <v>25320</v>
      </c>
      <c r="P21" s="189">
        <f t="shared" si="7"/>
        <v>126600</v>
      </c>
      <c r="Q21" s="192" t="s">
        <v>301</v>
      </c>
    </row>
    <row r="22" spans="2:17">
      <c r="B22" s="338"/>
      <c r="C22" s="355"/>
      <c r="D22" s="196"/>
      <c r="E22" s="197"/>
      <c r="F22" s="198"/>
      <c r="G22" s="199"/>
      <c r="H22" s="200"/>
      <c r="I22" s="200"/>
      <c r="J22" s="201"/>
      <c r="K22" s="200"/>
      <c r="L22" s="200"/>
      <c r="M22" s="200"/>
      <c r="N22" s="200"/>
      <c r="O22" s="200"/>
      <c r="P22" s="200"/>
      <c r="Q22" s="203"/>
    </row>
    <row r="23" spans="2:17" ht="30" customHeight="1">
      <c r="B23" s="338"/>
      <c r="C23" s="355"/>
      <c r="D23" s="349" t="s">
        <v>211</v>
      </c>
      <c r="E23" s="186" t="s">
        <v>47</v>
      </c>
      <c r="F23" s="204" t="s">
        <v>288</v>
      </c>
      <c r="G23" s="188" t="s">
        <v>269</v>
      </c>
      <c r="H23" s="191">
        <v>20</v>
      </c>
      <c r="I23" s="191">
        <f>55*15</f>
        <v>825</v>
      </c>
      <c r="J23" s="190">
        <f t="shared" si="6"/>
        <v>16500</v>
      </c>
      <c r="K23" s="191">
        <f>$J$23*(2/10)</f>
        <v>3300</v>
      </c>
      <c r="L23" s="191">
        <f t="shared" ref="L23:O23" si="14">$J$23*(2/10)</f>
        <v>3300</v>
      </c>
      <c r="M23" s="191">
        <f t="shared" si="14"/>
        <v>3300</v>
      </c>
      <c r="N23" s="191">
        <f t="shared" si="14"/>
        <v>3300</v>
      </c>
      <c r="O23" s="191">
        <f t="shared" si="14"/>
        <v>3300</v>
      </c>
      <c r="P23" s="189">
        <f t="shared" si="7"/>
        <v>16500</v>
      </c>
      <c r="Q23" s="192" t="s">
        <v>302</v>
      </c>
    </row>
    <row r="24" spans="2:17" ht="31.5" customHeight="1">
      <c r="B24" s="338"/>
      <c r="C24" s="355"/>
      <c r="D24" s="363"/>
      <c r="E24" s="205" t="s">
        <v>294</v>
      </c>
      <c r="F24" s="204" t="s">
        <v>303</v>
      </c>
      <c r="G24" s="188" t="s">
        <v>269</v>
      </c>
      <c r="H24" s="191">
        <v>75</v>
      </c>
      <c r="I24" s="191">
        <v>15000</v>
      </c>
      <c r="J24" s="190">
        <f t="shared" si="6"/>
        <v>1125000</v>
      </c>
      <c r="K24" s="191">
        <f>$J$24*(2/10)</f>
        <v>225000</v>
      </c>
      <c r="L24" s="191">
        <f t="shared" ref="L24:O24" si="15">$J$24*(2/10)</f>
        <v>225000</v>
      </c>
      <c r="M24" s="191">
        <f t="shared" si="15"/>
        <v>225000</v>
      </c>
      <c r="N24" s="191">
        <f t="shared" si="15"/>
        <v>225000</v>
      </c>
      <c r="O24" s="191">
        <f t="shared" si="15"/>
        <v>225000</v>
      </c>
      <c r="P24" s="189">
        <f t="shared" si="7"/>
        <v>1125000</v>
      </c>
      <c r="Q24" s="192" t="s">
        <v>304</v>
      </c>
    </row>
    <row r="25" spans="2:17">
      <c r="B25" s="338"/>
      <c r="C25" s="355"/>
      <c r="D25" s="206"/>
      <c r="E25" s="207"/>
      <c r="F25" s="208"/>
      <c r="G25" s="209"/>
      <c r="H25" s="210"/>
      <c r="I25" s="210"/>
      <c r="J25" s="211"/>
      <c r="K25" s="210"/>
      <c r="L25" s="210"/>
      <c r="M25" s="210"/>
      <c r="N25" s="210"/>
      <c r="O25" s="210"/>
      <c r="P25" s="212"/>
      <c r="Q25" s="213"/>
    </row>
    <row r="26" spans="2:17" ht="33" customHeight="1">
      <c r="B26" s="338"/>
      <c r="C26" s="355"/>
      <c r="D26" s="349" t="s">
        <v>212</v>
      </c>
      <c r="E26" s="214" t="s">
        <v>294</v>
      </c>
      <c r="F26" s="204" t="s">
        <v>286</v>
      </c>
      <c r="G26" s="188" t="s">
        <v>269</v>
      </c>
      <c r="H26" s="191">
        <v>600</v>
      </c>
      <c r="I26" s="191">
        <v>300</v>
      </c>
      <c r="J26" s="190">
        <f t="shared" ref="J26:J28" si="16">SUM(H26*I26)</f>
        <v>180000</v>
      </c>
      <c r="K26" s="191">
        <f>$J$26*(2/10)</f>
        <v>36000</v>
      </c>
      <c r="L26" s="191">
        <f t="shared" ref="L26:O26" si="17">$J$26*(2/10)</f>
        <v>36000</v>
      </c>
      <c r="M26" s="191">
        <f t="shared" si="17"/>
        <v>36000</v>
      </c>
      <c r="N26" s="191">
        <f t="shared" si="17"/>
        <v>36000</v>
      </c>
      <c r="O26" s="191">
        <f t="shared" si="17"/>
        <v>36000</v>
      </c>
      <c r="P26" s="191">
        <f t="shared" ref="P26:P28" si="18">SUM(K26:O26)</f>
        <v>180000</v>
      </c>
      <c r="Q26" s="215" t="s">
        <v>305</v>
      </c>
    </row>
    <row r="27" spans="2:17" ht="36.75" customHeight="1">
      <c r="B27" s="338"/>
      <c r="C27" s="355"/>
      <c r="D27" s="350"/>
      <c r="E27" s="214" t="s">
        <v>294</v>
      </c>
      <c r="F27" s="216" t="s">
        <v>288</v>
      </c>
      <c r="G27" s="217" t="s">
        <v>269</v>
      </c>
      <c r="H27" s="218">
        <v>100</v>
      </c>
      <c r="I27" s="189">
        <f>55*22</f>
        <v>1210</v>
      </c>
      <c r="J27" s="190">
        <f t="shared" si="16"/>
        <v>121000</v>
      </c>
      <c r="K27" s="191">
        <f>$J$27*(2/10)</f>
        <v>24200</v>
      </c>
      <c r="L27" s="191">
        <f t="shared" ref="L27:O27" si="19">$J$27*(2/10)</f>
        <v>24200</v>
      </c>
      <c r="M27" s="191">
        <f t="shared" si="19"/>
        <v>24200</v>
      </c>
      <c r="N27" s="191">
        <f t="shared" si="19"/>
        <v>24200</v>
      </c>
      <c r="O27" s="191">
        <f t="shared" si="19"/>
        <v>24200</v>
      </c>
      <c r="P27" s="191">
        <f t="shared" si="18"/>
        <v>121000</v>
      </c>
      <c r="Q27" s="215" t="s">
        <v>306</v>
      </c>
    </row>
    <row r="28" spans="2:17" ht="27.75" customHeight="1">
      <c r="B28" s="338"/>
      <c r="C28" s="355"/>
      <c r="D28" s="363"/>
      <c r="E28" s="214" t="s">
        <v>47</v>
      </c>
      <c r="F28" s="216" t="s">
        <v>307</v>
      </c>
      <c r="G28" s="217" t="s">
        <v>282</v>
      </c>
      <c r="H28" s="218">
        <v>18</v>
      </c>
      <c r="I28" s="189">
        <v>16810</v>
      </c>
      <c r="J28" s="190">
        <f t="shared" si="16"/>
        <v>302580</v>
      </c>
      <c r="K28" s="191"/>
      <c r="L28" s="218"/>
      <c r="M28" s="218"/>
      <c r="N28" s="191">
        <f>$J$28*(5/10)</f>
        <v>151290</v>
      </c>
      <c r="O28" s="191">
        <f>$J$28*(5/10)</f>
        <v>151290</v>
      </c>
      <c r="P28" s="191">
        <f t="shared" si="18"/>
        <v>302580</v>
      </c>
      <c r="Q28" s="215" t="s">
        <v>308</v>
      </c>
    </row>
    <row r="29" spans="2:17" ht="15.75" thickBot="1">
      <c r="B29" s="338"/>
      <c r="C29" s="356"/>
      <c r="D29" s="213"/>
      <c r="E29" s="207"/>
      <c r="F29" s="208"/>
      <c r="G29" s="219"/>
      <c r="H29" s="210"/>
      <c r="I29" s="210"/>
      <c r="J29" s="211"/>
      <c r="K29" s="210"/>
      <c r="L29" s="210"/>
      <c r="M29" s="210"/>
      <c r="N29" s="210"/>
      <c r="O29" s="210"/>
      <c r="P29" s="212"/>
      <c r="Q29" s="213"/>
    </row>
    <row r="30" spans="2:17" ht="16.5" thickTop="1" thickBot="1">
      <c r="B30" s="338"/>
      <c r="C30" s="220" t="s">
        <v>309</v>
      </c>
      <c r="D30" s="221"/>
      <c r="E30" s="222"/>
      <c r="F30" s="223"/>
      <c r="G30" s="224"/>
      <c r="H30" s="225"/>
      <c r="I30" s="225"/>
      <c r="J30" s="226">
        <f t="shared" ref="J30:O30" si="20">SUM(J7:J28)</f>
        <v>5000000</v>
      </c>
      <c r="K30" s="226">
        <f t="shared" si="20"/>
        <v>1156961.5</v>
      </c>
      <c r="L30" s="226">
        <f t="shared" si="20"/>
        <v>1091984.5</v>
      </c>
      <c r="M30" s="226">
        <f t="shared" si="20"/>
        <v>975637.25</v>
      </c>
      <c r="N30" s="226">
        <f t="shared" si="20"/>
        <v>966941.25</v>
      </c>
      <c r="O30" s="226">
        <f t="shared" si="20"/>
        <v>808475.5</v>
      </c>
      <c r="P30" s="226">
        <f>SUM(P7:P29)</f>
        <v>5000000</v>
      </c>
      <c r="Q30" s="227"/>
    </row>
    <row r="31" spans="2:17" ht="45.75" customHeight="1" thickTop="1">
      <c r="B31" s="338"/>
      <c r="C31" s="364" t="s">
        <v>310</v>
      </c>
      <c r="D31" s="228" t="s">
        <v>213</v>
      </c>
      <c r="E31" s="186" t="s">
        <v>47</v>
      </c>
      <c r="F31" s="187" t="s">
        <v>307</v>
      </c>
      <c r="G31" s="188" t="s">
        <v>282</v>
      </c>
      <c r="H31" s="189">
        <v>20</v>
      </c>
      <c r="I31" s="189">
        <v>16810</v>
      </c>
      <c r="J31" s="190">
        <f>SUM(H31*I31)</f>
        <v>336200</v>
      </c>
      <c r="K31" s="191">
        <f>$J$31*(6/18)</f>
        <v>112066.66666666666</v>
      </c>
      <c r="L31" s="191">
        <f>$J$31*(6/18)</f>
        <v>112066.66666666666</v>
      </c>
      <c r="M31" s="191">
        <f>$J$31*(2/18)</f>
        <v>37355.555555555555</v>
      </c>
      <c r="N31" s="191">
        <f>$J$31*(2/18)</f>
        <v>37355.555555555555</v>
      </c>
      <c r="O31" s="191">
        <f>$J$31*(2/18)</f>
        <v>37355.555555555555</v>
      </c>
      <c r="P31" s="189">
        <f>SUM(K31:O31)</f>
        <v>336200</v>
      </c>
      <c r="Q31" s="192" t="s">
        <v>311</v>
      </c>
    </row>
    <row r="32" spans="2:17" ht="45.75" customHeight="1">
      <c r="B32" s="338"/>
      <c r="C32" s="365"/>
      <c r="D32" s="229"/>
      <c r="E32" s="186" t="s">
        <v>294</v>
      </c>
      <c r="F32" s="187" t="s">
        <v>284</v>
      </c>
      <c r="G32" s="188" t="s">
        <v>282</v>
      </c>
      <c r="H32" s="189">
        <v>10</v>
      </c>
      <c r="I32" s="189">
        <v>16810</v>
      </c>
      <c r="J32" s="190">
        <f>SUM(H32*I32)</f>
        <v>168100</v>
      </c>
      <c r="K32" s="191">
        <f>$J$32*0.7</f>
        <v>117669.99999999999</v>
      </c>
      <c r="L32" s="189"/>
      <c r="M32" s="191">
        <f>$J$32*0.3</f>
        <v>50430</v>
      </c>
      <c r="N32" s="189"/>
      <c r="O32" s="189"/>
      <c r="P32" s="189">
        <f>SUM(K32:O32)</f>
        <v>168100</v>
      </c>
      <c r="Q32" s="192" t="s">
        <v>338</v>
      </c>
    </row>
    <row r="33" spans="2:17">
      <c r="B33" s="338"/>
      <c r="C33" s="365"/>
      <c r="D33" s="230"/>
      <c r="E33" s="197"/>
      <c r="F33" s="198"/>
      <c r="G33" s="199"/>
      <c r="H33" s="200"/>
      <c r="I33" s="200"/>
      <c r="J33" s="201"/>
      <c r="K33" s="200"/>
      <c r="L33" s="200"/>
      <c r="M33" s="200"/>
      <c r="N33" s="200"/>
      <c r="O33" s="200"/>
      <c r="P33" s="200"/>
      <c r="Q33" s="202"/>
    </row>
    <row r="34" spans="2:17" ht="45" customHeight="1">
      <c r="B34" s="338"/>
      <c r="C34" s="365"/>
      <c r="D34" s="367" t="s">
        <v>214</v>
      </c>
      <c r="E34" s="186" t="s">
        <v>47</v>
      </c>
      <c r="F34" s="187" t="s">
        <v>281</v>
      </c>
      <c r="G34" s="188" t="s">
        <v>282</v>
      </c>
      <c r="H34" s="189">
        <v>26</v>
      </c>
      <c r="I34" s="189">
        <v>16810</v>
      </c>
      <c r="J34" s="190">
        <f>SUM(H34*I34)</f>
        <v>437060</v>
      </c>
      <c r="K34" s="191">
        <f>$J$34*(5/20)</f>
        <v>109265</v>
      </c>
      <c r="L34" s="191">
        <f>$J$34*(4/20)</f>
        <v>87412</v>
      </c>
      <c r="M34" s="191">
        <f>$J$34*(4/20)</f>
        <v>87412</v>
      </c>
      <c r="N34" s="191">
        <f>$J$34*(4/20)</f>
        <v>87412</v>
      </c>
      <c r="O34" s="191">
        <f>$J$34*(3/20)</f>
        <v>65559</v>
      </c>
      <c r="P34" s="189">
        <f>SUM(K34:O34)</f>
        <v>437060</v>
      </c>
      <c r="Q34" s="192" t="s">
        <v>312</v>
      </c>
    </row>
    <row r="35" spans="2:17" ht="30.75" customHeight="1">
      <c r="B35" s="338"/>
      <c r="C35" s="365"/>
      <c r="D35" s="368"/>
      <c r="E35" s="186" t="s">
        <v>47</v>
      </c>
      <c r="F35" s="187" t="s">
        <v>307</v>
      </c>
      <c r="G35" s="188" t="s">
        <v>282</v>
      </c>
      <c r="H35" s="189">
        <v>20</v>
      </c>
      <c r="I35" s="189">
        <v>16810</v>
      </c>
      <c r="J35" s="190">
        <f>SUM(H35*I35)</f>
        <v>336200</v>
      </c>
      <c r="K35" s="191"/>
      <c r="L35" s="191"/>
      <c r="M35" s="191">
        <f>$J$35</f>
        <v>336200</v>
      </c>
      <c r="N35" s="191"/>
      <c r="O35" s="191"/>
      <c r="P35" s="189">
        <f>SUM(K35:O35)</f>
        <v>336200</v>
      </c>
      <c r="Q35" s="192" t="s">
        <v>313</v>
      </c>
    </row>
    <row r="36" spans="2:17" ht="39" customHeight="1">
      <c r="B36" s="338"/>
      <c r="C36" s="365"/>
      <c r="D36" s="368"/>
      <c r="E36" s="186" t="s">
        <v>47</v>
      </c>
      <c r="F36" s="187" t="s">
        <v>286</v>
      </c>
      <c r="G36" s="188" t="s">
        <v>269</v>
      </c>
      <c r="H36" s="189">
        <v>429.8</v>
      </c>
      <c r="I36" s="189">
        <v>300</v>
      </c>
      <c r="J36" s="190">
        <f t="shared" ref="J36" si="21">SUM(H36*I36)</f>
        <v>128940</v>
      </c>
      <c r="K36" s="191">
        <f>$J$36/5</f>
        <v>25788</v>
      </c>
      <c r="L36" s="191">
        <f>$J$36/5</f>
        <v>25788</v>
      </c>
      <c r="M36" s="191">
        <f>$J$36/5</f>
        <v>25788</v>
      </c>
      <c r="N36" s="191">
        <f>$J$36/5</f>
        <v>25788</v>
      </c>
      <c r="O36" s="191">
        <f>$J$36/5</f>
        <v>25788</v>
      </c>
      <c r="P36" s="189">
        <f t="shared" ref="P36" si="22">SUM(K36:O36)</f>
        <v>128940</v>
      </c>
      <c r="Q36" s="192" t="s">
        <v>339</v>
      </c>
    </row>
    <row r="37" spans="2:17" ht="39" customHeight="1">
      <c r="B37" s="338"/>
      <c r="C37" s="365"/>
      <c r="D37" s="368"/>
      <c r="E37" s="186" t="s">
        <v>294</v>
      </c>
      <c r="F37" s="187" t="s">
        <v>314</v>
      </c>
      <c r="G37" s="188" t="s">
        <v>315</v>
      </c>
      <c r="H37" s="189">
        <v>20</v>
      </c>
      <c r="I37" s="189">
        <f>54.5*37</f>
        <v>2016.5</v>
      </c>
      <c r="J37" s="190">
        <f>SUM(H37*I37)</f>
        <v>40330</v>
      </c>
      <c r="K37" s="191">
        <f>$J$37*(3/15)</f>
        <v>8066</v>
      </c>
      <c r="L37" s="191">
        <f>$J$37*(3/15)</f>
        <v>8066</v>
      </c>
      <c r="M37" s="191">
        <f>$J$37*(3/15)</f>
        <v>8066</v>
      </c>
      <c r="N37" s="191">
        <f>$J$37*(3/15)</f>
        <v>8066</v>
      </c>
      <c r="O37" s="191">
        <f>$J$37*(3/15)</f>
        <v>8066</v>
      </c>
      <c r="P37" s="189">
        <f>SUM(K37:O37)</f>
        <v>40330</v>
      </c>
      <c r="Q37" s="192" t="s">
        <v>316</v>
      </c>
    </row>
    <row r="38" spans="2:17" ht="42.75" customHeight="1">
      <c r="B38" s="338"/>
      <c r="C38" s="365"/>
      <c r="D38" s="339"/>
      <c r="E38" s="186" t="s">
        <v>294</v>
      </c>
      <c r="F38" s="187" t="s">
        <v>292</v>
      </c>
      <c r="G38" s="188" t="s">
        <v>315</v>
      </c>
      <c r="H38" s="189">
        <v>22</v>
      </c>
      <c r="I38" s="189">
        <v>18000</v>
      </c>
      <c r="J38" s="190">
        <f>SUM(H38*I38)</f>
        <v>396000</v>
      </c>
      <c r="K38" s="191">
        <f>$J$38*(3/15)</f>
        <v>79200</v>
      </c>
      <c r="L38" s="191">
        <f t="shared" ref="L38:O38" si="23">$J$38*(3/15)</f>
        <v>79200</v>
      </c>
      <c r="M38" s="191">
        <f t="shared" si="23"/>
        <v>79200</v>
      </c>
      <c r="N38" s="191">
        <f t="shared" si="23"/>
        <v>79200</v>
      </c>
      <c r="O38" s="191">
        <f t="shared" si="23"/>
        <v>79200</v>
      </c>
      <c r="P38" s="189">
        <f>SUM(K38:O38)</f>
        <v>396000</v>
      </c>
      <c r="Q38" s="192" t="s">
        <v>317</v>
      </c>
    </row>
    <row r="39" spans="2:17">
      <c r="B39" s="338"/>
      <c r="C39" s="365"/>
      <c r="D39" s="231"/>
      <c r="E39" s="197"/>
      <c r="F39" s="198"/>
      <c r="G39" s="199"/>
      <c r="H39" s="200"/>
      <c r="I39" s="200"/>
      <c r="J39" s="201"/>
      <c r="K39" s="200"/>
      <c r="L39" s="200"/>
      <c r="M39" s="200"/>
      <c r="N39" s="200"/>
      <c r="O39" s="200"/>
      <c r="P39" s="200"/>
      <c r="Q39" s="202"/>
    </row>
    <row r="40" spans="2:17" ht="51" customHeight="1">
      <c r="B40" s="338"/>
      <c r="C40" s="365"/>
      <c r="D40" s="367" t="s">
        <v>215</v>
      </c>
      <c r="E40" s="186" t="s">
        <v>294</v>
      </c>
      <c r="F40" s="187" t="s">
        <v>307</v>
      </c>
      <c r="G40" s="188" t="s">
        <v>318</v>
      </c>
      <c r="H40" s="189">
        <v>48</v>
      </c>
      <c r="I40" s="189">
        <v>16810</v>
      </c>
      <c r="J40" s="190">
        <f>SUM(H40*I40)</f>
        <v>806880</v>
      </c>
      <c r="K40" s="191">
        <f>$J$40*(10/50)</f>
        <v>161376</v>
      </c>
      <c r="L40" s="191">
        <f t="shared" ref="L40:O40" si="24">$J$40*(10/50)</f>
        <v>161376</v>
      </c>
      <c r="M40" s="191">
        <f t="shared" si="24"/>
        <v>161376</v>
      </c>
      <c r="N40" s="191">
        <f t="shared" si="24"/>
        <v>161376</v>
      </c>
      <c r="O40" s="191">
        <f t="shared" si="24"/>
        <v>161376</v>
      </c>
      <c r="P40" s="189">
        <f>SUM(K40:O40)</f>
        <v>806880</v>
      </c>
      <c r="Q40" s="192" t="s">
        <v>319</v>
      </c>
    </row>
    <row r="41" spans="2:17" ht="21">
      <c r="B41" s="338"/>
      <c r="C41" s="365"/>
      <c r="D41" s="338"/>
      <c r="E41" s="186" t="s">
        <v>294</v>
      </c>
      <c r="F41" s="187" t="s">
        <v>307</v>
      </c>
      <c r="G41" s="188" t="s">
        <v>282</v>
      </c>
      <c r="H41" s="189">
        <v>48</v>
      </c>
      <c r="I41" s="189">
        <v>16810</v>
      </c>
      <c r="J41" s="190">
        <f>SUM(H41*I41)</f>
        <v>806880</v>
      </c>
      <c r="K41" s="191">
        <f>$J$41*(1/5)</f>
        <v>161376</v>
      </c>
      <c r="L41" s="191">
        <f t="shared" ref="L41:O41" si="25">$J$41*(1/5)</f>
        <v>161376</v>
      </c>
      <c r="M41" s="191">
        <f t="shared" si="25"/>
        <v>161376</v>
      </c>
      <c r="N41" s="191">
        <f t="shared" si="25"/>
        <v>161376</v>
      </c>
      <c r="O41" s="191">
        <f t="shared" si="25"/>
        <v>161376</v>
      </c>
      <c r="P41" s="189">
        <f>SUM(K41:O41)</f>
        <v>806880</v>
      </c>
      <c r="Q41" s="336" t="s">
        <v>320</v>
      </c>
    </row>
    <row r="42" spans="2:17" ht="21">
      <c r="B42" s="338"/>
      <c r="C42" s="365"/>
      <c r="D42" s="338"/>
      <c r="E42" s="186" t="s">
        <v>294</v>
      </c>
      <c r="F42" s="187" t="s">
        <v>286</v>
      </c>
      <c r="G42" s="188" t="s">
        <v>269</v>
      </c>
      <c r="H42" s="189">
        <v>305.7</v>
      </c>
      <c r="I42" s="189">
        <v>300</v>
      </c>
      <c r="J42" s="190">
        <f t="shared" ref="J42" si="26">SUM(H42*I42)</f>
        <v>91710</v>
      </c>
      <c r="K42" s="191">
        <f>$J$42/5</f>
        <v>18342</v>
      </c>
      <c r="L42" s="191">
        <f>$J$42/5</f>
        <v>18342</v>
      </c>
      <c r="M42" s="191">
        <f>$J$42/5</f>
        <v>18342</v>
      </c>
      <c r="N42" s="191">
        <f>$J$42/5</f>
        <v>18342</v>
      </c>
      <c r="O42" s="191">
        <f>$J$42/5</f>
        <v>18342</v>
      </c>
      <c r="P42" s="189">
        <f t="shared" ref="P42" si="27">SUM(K42:O42)</f>
        <v>91710</v>
      </c>
      <c r="Q42" s="369"/>
    </row>
    <row r="43" spans="2:17" ht="24.75" customHeight="1">
      <c r="B43" s="338"/>
      <c r="C43" s="365"/>
      <c r="D43" s="338"/>
      <c r="E43" s="186" t="s">
        <v>47</v>
      </c>
      <c r="F43" s="187" t="s">
        <v>307</v>
      </c>
      <c r="G43" s="188" t="s">
        <v>282</v>
      </c>
      <c r="H43" s="189">
        <v>70</v>
      </c>
      <c r="I43" s="189">
        <v>16810</v>
      </c>
      <c r="J43" s="190">
        <f>SUM(H43*I43)</f>
        <v>1176700</v>
      </c>
      <c r="K43" s="191">
        <f>$J$43*(1/5)</f>
        <v>235340</v>
      </c>
      <c r="L43" s="191">
        <f>$J$43*(1/5)</f>
        <v>235340</v>
      </c>
      <c r="M43" s="191">
        <f>$J$43*(1/5)</f>
        <v>235340</v>
      </c>
      <c r="N43" s="191">
        <f>$J$43*(1/5)</f>
        <v>235340</v>
      </c>
      <c r="O43" s="191">
        <f>$J$43*(1/5)</f>
        <v>235340</v>
      </c>
      <c r="P43" s="189">
        <f>SUM(K43:O43)</f>
        <v>1176700</v>
      </c>
      <c r="Q43" s="292"/>
    </row>
    <row r="44" spans="2:17" ht="42.75" customHeight="1">
      <c r="B44" s="338"/>
      <c r="C44" s="365"/>
      <c r="D44" s="338"/>
      <c r="E44" s="205" t="s">
        <v>47</v>
      </c>
      <c r="F44" s="204" t="s">
        <v>288</v>
      </c>
      <c r="G44" s="232" t="s">
        <v>315</v>
      </c>
      <c r="H44" s="191">
        <v>40</v>
      </c>
      <c r="I44" s="269">
        <f>55*80</f>
        <v>4400</v>
      </c>
      <c r="J44" s="190">
        <f>SUM(H44*I44)</f>
        <v>176000</v>
      </c>
      <c r="K44" s="191"/>
      <c r="L44" s="191">
        <f>J44/2</f>
        <v>88000</v>
      </c>
      <c r="M44" s="191"/>
      <c r="N44" s="191">
        <f>J44/2</f>
        <v>88000</v>
      </c>
      <c r="O44" s="191"/>
      <c r="P44" s="189">
        <f>SUM(K44:O44)</f>
        <v>176000</v>
      </c>
      <c r="Q44" s="192" t="s">
        <v>340</v>
      </c>
    </row>
    <row r="45" spans="2:17" ht="64.5" customHeight="1">
      <c r="B45" s="338"/>
      <c r="C45" s="365"/>
      <c r="D45" s="338"/>
      <c r="E45" s="205" t="s">
        <v>47</v>
      </c>
      <c r="F45" s="204" t="s">
        <v>297</v>
      </c>
      <c r="G45" s="232" t="s">
        <v>315</v>
      </c>
      <c r="H45" s="191">
        <v>40</v>
      </c>
      <c r="I45" s="269">
        <f>55*45</f>
        <v>2475</v>
      </c>
      <c r="J45" s="190">
        <f>SUM(H45*I45)</f>
        <v>99000</v>
      </c>
      <c r="K45" s="191">
        <f>$J$45*(1/10)</f>
        <v>9900</v>
      </c>
      <c r="L45" s="191">
        <f>$J$45*(2/10)</f>
        <v>19800</v>
      </c>
      <c r="M45" s="191">
        <f>$J$45*(3/10)</f>
        <v>29700</v>
      </c>
      <c r="N45" s="191">
        <f>$J$45*(3/10)</f>
        <v>29700</v>
      </c>
      <c r="O45" s="191">
        <f>$J$45*(1/10)</f>
        <v>9900</v>
      </c>
      <c r="P45" s="189">
        <f>SUM(K45:O45)</f>
        <v>99000</v>
      </c>
      <c r="Q45" s="192" t="s">
        <v>321</v>
      </c>
    </row>
    <row r="46" spans="2:17" ht="15.75" thickBot="1">
      <c r="B46" s="358"/>
      <c r="C46" s="366"/>
      <c r="D46" s="233"/>
      <c r="E46" s="234"/>
      <c r="F46" s="235"/>
      <c r="G46" s="236"/>
      <c r="H46" s="237"/>
      <c r="I46" s="237"/>
      <c r="J46" s="238">
        <f t="shared" si="1"/>
        <v>0</v>
      </c>
      <c r="K46" s="237"/>
      <c r="L46" s="237"/>
      <c r="M46" s="237"/>
      <c r="N46" s="237"/>
      <c r="O46" s="237"/>
      <c r="P46" s="239">
        <f t="shared" si="3"/>
        <v>0</v>
      </c>
      <c r="Q46" s="240"/>
    </row>
    <row r="47" spans="2:17" ht="16.5" thickTop="1" thickBot="1">
      <c r="B47" s="220"/>
      <c r="C47" s="220" t="s">
        <v>309</v>
      </c>
      <c r="D47" s="221"/>
      <c r="E47" s="222"/>
      <c r="F47" s="223"/>
      <c r="G47" s="224"/>
      <c r="H47" s="225"/>
      <c r="I47" s="225"/>
      <c r="J47" s="226">
        <f t="shared" ref="J47:P47" si="28">SUM(J31:J45)</f>
        <v>5000000</v>
      </c>
      <c r="K47" s="226">
        <f t="shared" si="28"/>
        <v>1038389.6666666666</v>
      </c>
      <c r="L47" s="226">
        <f t="shared" si="28"/>
        <v>996766.66666666663</v>
      </c>
      <c r="M47" s="226">
        <f t="shared" si="28"/>
        <v>1230585.5555555555</v>
      </c>
      <c r="N47" s="226">
        <f t="shared" si="28"/>
        <v>931955.5555555555</v>
      </c>
      <c r="O47" s="226">
        <f t="shared" si="28"/>
        <v>802302.5555555555</v>
      </c>
      <c r="P47" s="226">
        <f t="shared" si="28"/>
        <v>5000000</v>
      </c>
      <c r="Q47" s="227"/>
    </row>
    <row r="48" spans="2:17" ht="15.75" thickTop="1">
      <c r="B48" s="241"/>
      <c r="C48" s="241"/>
      <c r="D48" s="242"/>
      <c r="E48" s="205"/>
      <c r="F48" s="204"/>
      <c r="G48" s="232"/>
      <c r="H48" s="191"/>
      <c r="I48" s="191"/>
      <c r="J48" s="190"/>
      <c r="K48" s="191"/>
      <c r="L48" s="191"/>
      <c r="M48" s="191"/>
      <c r="N48" s="191"/>
      <c r="O48" s="191"/>
      <c r="P48" s="189"/>
      <c r="Q48" s="243"/>
    </row>
    <row r="49" spans="2:17">
      <c r="B49" s="241"/>
      <c r="C49" s="241"/>
      <c r="D49" s="242"/>
      <c r="E49" s="205"/>
      <c r="F49" s="204"/>
      <c r="G49" s="232"/>
      <c r="H49" s="191"/>
      <c r="I49" s="191"/>
      <c r="J49" s="190"/>
      <c r="K49" s="191"/>
      <c r="L49" s="191"/>
      <c r="M49" s="191"/>
      <c r="N49" s="191"/>
      <c r="O49" s="191"/>
      <c r="P49" s="189"/>
      <c r="Q49" s="243"/>
    </row>
    <row r="50" spans="2:17">
      <c r="B50" s="244" t="s">
        <v>322</v>
      </c>
      <c r="C50" s="244"/>
      <c r="D50" s="244"/>
      <c r="E50" s="244"/>
      <c r="F50" s="244"/>
      <c r="G50" s="245"/>
      <c r="H50" s="245"/>
      <c r="I50" s="245"/>
      <c r="J50" s="245"/>
      <c r="K50" s="168">
        <f t="shared" ref="K50:P50" si="29">K30+K47</f>
        <v>2195351.1666666665</v>
      </c>
      <c r="L50" s="168">
        <f t="shared" si="29"/>
        <v>2088751.1666666665</v>
      </c>
      <c r="M50" s="168">
        <f t="shared" si="29"/>
        <v>2206222.8055555555</v>
      </c>
      <c r="N50" s="168">
        <f t="shared" si="29"/>
        <v>1898896.8055555555</v>
      </c>
      <c r="O50" s="168">
        <f t="shared" si="29"/>
        <v>1610778.0555555555</v>
      </c>
      <c r="P50" s="168">
        <f t="shared" si="29"/>
        <v>10000000</v>
      </c>
      <c r="Q50" s="245"/>
    </row>
    <row r="51" spans="2:17">
      <c r="B51" s="245" t="s">
        <v>323</v>
      </c>
      <c r="C51" s="246" t="str">
        <f>'[1]Title Lists'!H2</f>
        <v>GCF</v>
      </c>
      <c r="D51" s="245"/>
      <c r="E51" s="247"/>
      <c r="F51" s="245"/>
      <c r="G51" s="245"/>
      <c r="H51" s="245"/>
      <c r="I51" s="245"/>
      <c r="J51" s="245"/>
      <c r="K51" s="168">
        <f>K7+K8+K9+K10+K12+K13+K14+K17+K18+K23+K28</f>
        <v>718941.5</v>
      </c>
      <c r="L51" s="168">
        <f t="shared" ref="L51:P51" si="30">L7+L8+L9+L10+L12+L13+L14+L17+L18+L23+L28</f>
        <v>453964.5</v>
      </c>
      <c r="M51" s="168">
        <f t="shared" si="30"/>
        <v>337617.25</v>
      </c>
      <c r="N51" s="168">
        <f t="shared" si="30"/>
        <v>428921.25</v>
      </c>
      <c r="O51" s="168">
        <f t="shared" si="30"/>
        <v>370455.5</v>
      </c>
      <c r="P51" s="168">
        <f t="shared" si="30"/>
        <v>2309900</v>
      </c>
      <c r="Q51" s="245"/>
    </row>
    <row r="52" spans="2:17">
      <c r="B52" s="245" t="s">
        <v>323</v>
      </c>
      <c r="C52" s="246" t="str">
        <f>'[1]Title Lists'!H3</f>
        <v>Country/1</v>
      </c>
      <c r="D52" s="245"/>
      <c r="E52" s="247"/>
      <c r="F52" s="245"/>
      <c r="G52" s="245"/>
      <c r="H52" s="245"/>
      <c r="I52" s="245"/>
      <c r="J52" s="245"/>
      <c r="K52" s="168">
        <f t="shared" ref="K52:P52" si="31">K15+K19+K20+K21+K24+K26+K27</f>
        <v>438020</v>
      </c>
      <c r="L52" s="168">
        <f t="shared" si="31"/>
        <v>638020</v>
      </c>
      <c r="M52" s="168">
        <f t="shared" si="31"/>
        <v>638020</v>
      </c>
      <c r="N52" s="168">
        <f t="shared" si="31"/>
        <v>538020</v>
      </c>
      <c r="O52" s="168">
        <f t="shared" si="31"/>
        <v>438020</v>
      </c>
      <c r="P52" s="168">
        <f t="shared" si="31"/>
        <v>2690100</v>
      </c>
      <c r="Q52" s="245"/>
    </row>
    <row r="53" spans="2:17">
      <c r="B53" s="245" t="s">
        <v>324</v>
      </c>
      <c r="C53" s="246" t="s">
        <v>47</v>
      </c>
      <c r="D53" s="245"/>
      <c r="E53" s="247"/>
      <c r="F53" s="245"/>
      <c r="G53" s="245"/>
      <c r="H53" s="245"/>
      <c r="I53" s="245"/>
      <c r="J53" s="245"/>
      <c r="K53" s="168">
        <f>K31+K34+K35+K44+K45+K43+K36</f>
        <v>492359.66666666663</v>
      </c>
      <c r="L53" s="168">
        <f t="shared" ref="L53:P53" si="32">L31+L34+L35+L44+L45+L43+L36</f>
        <v>568406.66666666663</v>
      </c>
      <c r="M53" s="168">
        <f t="shared" si="32"/>
        <v>751795.5555555555</v>
      </c>
      <c r="N53" s="168">
        <f t="shared" si="32"/>
        <v>503595.55555555556</v>
      </c>
      <c r="O53" s="168">
        <f t="shared" si="32"/>
        <v>373942.55555555556</v>
      </c>
      <c r="P53" s="168">
        <f t="shared" si="32"/>
        <v>2690100</v>
      </c>
      <c r="Q53" s="245"/>
    </row>
    <row r="54" spans="2:17">
      <c r="B54" s="245" t="s">
        <v>324</v>
      </c>
      <c r="C54" s="246" t="s">
        <v>294</v>
      </c>
      <c r="D54" s="245"/>
      <c r="E54" s="247"/>
      <c r="F54" s="245"/>
      <c r="G54" s="245"/>
      <c r="H54" s="245"/>
      <c r="I54" s="245"/>
      <c r="J54" s="245"/>
      <c r="K54" s="168">
        <f>K32+K38+K40+K41+K37+K42</f>
        <v>546030</v>
      </c>
      <c r="L54" s="168">
        <f t="shared" ref="L54:P54" si="33">L32+L38+L40+L41+L37+L42</f>
        <v>428360</v>
      </c>
      <c r="M54" s="168">
        <f t="shared" si="33"/>
        <v>478790</v>
      </c>
      <c r="N54" s="168">
        <f t="shared" si="33"/>
        <v>428360</v>
      </c>
      <c r="O54" s="168">
        <f t="shared" si="33"/>
        <v>428360</v>
      </c>
      <c r="P54" s="168">
        <f t="shared" si="33"/>
        <v>2309900</v>
      </c>
      <c r="Q54" s="245"/>
    </row>
    <row r="55" spans="2:17">
      <c r="B55" s="351" t="s">
        <v>325</v>
      </c>
      <c r="C55" s="352"/>
      <c r="D55" s="352"/>
      <c r="E55" s="352"/>
      <c r="F55" s="352"/>
      <c r="G55" s="352"/>
      <c r="H55" s="352"/>
      <c r="I55" s="352"/>
      <c r="J55" s="353"/>
      <c r="K55" s="248">
        <f>K51+K53</f>
        <v>1211301.1666666665</v>
      </c>
      <c r="L55" s="248">
        <f t="shared" ref="L55:P56" si="34">L51+L53</f>
        <v>1022371.1666666666</v>
      </c>
      <c r="M55" s="248">
        <f t="shared" si="34"/>
        <v>1089412.8055555555</v>
      </c>
      <c r="N55" s="248">
        <f t="shared" si="34"/>
        <v>932516.8055555555</v>
      </c>
      <c r="O55" s="248">
        <f t="shared" si="34"/>
        <v>744398.0555555555</v>
      </c>
      <c r="P55" s="248">
        <f t="shared" si="34"/>
        <v>5000000</v>
      </c>
      <c r="Q55" s="249"/>
    </row>
    <row r="56" spans="2:17">
      <c r="B56" s="351" t="s">
        <v>326</v>
      </c>
      <c r="C56" s="352"/>
      <c r="D56" s="352"/>
      <c r="E56" s="352"/>
      <c r="F56" s="352"/>
      <c r="G56" s="352"/>
      <c r="H56" s="352"/>
      <c r="I56" s="352"/>
      <c r="J56" s="353"/>
      <c r="K56" s="248">
        <f>K52+K54</f>
        <v>984050</v>
      </c>
      <c r="L56" s="248">
        <f t="shared" si="34"/>
        <v>1066380</v>
      </c>
      <c r="M56" s="248">
        <f t="shared" si="34"/>
        <v>1116810</v>
      </c>
      <c r="N56" s="248">
        <f t="shared" si="34"/>
        <v>966380</v>
      </c>
      <c r="O56" s="248">
        <f t="shared" si="34"/>
        <v>866380</v>
      </c>
      <c r="P56" s="248">
        <f t="shared" si="34"/>
        <v>5000000</v>
      </c>
      <c r="Q56" s="249"/>
    </row>
    <row r="59" spans="2:17">
      <c r="B59" s="261" t="s">
        <v>328</v>
      </c>
      <c r="C59" s="261"/>
      <c r="D59" s="261"/>
      <c r="E59" s="262"/>
    </row>
    <row r="60" spans="2:17" ht="45">
      <c r="B60" s="263" t="s">
        <v>329</v>
      </c>
      <c r="C60" s="263" t="s">
        <v>335</v>
      </c>
      <c r="D60" s="263" t="s">
        <v>330</v>
      </c>
      <c r="E60" s="263" t="s">
        <v>336</v>
      </c>
    </row>
    <row r="61" spans="2:17">
      <c r="B61" s="264" t="s">
        <v>331</v>
      </c>
      <c r="C61" s="264">
        <v>21120</v>
      </c>
      <c r="D61" s="265">
        <v>0.1</v>
      </c>
      <c r="E61" s="264">
        <f>C61*D61</f>
        <v>2112</v>
      </c>
    </row>
    <row r="62" spans="2:17">
      <c r="B62" s="264" t="s">
        <v>332</v>
      </c>
      <c r="C62" s="264">
        <v>18775</v>
      </c>
      <c r="D62" s="265">
        <v>0.25</v>
      </c>
      <c r="E62" s="264">
        <f t="shared" ref="E62:E64" si="35">C62*D62</f>
        <v>4693.75</v>
      </c>
    </row>
    <row r="63" spans="2:17">
      <c r="B63" s="264" t="s">
        <v>333</v>
      </c>
      <c r="C63" s="264">
        <v>16430</v>
      </c>
      <c r="D63" s="265">
        <v>0.3</v>
      </c>
      <c r="E63" s="264">
        <f t="shared" si="35"/>
        <v>4929</v>
      </c>
    </row>
    <row r="64" spans="2:17">
      <c r="B64" s="264" t="s">
        <v>334</v>
      </c>
      <c r="C64" s="264">
        <v>14500</v>
      </c>
      <c r="D64" s="265">
        <v>0.35</v>
      </c>
      <c r="E64" s="264">
        <f t="shared" si="35"/>
        <v>5075</v>
      </c>
    </row>
    <row r="65" spans="2:5">
      <c r="B65" s="266" t="s">
        <v>337</v>
      </c>
      <c r="C65" s="266"/>
      <c r="D65" s="266"/>
      <c r="E65" s="266">
        <f>SUM(E61:E64)</f>
        <v>16809.75</v>
      </c>
    </row>
  </sheetData>
  <mergeCells count="15">
    <mergeCell ref="B55:J55"/>
    <mergeCell ref="B56:J56"/>
    <mergeCell ref="G4:J4"/>
    <mergeCell ref="K4:P4"/>
    <mergeCell ref="Q4:Q6"/>
    <mergeCell ref="C7:C29"/>
    <mergeCell ref="B8:B46"/>
    <mergeCell ref="D12:D15"/>
    <mergeCell ref="D17:D21"/>
    <mergeCell ref="D23:D24"/>
    <mergeCell ref="D26:D28"/>
    <mergeCell ref="C31:C46"/>
    <mergeCell ref="D34:D38"/>
    <mergeCell ref="D40:D45"/>
    <mergeCell ref="Q41:Q43"/>
  </mergeCells>
  <dataValidations count="8">
    <dataValidation type="list" allowBlank="1" showInputMessage="1" showErrorMessage="1" sqref="C30:C31 C47:C49" xr:uid="{841D7220-2F29-4B82-816D-FAD235A45E3A}">
      <formula1>Outputs</formula1>
    </dataValidation>
    <dataValidation type="list" allowBlank="1" showInputMessage="1" showErrorMessage="1" sqref="B47:B49" xr:uid="{AAFC7EDB-EB0D-4439-AFA8-BB36FF4D7430}">
      <formula1>Components</formula1>
    </dataValidation>
    <dataValidation type="list" allowBlank="1" showInputMessage="1" showErrorMessage="1" prompt="Please select Budget Categories" sqref="F7 F12" xr:uid="{A4916D96-B61E-4244-8534-A193454533B0}">
      <formula1>Categories</formula1>
    </dataValidation>
    <dataValidation type="list" allowBlank="1" showInputMessage="1" showErrorMessage="1" sqref="F8:F11 F13:F49" xr:uid="{357B82DF-1BD6-43B0-B803-65AD4C8BE987}">
      <formula1>Categories</formula1>
    </dataValidation>
    <dataValidation type="list" allowBlank="1" showInputMessage="1" showErrorMessage="1" prompt="Please select Funding Source" sqref="E7 C51:C54 E12" xr:uid="{CF19D879-7470-4F8E-9C48-BC25262C257E}">
      <formula1>Funding</formula1>
    </dataValidation>
    <dataValidation type="list" allowBlank="1" showInputMessage="1" showErrorMessage="1" sqref="E8:E11 E13:E49" xr:uid="{85AD7734-FDA1-4E73-B5EE-DDECA20B01B9}">
      <formula1>Funding</formula1>
    </dataValidation>
    <dataValidation type="list" allowBlank="1" showInputMessage="1" showErrorMessage="1" prompt="Please select Output" sqref="C7" xr:uid="{55B636CB-1E72-44C0-87B1-BBFCF0BA4743}">
      <formula1>Outputs</formula1>
    </dataValidation>
    <dataValidation type="list" allowBlank="1" showInputMessage="1" showErrorMessage="1" prompt="Please select Component" sqref="B7" xr:uid="{2492C693-14C3-4F48-A3BC-B62D78683F3F}">
      <formula1>Components</formula1>
    </dataValidation>
  </dataValidations>
  <pageMargins left="0.7" right="0.7" top="0.75" bottom="0.75" header="0.3" footer="0.3"/>
  <pageSetup paperSize="9" orientation="portrait" r:id="rId1"/>
  <ignoredErrors>
    <ignoredError sqref="K7:P10 K12:P12 K17:P21 K23:P30 I39 J30 K43:P45 P34 K14:P14 P13 K33:P33 P31 K35:P35 K38:P41 K42 L42:P42 L32 N32:P32"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5B6C4-5C9B-4697-B867-96EE700D93AB}">
  <dimension ref="B2:Q37"/>
  <sheetViews>
    <sheetView zoomScale="81" zoomScaleNormal="160" workbookViewId="0">
      <selection activeCell="C8" sqref="C8"/>
    </sheetView>
  </sheetViews>
  <sheetFormatPr defaultColWidth="9.140625" defaultRowHeight="15"/>
  <cols>
    <col min="1" max="1" width="3.7109375" style="24" customWidth="1"/>
    <col min="2" max="2" width="10.28515625" style="24" hidden="1" customWidth="1"/>
    <col min="3" max="3" width="39.140625" style="24" bestFit="1" customWidth="1"/>
    <col min="4" max="4" width="15.42578125" style="24" bestFit="1" customWidth="1"/>
    <col min="5" max="5" width="7.7109375" style="24" bestFit="1" customWidth="1"/>
    <col min="6" max="15" width="12.7109375" style="24" customWidth="1"/>
    <col min="16" max="16" width="14.42578125" style="24" customWidth="1"/>
    <col min="17" max="17" width="9.140625" style="90"/>
    <col min="18" max="16384" width="9.140625" style="24"/>
  </cols>
  <sheetData>
    <row r="2" spans="2:17" ht="114" customHeight="1">
      <c r="C2" s="370" t="s">
        <v>191</v>
      </c>
      <c r="D2" s="370"/>
      <c r="E2" s="370"/>
    </row>
    <row r="4" spans="2:17" ht="30">
      <c r="B4" s="72" t="s">
        <v>171</v>
      </c>
      <c r="C4" s="72" t="s">
        <v>172</v>
      </c>
      <c r="D4" s="73" t="s">
        <v>173</v>
      </c>
      <c r="E4" s="74" t="s">
        <v>174</v>
      </c>
    </row>
    <row r="5" spans="2:17">
      <c r="B5" s="71"/>
      <c r="C5" s="71" t="s">
        <v>175</v>
      </c>
      <c r="D5" s="75">
        <f>SUM(D6:D6)</f>
        <v>76041793</v>
      </c>
      <c r="E5" s="76">
        <f>D5/D$18</f>
        <v>6.6415800994409163E-2</v>
      </c>
    </row>
    <row r="6" spans="2:17">
      <c r="B6" s="77" t="s">
        <v>176</v>
      </c>
      <c r="C6" s="77" t="s">
        <v>196</v>
      </c>
      <c r="D6" s="78">
        <f>13070310+30923608+32047875</f>
        <v>76041793</v>
      </c>
      <c r="E6" s="79">
        <f t="shared" ref="E6:E18" si="0">D6/D$18</f>
        <v>6.6415800994409163E-2</v>
      </c>
    </row>
    <row r="7" spans="2:17">
      <c r="B7" s="71"/>
      <c r="C7" s="71" t="s">
        <v>177</v>
      </c>
      <c r="D7" s="75">
        <f>SUM(D8:D10)</f>
        <v>609524939.20799994</v>
      </c>
      <c r="E7" s="76">
        <f t="shared" si="0"/>
        <v>0.53236628788550355</v>
      </c>
    </row>
    <row r="8" spans="2:17">
      <c r="B8" s="77" t="s">
        <v>178</v>
      </c>
      <c r="C8" s="77" t="s">
        <v>179</v>
      </c>
      <c r="D8" s="78">
        <f>37168184*0.637</f>
        <v>23676133.208000001</v>
      </c>
      <c r="E8" s="79">
        <f t="shared" si="0"/>
        <v>2.0679014650005031E-2</v>
      </c>
    </row>
    <row r="9" spans="2:17">
      <c r="B9" s="77" t="s">
        <v>180</v>
      </c>
      <c r="C9" s="77" t="s">
        <v>193</v>
      </c>
      <c r="D9" s="78">
        <f>21215385+103395251</f>
        <v>124610636</v>
      </c>
      <c r="E9" s="79">
        <f t="shared" si="0"/>
        <v>0.10883640266560729</v>
      </c>
    </row>
    <row r="10" spans="2:17">
      <c r="B10" s="77" t="s">
        <v>180</v>
      </c>
      <c r="C10" s="77" t="s">
        <v>192</v>
      </c>
      <c r="D10" s="78">
        <f>420214222+41023948</f>
        <v>461238170</v>
      </c>
      <c r="E10" s="79">
        <f t="shared" si="0"/>
        <v>0.40285087056989122</v>
      </c>
    </row>
    <row r="11" spans="2:17">
      <c r="B11" s="71"/>
      <c r="C11" s="71" t="s">
        <v>181</v>
      </c>
      <c r="D11" s="75">
        <f>SUM(D12:D13)</f>
        <v>116242245</v>
      </c>
      <c r="E11" s="76">
        <f t="shared" si="0"/>
        <v>0.10152735103265323</v>
      </c>
    </row>
    <row r="12" spans="2:17">
      <c r="B12" s="77" t="s">
        <v>182</v>
      </c>
      <c r="C12" s="77" t="s">
        <v>183</v>
      </c>
      <c r="D12" s="80">
        <v>39264442</v>
      </c>
      <c r="E12" s="81">
        <f t="shared" si="0"/>
        <v>3.4294027838461423E-2</v>
      </c>
    </row>
    <row r="13" spans="2:17">
      <c r="B13" s="77" t="s">
        <v>184</v>
      </c>
      <c r="C13" s="77" t="s">
        <v>194</v>
      </c>
      <c r="D13" s="80">
        <f>6516300+7490020+30923608+32047875</f>
        <v>76977803</v>
      </c>
      <c r="E13" s="81">
        <f t="shared" si="0"/>
        <v>6.7233323194191813E-2</v>
      </c>
    </row>
    <row r="14" spans="2:17" s="71" customFormat="1">
      <c r="B14" s="71" t="s">
        <v>185</v>
      </c>
      <c r="C14" s="71" t="s">
        <v>195</v>
      </c>
      <c r="D14" s="85">
        <v>19763558</v>
      </c>
      <c r="E14" s="76">
        <f t="shared" si="0"/>
        <v>1.7261725207734949E-2</v>
      </c>
      <c r="Q14" s="90"/>
    </row>
    <row r="15" spans="2:17">
      <c r="B15" s="82" t="s">
        <v>186</v>
      </c>
      <c r="C15" s="71" t="s">
        <v>201</v>
      </c>
      <c r="D15" s="83">
        <f>(D5+D7+D11+D14)*0.23</f>
        <v>188961683.09783998</v>
      </c>
      <c r="E15" s="76">
        <f t="shared" si="0"/>
        <v>0.16504136797766919</v>
      </c>
    </row>
    <row r="16" spans="2:17">
      <c r="B16" s="82"/>
      <c r="C16" s="71" t="s">
        <v>202</v>
      </c>
      <c r="D16" s="75">
        <f>(D5+D7+D11+D14+D15)*0.03</f>
        <v>30316026.549175195</v>
      </c>
      <c r="E16" s="76">
        <f t="shared" si="0"/>
        <v>2.6478375992939101E-2</v>
      </c>
    </row>
    <row r="17" spans="2:17">
      <c r="B17" s="82" t="s">
        <v>187</v>
      </c>
      <c r="C17" s="71" t="s">
        <v>204</v>
      </c>
      <c r="D17" s="75">
        <f>(D5+D7+D11+D14+D15+D16)*0.1</f>
        <v>104085024.48550151</v>
      </c>
      <c r="E17" s="76">
        <f t="shared" si="0"/>
        <v>9.0909090909090912E-2</v>
      </c>
    </row>
    <row r="18" spans="2:17" ht="15.75" thickBot="1">
      <c r="B18" s="71"/>
      <c r="C18" s="71" t="s">
        <v>188</v>
      </c>
      <c r="D18" s="84">
        <f>D5+D7+D11+D14+D15+D16+D17</f>
        <v>1144935269.3405166</v>
      </c>
      <c r="E18" s="76">
        <f t="shared" si="0"/>
        <v>1</v>
      </c>
    </row>
    <row r="19" spans="2:17" ht="15.75" thickTop="1">
      <c r="D19" s="80"/>
      <c r="E19" s="81"/>
    </row>
    <row r="20" spans="2:17">
      <c r="C20" s="24" t="s">
        <v>189</v>
      </c>
      <c r="D20" s="80">
        <f>(D6+D8+D9+D12+D13)*1.1</f>
        <v>374627887.92880005</v>
      </c>
      <c r="E20" s="81">
        <f>D20/D$23</f>
        <v>0.32720442627694218</v>
      </c>
    </row>
    <row r="21" spans="2:17">
      <c r="C21" s="24" t="s">
        <v>203</v>
      </c>
      <c r="D21" s="80">
        <f>(D10)*1.1</f>
        <v>507361987.00000006</v>
      </c>
      <c r="E21" s="81">
        <f t="shared" ref="E21:E23" si="1">D21/D$23</f>
        <v>0.44313595762688029</v>
      </c>
    </row>
    <row r="22" spans="2:17">
      <c r="C22" s="24" t="s">
        <v>190</v>
      </c>
      <c r="D22" s="80">
        <f>(D14+D15+D16)*1.1</f>
        <v>262945394.41171673</v>
      </c>
      <c r="E22" s="81">
        <f t="shared" si="1"/>
        <v>0.22965961609617755</v>
      </c>
    </row>
    <row r="23" spans="2:17" ht="15.75" thickBot="1">
      <c r="B23" s="71"/>
      <c r="C23" s="71" t="s">
        <v>188</v>
      </c>
      <c r="D23" s="84">
        <f>SUM(D20:D22)</f>
        <v>1144935269.3405168</v>
      </c>
      <c r="E23" s="76">
        <f t="shared" si="1"/>
        <v>1</v>
      </c>
    </row>
    <row r="24" spans="2:17" ht="15.75" thickTop="1"/>
    <row r="25" spans="2:17">
      <c r="F25" s="45" t="s">
        <v>2</v>
      </c>
      <c r="G25" s="45" t="s">
        <v>3</v>
      </c>
      <c r="H25" s="45" t="s">
        <v>4</v>
      </c>
      <c r="I25" s="45" t="s">
        <v>5</v>
      </c>
      <c r="J25" s="45" t="s">
        <v>6</v>
      </c>
      <c r="K25" s="45" t="s">
        <v>7</v>
      </c>
      <c r="L25" s="45" t="s">
        <v>8</v>
      </c>
      <c r="M25" s="45" t="s">
        <v>9</v>
      </c>
      <c r="N25" s="45" t="s">
        <v>10</v>
      </c>
      <c r="O25" s="45" t="s">
        <v>11</v>
      </c>
      <c r="P25" s="45"/>
    </row>
    <row r="26" spans="2:17" ht="25.5">
      <c r="F26" s="44" t="s">
        <v>138</v>
      </c>
      <c r="G26" s="44" t="s">
        <v>139</v>
      </c>
      <c r="H26" s="44" t="s">
        <v>140</v>
      </c>
      <c r="I26" s="44" t="s">
        <v>141</v>
      </c>
      <c r="J26" s="44" t="s">
        <v>142</v>
      </c>
      <c r="K26" s="44" t="s">
        <v>143</v>
      </c>
      <c r="L26" s="44" t="s">
        <v>144</v>
      </c>
      <c r="M26" s="44" t="s">
        <v>145</v>
      </c>
      <c r="N26" s="44" t="s">
        <v>146</v>
      </c>
      <c r="O26" s="44" t="s">
        <v>147</v>
      </c>
      <c r="P26" s="44" t="s">
        <v>148</v>
      </c>
      <c r="Q26" s="90" t="s">
        <v>198</v>
      </c>
    </row>
    <row r="27" spans="2:17">
      <c r="D27" s="24" t="s">
        <v>151</v>
      </c>
      <c r="F27" s="89">
        <f>'Detailed Budget_Revised'!H101+'Detailed Budget_Revised'!H116+'Detailed Budget_Revised'!H130+'Detailed Budget_Revised'!H144</f>
        <v>0</v>
      </c>
      <c r="G27" s="89">
        <f>'Detailed Budget_Revised'!I101+'Detailed Budget_Revised'!I116+'Detailed Budget_Revised'!I130+'Detailed Budget_Revised'!I144</f>
        <v>0</v>
      </c>
      <c r="H27" s="89">
        <f>'Detailed Budget_Revised'!J101+'Detailed Budget_Revised'!J116+'Detailed Budget_Revised'!J130+'Detailed Budget_Revised'!J144</f>
        <v>0</v>
      </c>
      <c r="I27" s="89">
        <f>'Detailed Budget_Revised'!K101+'Detailed Budget_Revised'!K116+'Detailed Budget_Revised'!K130+'Detailed Budget_Revised'!K144</f>
        <v>0</v>
      </c>
      <c r="J27" s="89">
        <f>'Detailed Budget_Revised'!L101+'Detailed Budget_Revised'!L116+'Detailed Budget_Revised'!L130+'Detailed Budget_Revised'!L144</f>
        <v>32032763.28121924</v>
      </c>
      <c r="K27" s="89">
        <f>'Detailed Budget_Revised'!M101+'Detailed Budget_Revised'!M116+'Detailed Budget_Revised'!M130+'Detailed Budget_Revised'!M144</f>
        <v>45335370.049313501</v>
      </c>
      <c r="L27" s="89">
        <f>'Detailed Budget_Revised'!N101+'Detailed Budget_Revised'!N116+'Detailed Budget_Revised'!N130+'Detailed Budget_Revised'!N144</f>
        <v>36091494.646769151</v>
      </c>
      <c r="M27" s="89">
        <f>'Detailed Budget_Revised'!O101+'Detailed Budget_Revised'!O116+'Detailed Budget_Revised'!O130+'Detailed Budget_Revised'!O144</f>
        <v>0</v>
      </c>
      <c r="N27" s="89">
        <f>'Detailed Budget_Revised'!P101+'Detailed Budget_Revised'!P116+'Detailed Budget_Revised'!P130+'Detailed Budget_Revised'!P144</f>
        <v>0</v>
      </c>
      <c r="O27" s="89">
        <f>'Detailed Budget_Revised'!Q101+'Detailed Budget_Revised'!Q116+'Detailed Budget_Revised'!Q130+'Detailed Budget_Revised'!Q144</f>
        <v>0</v>
      </c>
      <c r="P27" s="89">
        <f>SUM(F27:O27)</f>
        <v>113459627.9773019</v>
      </c>
      <c r="Q27" s="91">
        <f>P27-('Detailed Budget_Revised'!R101+'Detailed Budget_Revised'!R116+'Detailed Budget_Revised'!R130+'Detailed Budget_Revised'!R144)</f>
        <v>0</v>
      </c>
    </row>
    <row r="28" spans="2:17">
      <c r="D28" s="24" t="s">
        <v>152</v>
      </c>
      <c r="F28" s="89">
        <f>'Detailed Budget_Revised'!H102+'Detailed Budget_Revised'!H117+'Detailed Budget_Revised'!H131+'Detailed Budget_Revised'!H145</f>
        <v>0</v>
      </c>
      <c r="G28" s="89">
        <f>'Detailed Budget_Revised'!I102+'Detailed Budget_Revised'!I117+'Detailed Budget_Revised'!I131+'Detailed Budget_Revised'!I145</f>
        <v>0</v>
      </c>
      <c r="H28" s="89">
        <f>'Detailed Budget_Revised'!J102+'Detailed Budget_Revised'!J117+'Detailed Budget_Revised'!J131+'Detailed Budget_Revised'!J145</f>
        <v>0</v>
      </c>
      <c r="I28" s="89">
        <f>'Detailed Budget_Revised'!K102+'Detailed Budget_Revised'!K117+'Detailed Budget_Revised'!K131+'Detailed Budget_Revised'!K145</f>
        <v>0</v>
      </c>
      <c r="J28" s="89">
        <f>'Detailed Budget_Revised'!L102+'Detailed Budget_Revised'!L117+'Detailed Budget_Revised'!L131+'Detailed Budget_Revised'!L145</f>
        <v>0</v>
      </c>
      <c r="K28" s="89">
        <f>'Detailed Budget_Revised'!M102+'Detailed Budget_Revised'!M117+'Detailed Budget_Revised'!M131+'Detailed Budget_Revised'!M145</f>
        <v>39193188.696683913</v>
      </c>
      <c r="L28" s="89">
        <f>'Detailed Budget_Revised'!N102+'Detailed Budget_Revised'!N117+'Detailed Budget_Revised'!N131+'Detailed Budget_Revised'!N145</f>
        <v>49922725.095130458</v>
      </c>
      <c r="M28" s="89">
        <f>'Detailed Budget_Revised'!O102+'Detailed Budget_Revised'!O117+'Detailed Budget_Revised'!O131+'Detailed Budget_Revised'!O145</f>
        <v>44159678.087777652</v>
      </c>
      <c r="N28" s="89">
        <f>'Detailed Budget_Revised'!P102+'Detailed Budget_Revised'!P117+'Detailed Budget_Revised'!P131+'Detailed Budget_Revised'!P145</f>
        <v>37499646.605179086</v>
      </c>
      <c r="O28" s="89">
        <f>'Detailed Budget_Revised'!Q102+'Detailed Budget_Revised'!Q117+'Detailed Budget_Revised'!Q131+'Detailed Budget_Revised'!Q145</f>
        <v>0</v>
      </c>
      <c r="P28" s="89">
        <f t="shared" ref="P28:P36" si="2">SUM(F28:O28)</f>
        <v>170775238.48477113</v>
      </c>
      <c r="Q28" s="91">
        <f>P28-('Detailed Budget_Revised'!R102+'Detailed Budget_Revised'!R117+'Detailed Budget_Revised'!R131+'Detailed Budget_Revised'!R145)</f>
        <v>0</v>
      </c>
    </row>
    <row r="29" spans="2:17">
      <c r="D29" s="24" t="s">
        <v>153</v>
      </c>
      <c r="F29" s="89">
        <f>'Detailed Budget_Revised'!H103+'Detailed Budget_Revised'!H118+'Detailed Budget_Revised'!H132+'Detailed Budget_Revised'!H146</f>
        <v>0</v>
      </c>
      <c r="G29" s="89">
        <f>'Detailed Budget_Revised'!I103+'Detailed Budget_Revised'!I118+'Detailed Budget_Revised'!I132+'Detailed Budget_Revised'!I146</f>
        <v>0</v>
      </c>
      <c r="H29" s="89">
        <f>'Detailed Budget_Revised'!J103+'Detailed Budget_Revised'!J118+'Detailed Budget_Revised'!J132+'Detailed Budget_Revised'!J146</f>
        <v>0</v>
      </c>
      <c r="I29" s="89">
        <f>'Detailed Budget_Revised'!K103+'Detailed Budget_Revised'!K118+'Detailed Budget_Revised'!K132+'Detailed Budget_Revised'!K146</f>
        <v>0</v>
      </c>
      <c r="J29" s="89">
        <f>'Detailed Budget_Revised'!L103+'Detailed Budget_Revised'!L118+'Detailed Budget_Revised'!L132+'Detailed Budget_Revised'!L146</f>
        <v>0</v>
      </c>
      <c r="K29" s="89">
        <f>'Detailed Budget_Revised'!M103+'Detailed Budget_Revised'!M118+'Detailed Budget_Revised'!M132+'Detailed Budget_Revised'!M146</f>
        <v>40038674.892277479</v>
      </c>
      <c r="L29" s="89">
        <f>'Detailed Budget_Revised'!N103+'Detailed Budget_Revised'!N118+'Detailed Budget_Revised'!N132+'Detailed Budget_Revised'!N146</f>
        <v>56666301.985658571</v>
      </c>
      <c r="M29" s="89">
        <f>'Detailed Budget_Revised'!O103+'Detailed Budget_Revised'!O118+'Detailed Budget_Revised'!O132+'Detailed Budget_Revised'!O146</f>
        <v>45112302.752078854</v>
      </c>
      <c r="N29" s="89">
        <f>'Detailed Budget_Revised'!P103+'Detailed Budget_Revised'!P118+'Detailed Budget_Revised'!P132+'Detailed Budget_Revised'!P146</f>
        <v>0</v>
      </c>
      <c r="O29" s="89">
        <f>'Detailed Budget_Revised'!Q103+'Detailed Budget_Revised'!Q118+'Detailed Budget_Revised'!Q132+'Detailed Budget_Revised'!Q146</f>
        <v>0</v>
      </c>
      <c r="P29" s="89">
        <f t="shared" si="2"/>
        <v>141817279.6300149</v>
      </c>
      <c r="Q29" s="91">
        <f>P29-('Detailed Budget_Revised'!R103+'Detailed Budget_Revised'!R118+'Detailed Budget_Revised'!R132+'Detailed Budget_Revised'!R146)</f>
        <v>0</v>
      </c>
    </row>
    <row r="30" spans="2:17">
      <c r="D30" s="24" t="s">
        <v>154</v>
      </c>
      <c r="F30" s="89">
        <f>'Detailed Budget_Revised'!H104+'Detailed Budget_Revised'!H119+'Detailed Budget_Revised'!H133+'Detailed Budget_Revised'!H147</f>
        <v>0</v>
      </c>
      <c r="G30" s="89">
        <f>'Detailed Budget_Revised'!I104+'Detailed Budget_Revised'!I119+'Detailed Budget_Revised'!I133+'Detailed Budget_Revised'!I147</f>
        <v>0</v>
      </c>
      <c r="H30" s="89">
        <f>'Detailed Budget_Revised'!J104+'Detailed Budget_Revised'!J119+'Detailed Budget_Revised'!J133+'Detailed Budget_Revised'!J147</f>
        <v>0</v>
      </c>
      <c r="I30" s="89">
        <f>'Detailed Budget_Revised'!K104+'Detailed Budget_Revised'!K119+'Detailed Budget_Revised'!K133+'Detailed Budget_Revised'!K147</f>
        <v>0</v>
      </c>
      <c r="J30" s="89">
        <f>'Detailed Budget_Revised'!L104+'Detailed Budget_Revised'!L119+'Detailed Budget_Revised'!L133+'Detailed Budget_Revised'!L147</f>
        <v>0</v>
      </c>
      <c r="K30" s="89">
        <f>'Detailed Budget_Revised'!M104+'Detailed Budget_Revised'!M119+'Detailed Budget_Revised'!M133+'Detailed Budget_Revised'!M147</f>
        <v>28004946.19783546</v>
      </c>
      <c r="L30" s="89">
        <f>'Detailed Budget_Revised'!N104+'Detailed Budget_Revised'!N119+'Detailed Budget_Revised'!N133+'Detailed Budget_Revised'!N147</f>
        <v>39635096.381392658</v>
      </c>
      <c r="M30" s="89">
        <f>'Detailed Budget_Revised'!O104+'Detailed Budget_Revised'!O119+'Detailed Budget_Revised'!O133+'Detailed Budget_Revised'!O147</f>
        <v>31553681.90459536</v>
      </c>
      <c r="N30" s="89">
        <f>'Detailed Budget_Revised'!P104+'Detailed Budget_Revised'!P119+'Detailed Budget_Revised'!P133+'Detailed Budget_Revised'!P147</f>
        <v>0</v>
      </c>
      <c r="O30" s="89">
        <f>'Detailed Budget_Revised'!Q104+'Detailed Budget_Revised'!Q119+'Detailed Budget_Revised'!Q133+'Detailed Budget_Revised'!Q147</f>
        <v>0</v>
      </c>
      <c r="P30" s="89">
        <f t="shared" si="2"/>
        <v>99193724.483823478</v>
      </c>
      <c r="Q30" s="91">
        <f>P30-('Detailed Budget_Revised'!R104+'Detailed Budget_Revised'!R119+'Detailed Budget_Revised'!R133+'Detailed Budget_Revised'!R147)</f>
        <v>0</v>
      </c>
    </row>
    <row r="31" spans="2:17">
      <c r="D31" s="24" t="s">
        <v>155</v>
      </c>
      <c r="F31" s="89">
        <f>'Detailed Budget_Revised'!H105+'Detailed Budget_Revised'!H120+'Detailed Budget_Revised'!H134+'Detailed Budget_Revised'!H148</f>
        <v>0</v>
      </c>
      <c r="G31" s="89">
        <f>'Detailed Budget_Revised'!I105+'Detailed Budget_Revised'!I120+'Detailed Budget_Revised'!I134+'Detailed Budget_Revised'!I148</f>
        <v>0</v>
      </c>
      <c r="H31" s="89">
        <f>'Detailed Budget_Revised'!J105+'Detailed Budget_Revised'!J120+'Detailed Budget_Revised'!J134+'Detailed Budget_Revised'!J148</f>
        <v>0</v>
      </c>
      <c r="I31" s="89">
        <f>'Detailed Budget_Revised'!K105+'Detailed Budget_Revised'!K120+'Detailed Budget_Revised'!K134+'Detailed Budget_Revised'!K148</f>
        <v>0</v>
      </c>
      <c r="J31" s="89">
        <f>'Detailed Budget_Revised'!L105+'Detailed Budget_Revised'!L120+'Detailed Budget_Revised'!L134+'Detailed Budget_Revised'!L148</f>
        <v>0</v>
      </c>
      <c r="K31" s="89">
        <f>'Detailed Budget_Revised'!M105+'Detailed Budget_Revised'!M120+'Detailed Budget_Revised'!M134+'Detailed Budget_Revised'!M148</f>
        <v>61299521.637401581</v>
      </c>
      <c r="L31" s="89">
        <f>'Detailed Budget_Revised'!N105+'Detailed Budget_Revised'!N120+'Detailed Budget_Revised'!N134+'Detailed Budget_Revised'!N148</f>
        <v>78080892.852331847</v>
      </c>
      <c r="M31" s="89">
        <f>'Detailed Budget_Revised'!O105+'Detailed Budget_Revised'!O120+'Detailed Budget_Revised'!O134+'Detailed Budget_Revised'!O148</f>
        <v>69067285.221206009</v>
      </c>
      <c r="N31" s="89">
        <f>'Detailed Budget_Revised'!P105+'Detailed Budget_Revised'!P120+'Detailed Budget_Revised'!P134+'Detailed Budget_Revised'!P148</f>
        <v>58650762.413306236</v>
      </c>
      <c r="O31" s="89">
        <f>'Detailed Budget_Revised'!Q105+'Detailed Budget_Revised'!Q120+'Detailed Budget_Revised'!Q134+'Detailed Budget_Revised'!Q148</f>
        <v>0</v>
      </c>
      <c r="P31" s="89">
        <f t="shared" si="2"/>
        <v>267098462.12424567</v>
      </c>
      <c r="Q31" s="91">
        <f>P31-('Detailed Budget_Revised'!R105+'Detailed Budget_Revised'!R120+'Detailed Budget_Revised'!R134+'Detailed Budget_Revised'!R148)</f>
        <v>0</v>
      </c>
    </row>
    <row r="32" spans="2:17">
      <c r="D32" s="24" t="s">
        <v>156</v>
      </c>
      <c r="F32" s="89">
        <f>'Detailed Budget_Revised'!H106+'Detailed Budget_Revised'!H121+'Detailed Budget_Revised'!H135+'Detailed Budget_Revised'!H149</f>
        <v>0</v>
      </c>
      <c r="G32" s="89">
        <f>'Detailed Budget_Revised'!I106+'Detailed Budget_Revised'!I121+'Detailed Budget_Revised'!I135+'Detailed Budget_Revised'!I149</f>
        <v>0</v>
      </c>
      <c r="H32" s="89">
        <f>'Detailed Budget_Revised'!J106+'Detailed Budget_Revised'!J121+'Detailed Budget_Revised'!J135+'Detailed Budget_Revised'!J149</f>
        <v>58934826.127658322</v>
      </c>
      <c r="I32" s="89">
        <f>'Detailed Budget_Revised'!K106+'Detailed Budget_Revised'!K121+'Detailed Budget_Revised'!K135+'Detailed Budget_Revised'!K149</f>
        <v>75067588.610656425</v>
      </c>
      <c r="J32" s="89">
        <f>'Detailed Budget_Revised'!L106+'Detailed Budget_Revised'!L121+'Detailed Budget_Revised'!L135+'Detailed Budget_Revised'!L149</f>
        <v>66400727.005300775</v>
      </c>
      <c r="K32" s="89">
        <f>'Detailed Budget_Revised'!M106+'Detailed Budget_Revised'!M121+'Detailed Budget_Revised'!M135+'Detailed Budget_Revised'!M149</f>
        <v>56385423.334870815</v>
      </c>
      <c r="L32" s="89">
        <f>'Detailed Budget_Revised'!N106+'Detailed Budget_Revised'!N121+'Detailed Budget_Revised'!N135+'Detailed Budget_Revised'!N149</f>
        <v>0</v>
      </c>
      <c r="M32" s="89">
        <f>'Detailed Budget_Revised'!O106+'Detailed Budget_Revised'!O121+'Detailed Budget_Revised'!O135+'Detailed Budget_Revised'!O149</f>
        <v>0</v>
      </c>
      <c r="N32" s="89">
        <f>'Detailed Budget_Revised'!P106+'Detailed Budget_Revised'!P121+'Detailed Budget_Revised'!P135+'Detailed Budget_Revised'!P149</f>
        <v>0</v>
      </c>
      <c r="O32" s="89">
        <f>'Detailed Budget_Revised'!Q106+'Detailed Budget_Revised'!Q121+'Detailed Budget_Revised'!Q135+'Detailed Budget_Revised'!Q149</f>
        <v>0</v>
      </c>
      <c r="P32" s="89">
        <f t="shared" si="2"/>
        <v>256788565.07848632</v>
      </c>
      <c r="Q32" s="91">
        <f>P32-('Detailed Budget_Revised'!R106+'Detailed Budget_Revised'!R121+'Detailed Budget_Revised'!R135+'Detailed Budget_Revised'!R149)</f>
        <v>0</v>
      </c>
    </row>
    <row r="33" spans="4:17">
      <c r="D33" s="24" t="s">
        <v>157</v>
      </c>
      <c r="F33" s="89">
        <f>'Detailed Budget_Revised'!H107+'Detailed Budget_Revised'!H122+'Detailed Budget_Revised'!H136+'Detailed Budget_Revised'!H150</f>
        <v>0</v>
      </c>
      <c r="G33" s="89">
        <f>'Detailed Budget_Revised'!I107+'Detailed Budget_Revised'!I122+'Detailed Budget_Revised'!I136+'Detailed Budget_Revised'!I150</f>
        <v>0</v>
      </c>
      <c r="H33" s="89">
        <f>'Detailed Budget_Revised'!J107+'Detailed Budget_Revised'!J122+'Detailed Budget_Revised'!J136+'Detailed Budget_Revised'!J150</f>
        <v>0</v>
      </c>
      <c r="I33" s="89">
        <f>'Detailed Budget_Revised'!K107+'Detailed Budget_Revised'!K122+'Detailed Budget_Revised'!K136+'Detailed Budget_Revised'!K150</f>
        <v>0</v>
      </c>
      <c r="J33" s="89">
        <f>'Detailed Budget_Revised'!L107+'Detailed Budget_Revised'!L122+'Detailed Budget_Revised'!L136+'Detailed Budget_Revised'!L150</f>
        <v>0</v>
      </c>
      <c r="K33" s="89">
        <f>'Detailed Budget_Revised'!M107+'Detailed Budget_Revised'!M122+'Detailed Budget_Revised'!M136+'Detailed Budget_Revised'!M150</f>
        <v>15882985.701892762</v>
      </c>
      <c r="L33" s="89">
        <f>'Detailed Budget_Revised'!N107+'Detailed Budget_Revised'!N122+'Detailed Budget_Revised'!N136+'Detailed Budget_Revised'!N150</f>
        <v>22479017.266152002</v>
      </c>
      <c r="M33" s="89">
        <f>'Detailed Budget_Revised'!O107+'Detailed Budget_Revised'!O122+'Detailed Budget_Revised'!O136+'Detailed Budget_Revised'!O150</f>
        <v>17895648.682642221</v>
      </c>
      <c r="N33" s="89">
        <f>'Detailed Budget_Revised'!P107+'Detailed Budget_Revised'!P122+'Detailed Budget_Revised'!P136+'Detailed Budget_Revised'!P150</f>
        <v>0</v>
      </c>
      <c r="O33" s="89">
        <f>'Detailed Budget_Revised'!Q107+'Detailed Budget_Revised'!Q122+'Detailed Budget_Revised'!Q136+'Detailed Budget_Revised'!Q150</f>
        <v>0</v>
      </c>
      <c r="P33" s="89">
        <f t="shared" si="2"/>
        <v>56257651.650686987</v>
      </c>
      <c r="Q33" s="91">
        <f>P33-('Detailed Budget_Revised'!R107+'Detailed Budget_Revised'!R122+'Detailed Budget_Revised'!R136+'Detailed Budget_Revised'!R150)</f>
        <v>0</v>
      </c>
    </row>
    <row r="34" spans="4:17">
      <c r="D34" s="24" t="s">
        <v>158</v>
      </c>
      <c r="F34" s="89">
        <f>'Detailed Budget_Revised'!H108+'Detailed Budget_Revised'!H123+'Detailed Budget_Revised'!H137+'Detailed Budget_Revised'!H151</f>
        <v>0</v>
      </c>
      <c r="G34" s="89">
        <f>'Detailed Budget_Revised'!I108+'Detailed Budget_Revised'!I123+'Detailed Budget_Revised'!I137+'Detailed Budget_Revised'!I151</f>
        <v>0</v>
      </c>
      <c r="H34" s="89">
        <f>'Detailed Budget_Revised'!J108+'Detailed Budget_Revised'!J123+'Detailed Budget_Revised'!J137+'Detailed Budget_Revised'!J151</f>
        <v>29019549.003145613</v>
      </c>
      <c r="I34" s="89">
        <f>'Detailed Budget_Revised'!K108+'Detailed Budget_Revised'!K123+'Detailed Budget_Revised'!K137+'Detailed Budget_Revised'!K151</f>
        <v>41070369.298305579</v>
      </c>
      <c r="J34" s="89">
        <f>'Detailed Budget_Revised'!L108+'Detailed Budget_Revised'!L123+'Detailed Budget_Revised'!L137+'Detailed Budget_Revised'!L151</f>
        <v>32695763.740796212</v>
      </c>
      <c r="K34" s="89">
        <f>'Detailed Budget_Revised'!M108+'Detailed Budget_Revised'!M123+'Detailed Budget_Revised'!M137+'Detailed Budget_Revised'!M151</f>
        <v>0</v>
      </c>
      <c r="L34" s="89">
        <f>'Detailed Budget_Revised'!N108+'Detailed Budget_Revised'!N123+'Detailed Budget_Revised'!N137+'Detailed Budget_Revised'!N151</f>
        <v>0</v>
      </c>
      <c r="M34" s="89">
        <f>'Detailed Budget_Revised'!O108+'Detailed Budget_Revised'!O123+'Detailed Budget_Revised'!O137+'Detailed Budget_Revised'!O151</f>
        <v>0</v>
      </c>
      <c r="N34" s="89">
        <f>'Detailed Budget_Revised'!P108+'Detailed Budget_Revised'!P123+'Detailed Budget_Revised'!P137+'Detailed Budget_Revised'!P151</f>
        <v>0</v>
      </c>
      <c r="O34" s="89">
        <f>'Detailed Budget_Revised'!Q108+'Detailed Budget_Revised'!Q123+'Detailed Budget_Revised'!Q137+'Detailed Budget_Revised'!Q151</f>
        <v>0</v>
      </c>
      <c r="P34" s="89">
        <f t="shared" si="2"/>
        <v>102785682.0422474</v>
      </c>
      <c r="Q34" s="91">
        <f>P34-('Detailed Budget_Revised'!R108+'Detailed Budget_Revised'!R123+'Detailed Budget_Revised'!R137+'Detailed Budget_Revised'!R151)</f>
        <v>0</v>
      </c>
    </row>
    <row r="35" spans="4:17">
      <c r="D35" s="24" t="s">
        <v>159</v>
      </c>
      <c r="F35" s="89">
        <f>'Detailed Budget_Revised'!H109+'Detailed Budget_Revised'!H124+'Detailed Budget_Revised'!H138+'Detailed Budget_Revised'!H152</f>
        <v>0</v>
      </c>
      <c r="G35" s="89">
        <f>'Detailed Budget_Revised'!I109+'Detailed Budget_Revised'!I124+'Detailed Budget_Revised'!I138+'Detailed Budget_Revised'!I152</f>
        <v>0</v>
      </c>
      <c r="H35" s="89">
        <f>'Detailed Budget_Revised'!J109+'Detailed Budget_Revised'!J124+'Detailed Budget_Revised'!J138+'Detailed Budget_Revised'!J152</f>
        <v>0</v>
      </c>
      <c r="I35" s="89">
        <f>'Detailed Budget_Revised'!K109+'Detailed Budget_Revised'!K124+'Detailed Budget_Revised'!K138+'Detailed Budget_Revised'!K152</f>
        <v>0</v>
      </c>
      <c r="J35" s="89">
        <f>'Detailed Budget_Revised'!L109+'Detailed Budget_Revised'!L124+'Detailed Budget_Revised'!L138+'Detailed Budget_Revised'!L152</f>
        <v>0</v>
      </c>
      <c r="K35" s="89">
        <f>'Detailed Budget_Revised'!M109+'Detailed Budget_Revised'!M124+'Detailed Budget_Revised'!M138+'Detailed Budget_Revised'!M152</f>
        <v>26223797.907006912</v>
      </c>
      <c r="L35" s="89">
        <f>'Detailed Budget_Revised'!N109+'Detailed Budget_Revised'!N124+'Detailed Budget_Revised'!N138+'Detailed Budget_Revised'!N152</f>
        <v>11929582.458769448</v>
      </c>
      <c r="M35" s="89">
        <f>'Detailed Budget_Revised'!O109+'Detailed Budget_Revised'!O124+'Detailed Budget_Revised'!O138+'Detailed Budget_Revised'!O152</f>
        <v>0</v>
      </c>
      <c r="N35" s="89">
        <f>'Detailed Budget_Revised'!P109+'Detailed Budget_Revised'!P124+'Detailed Budget_Revised'!P138+'Detailed Budget_Revised'!P152</f>
        <v>0</v>
      </c>
      <c r="O35" s="89">
        <f>'Detailed Budget_Revised'!Q109+'Detailed Budget_Revised'!Q124+'Detailed Budget_Revised'!Q138+'Detailed Budget_Revised'!Q152</f>
        <v>0</v>
      </c>
      <c r="P35" s="89">
        <f t="shared" si="2"/>
        <v>38153380.36577636</v>
      </c>
      <c r="Q35" s="91">
        <f>P35-('Detailed Budget_Revised'!R109+'Detailed Budget_Revised'!R124+'Detailed Budget_Revised'!R138+'Detailed Budget_Revised'!R152)</f>
        <v>0</v>
      </c>
    </row>
    <row r="36" spans="4:17">
      <c r="D36" s="24" t="s">
        <v>160</v>
      </c>
      <c r="F36" s="93">
        <f>'Detailed Budget_Revised'!H110+'Detailed Budget_Revised'!H125+'Detailed Budget_Revised'!H139+'Detailed Budget_Revised'!H153</f>
        <v>0</v>
      </c>
      <c r="G36" s="93">
        <f>'Detailed Budget_Revised'!I110+'Detailed Budget_Revised'!I125+'Detailed Budget_Revised'!I139+'Detailed Budget_Revised'!I153</f>
        <v>0</v>
      </c>
      <c r="H36" s="93">
        <f>'Detailed Budget_Revised'!J110+'Detailed Budget_Revised'!J125+'Detailed Budget_Revised'!J139+'Detailed Budget_Revised'!J153</f>
        <v>0</v>
      </c>
      <c r="I36" s="93">
        <f>'Detailed Budget_Revised'!K110+'Detailed Budget_Revised'!K125+'Detailed Budget_Revised'!K139+'Detailed Budget_Revised'!K153</f>
        <v>0</v>
      </c>
      <c r="J36" s="93">
        <f>'Detailed Budget_Revised'!L110+'Detailed Budget_Revised'!L125+'Detailed Budget_Revised'!L139+'Detailed Budget_Revised'!L153</f>
        <v>0</v>
      </c>
      <c r="K36" s="93">
        <f>'Detailed Budget_Revised'!M110+'Detailed Budget_Revised'!M125+'Detailed Budget_Revised'!M139+'Detailed Budget_Revised'!M153</f>
        <v>0</v>
      </c>
      <c r="L36" s="93">
        <f>'Detailed Budget_Revised'!N110+'Detailed Budget_Revised'!N125+'Detailed Budget_Revised'!N139+'Detailed Budget_Revised'!N153</f>
        <v>25568575.689429555</v>
      </c>
      <c r="M36" s="93">
        <f>'Detailed Budget_Revised'!O110+'Detailed Budget_Revised'!O125+'Detailed Budget_Revised'!O139+'Detailed Budget_Revised'!O153</f>
        <v>36187129.431147851</v>
      </c>
      <c r="N36" s="93">
        <f>'Detailed Budget_Revised'!P110+'Detailed Budget_Revised'!P125+'Detailed Budget_Revised'!P139+'Detailed Budget_Revised'!P153</f>
        <v>28808900.677726779</v>
      </c>
      <c r="O36" s="93">
        <f>'Detailed Budget_Revised'!Q110+'Detailed Budget_Revised'!Q125+'Detailed Budget_Revised'!Q139+'Detailed Budget_Revised'!Q153</f>
        <v>0</v>
      </c>
      <c r="P36" s="93">
        <f t="shared" si="2"/>
        <v>90564605.798304185</v>
      </c>
      <c r="Q36" s="91">
        <f>P36-('Detailed Budget_Revised'!R110+'Detailed Budget_Revised'!R125+'Detailed Budget_Revised'!R139+'Detailed Budget_Revised'!R153)</f>
        <v>0</v>
      </c>
    </row>
    <row r="37" spans="4:17" s="71" customFormat="1">
      <c r="D37" s="71" t="s">
        <v>200</v>
      </c>
      <c r="F37" s="92">
        <f>SUM(F27:F36)</f>
        <v>0</v>
      </c>
      <c r="G37" s="92">
        <f t="shared" ref="G37:O37" si="3">SUM(G27:G36)</f>
        <v>0</v>
      </c>
      <c r="H37" s="92">
        <f t="shared" si="3"/>
        <v>87954375.130803943</v>
      </c>
      <c r="I37" s="92">
        <f t="shared" si="3"/>
        <v>116137957.90896201</v>
      </c>
      <c r="J37" s="92">
        <f t="shared" si="3"/>
        <v>131129254.02731623</v>
      </c>
      <c r="K37" s="92">
        <f t="shared" si="3"/>
        <v>312363908.4172824</v>
      </c>
      <c r="L37" s="92">
        <f t="shared" si="3"/>
        <v>320373686.37563372</v>
      </c>
      <c r="M37" s="92">
        <f t="shared" si="3"/>
        <v>243975726.07944795</v>
      </c>
      <c r="N37" s="92">
        <f t="shared" si="3"/>
        <v>124959309.6962121</v>
      </c>
      <c r="O37" s="92">
        <f t="shared" si="3"/>
        <v>0</v>
      </c>
      <c r="P37" s="92">
        <f>SUM(P27:P36)</f>
        <v>1336894217.635658</v>
      </c>
      <c r="Q37" s="91">
        <f>P37-'Detailed Budget_Revised'!R160</f>
        <v>0</v>
      </c>
    </row>
  </sheetData>
  <mergeCells count="1">
    <mergeCell ref="C2:E2"/>
  </mergeCells>
  <phoneticPr fontId="2"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A31BF-15F6-4310-B281-05D9A7A3239E}">
  <dimension ref="B2:X51"/>
  <sheetViews>
    <sheetView zoomScale="118" zoomScaleNormal="145" workbookViewId="0">
      <selection activeCell="C6" sqref="C6"/>
    </sheetView>
  </sheetViews>
  <sheetFormatPr defaultColWidth="8.7109375" defaultRowHeight="15"/>
  <cols>
    <col min="1" max="1" width="3.5703125" style="24" customWidth="1"/>
    <col min="2" max="2" width="46.85546875" style="24" customWidth="1"/>
    <col min="3" max="4" width="12.5703125" style="24" customWidth="1"/>
    <col min="5" max="5" width="3.5703125" style="24" customWidth="1"/>
    <col min="6" max="6" width="12.5703125" style="24" customWidth="1"/>
    <col min="7" max="7" width="14.28515625" style="24" customWidth="1"/>
    <col min="8" max="20" width="12.5703125" style="24" customWidth="1"/>
    <col min="21" max="21" width="8.7109375" style="24"/>
    <col min="22" max="24" width="10.5703125" style="24" customWidth="1"/>
    <col min="25" max="16384" width="8.7109375" style="24"/>
  </cols>
  <sheetData>
    <row r="2" spans="2:24" ht="54.6" customHeight="1">
      <c r="B2" s="370" t="s">
        <v>241</v>
      </c>
      <c r="C2" s="370"/>
      <c r="D2" s="370"/>
      <c r="E2" s="137"/>
    </row>
    <row r="3" spans="2:24">
      <c r="G3" s="133" t="s">
        <v>216</v>
      </c>
      <c r="H3" s="133" t="s">
        <v>216</v>
      </c>
      <c r="I3" s="133" t="s">
        <v>216</v>
      </c>
      <c r="J3" s="45" t="s">
        <v>2</v>
      </c>
      <c r="K3" s="45" t="s">
        <v>3</v>
      </c>
      <c r="L3" s="45" t="s">
        <v>4</v>
      </c>
      <c r="M3" s="45" t="s">
        <v>5</v>
      </c>
      <c r="N3" s="45" t="s">
        <v>6</v>
      </c>
      <c r="O3" s="45" t="s">
        <v>7</v>
      </c>
      <c r="P3" s="45" t="s">
        <v>8</v>
      </c>
      <c r="Q3" s="45" t="s">
        <v>9</v>
      </c>
      <c r="R3" s="45" t="s">
        <v>10</v>
      </c>
      <c r="S3" s="45" t="s">
        <v>11</v>
      </c>
    </row>
    <row r="4" spans="2:24" ht="30">
      <c r="C4" s="73" t="s">
        <v>173</v>
      </c>
      <c r="D4" s="74" t="s">
        <v>174</v>
      </c>
      <c r="E4" s="149"/>
      <c r="F4" s="136" t="s">
        <v>228</v>
      </c>
      <c r="G4" s="133" t="s">
        <v>217</v>
      </c>
      <c r="H4" s="133" t="s">
        <v>218</v>
      </c>
      <c r="I4" s="133" t="s">
        <v>219</v>
      </c>
      <c r="J4" s="44" t="s">
        <v>138</v>
      </c>
      <c r="K4" s="44" t="s">
        <v>139</v>
      </c>
      <c r="L4" s="44" t="s">
        <v>140</v>
      </c>
      <c r="M4" s="44" t="s">
        <v>141</v>
      </c>
      <c r="N4" s="44" t="s">
        <v>142</v>
      </c>
      <c r="O4" s="44" t="s">
        <v>143</v>
      </c>
      <c r="P4" s="44" t="s">
        <v>144</v>
      </c>
      <c r="Q4" s="44" t="s">
        <v>145</v>
      </c>
      <c r="R4" s="44" t="s">
        <v>146</v>
      </c>
      <c r="S4" s="44" t="s">
        <v>147</v>
      </c>
      <c r="T4" s="44" t="s">
        <v>148</v>
      </c>
    </row>
    <row r="5" spans="2:24" s="71" customFormat="1">
      <c r="B5" s="71" t="s">
        <v>220</v>
      </c>
      <c r="C5" s="92">
        <f t="shared" ref="C5:C21" si="0">SUM(J5:S5)</f>
        <v>9246146.1773726866</v>
      </c>
      <c r="D5" s="147">
        <f t="shared" ref="D5:D21" si="1">C5/C$21</f>
        <v>0.15764081594865659</v>
      </c>
      <c r="E5" s="147"/>
      <c r="F5" s="139">
        <f>SUM(F6:F8)</f>
        <v>0.99999999999999989</v>
      </c>
      <c r="G5" s="142">
        <v>1.2500000000000001E-2</v>
      </c>
      <c r="H5" s="142">
        <v>0.01</v>
      </c>
      <c r="I5" s="142">
        <v>7.4999999999999997E-3</v>
      </c>
      <c r="J5" s="92">
        <f>J36*J37</f>
        <v>0</v>
      </c>
      <c r="K5" s="92">
        <f t="shared" ref="K5:S5" si="2">K36*K37</f>
        <v>0</v>
      </c>
      <c r="L5" s="92">
        <f t="shared" si="2"/>
        <v>4298355.208333334</v>
      </c>
      <c r="M5" s="92">
        <f t="shared" si="2"/>
        <v>4947790.9690393526</v>
      </c>
      <c r="N5" s="92">
        <f t="shared" si="2"/>
        <v>0</v>
      </c>
      <c r="O5" s="92">
        <f t="shared" si="2"/>
        <v>0</v>
      </c>
      <c r="P5" s="92">
        <f t="shared" si="2"/>
        <v>0</v>
      </c>
      <c r="Q5" s="92">
        <f t="shared" si="2"/>
        <v>0</v>
      </c>
      <c r="R5" s="92">
        <f t="shared" si="2"/>
        <v>0</v>
      </c>
      <c r="S5" s="92">
        <f t="shared" si="2"/>
        <v>0</v>
      </c>
      <c r="T5" s="92">
        <f>SUM(J5:S5)</f>
        <v>9246146.1773726866</v>
      </c>
      <c r="V5" s="147"/>
      <c r="W5" s="147"/>
      <c r="X5" s="147"/>
    </row>
    <row r="6" spans="2:24">
      <c r="B6" s="77" t="s">
        <v>229</v>
      </c>
      <c r="C6" s="89">
        <f t="shared" si="0"/>
        <v>2773843.8532118062</v>
      </c>
      <c r="D6" s="148">
        <f t="shared" si="1"/>
        <v>4.7292244784596975E-2</v>
      </c>
      <c r="E6" s="148"/>
      <c r="F6" s="140">
        <v>0.3</v>
      </c>
      <c r="G6" s="144">
        <f>G$5*$F6</f>
        <v>3.7499999999999999E-3</v>
      </c>
      <c r="H6" s="144">
        <f t="shared" ref="H6:I6" si="3">H$5*$F6</f>
        <v>3.0000000000000001E-3</v>
      </c>
      <c r="I6" s="144">
        <f t="shared" si="3"/>
        <v>2.2499999999999998E-3</v>
      </c>
      <c r="J6" s="89">
        <f>J$5*$F6</f>
        <v>0</v>
      </c>
      <c r="K6" s="89">
        <f t="shared" ref="K6:S8" si="4">K$5*$F6</f>
        <v>0</v>
      </c>
      <c r="L6" s="89">
        <f t="shared" si="4"/>
        <v>1289506.5625000002</v>
      </c>
      <c r="M6" s="89">
        <f t="shared" si="4"/>
        <v>1484337.2907118057</v>
      </c>
      <c r="N6" s="89">
        <f t="shared" si="4"/>
        <v>0</v>
      </c>
      <c r="O6" s="89">
        <f t="shared" si="4"/>
        <v>0</v>
      </c>
      <c r="P6" s="89">
        <f t="shared" si="4"/>
        <v>0</v>
      </c>
      <c r="Q6" s="89">
        <f t="shared" si="4"/>
        <v>0</v>
      </c>
      <c r="R6" s="89">
        <f t="shared" si="4"/>
        <v>0</v>
      </c>
      <c r="S6" s="89">
        <f t="shared" si="4"/>
        <v>0</v>
      </c>
      <c r="T6" s="89">
        <f t="shared" ref="T6:T21" si="5">SUM(J6:S6)</f>
        <v>2773843.8532118062</v>
      </c>
      <c r="V6" s="148"/>
      <c r="W6" s="148"/>
      <c r="X6" s="148"/>
    </row>
    <row r="7" spans="2:24">
      <c r="B7" s="77" t="s">
        <v>230</v>
      </c>
      <c r="C7" s="89">
        <f t="shared" si="0"/>
        <v>5547687.7064236123</v>
      </c>
      <c r="D7" s="148">
        <f t="shared" si="1"/>
        <v>9.458448956919395E-2</v>
      </c>
      <c r="E7" s="148"/>
      <c r="F7" s="140">
        <v>0.6</v>
      </c>
      <c r="G7" s="144">
        <f t="shared" ref="G7:J8" si="6">G$5*$F7</f>
        <v>7.4999999999999997E-3</v>
      </c>
      <c r="H7" s="144">
        <f t="shared" si="6"/>
        <v>6.0000000000000001E-3</v>
      </c>
      <c r="I7" s="144">
        <f t="shared" si="6"/>
        <v>4.4999999999999997E-3</v>
      </c>
      <c r="J7" s="89">
        <f t="shared" si="6"/>
        <v>0</v>
      </c>
      <c r="K7" s="89">
        <f t="shared" si="4"/>
        <v>0</v>
      </c>
      <c r="L7" s="89">
        <f t="shared" si="4"/>
        <v>2579013.1250000005</v>
      </c>
      <c r="M7" s="89">
        <f t="shared" si="4"/>
        <v>2968674.5814236114</v>
      </c>
      <c r="N7" s="89">
        <f t="shared" si="4"/>
        <v>0</v>
      </c>
      <c r="O7" s="89">
        <f t="shared" si="4"/>
        <v>0</v>
      </c>
      <c r="P7" s="89">
        <f t="shared" si="4"/>
        <v>0</v>
      </c>
      <c r="Q7" s="89">
        <f t="shared" si="4"/>
        <v>0</v>
      </c>
      <c r="R7" s="89">
        <f t="shared" si="4"/>
        <v>0</v>
      </c>
      <c r="S7" s="89">
        <f t="shared" si="4"/>
        <v>0</v>
      </c>
      <c r="T7" s="89">
        <f t="shared" si="5"/>
        <v>5547687.7064236123</v>
      </c>
      <c r="V7" s="148"/>
      <c r="W7" s="148"/>
      <c r="X7" s="148"/>
    </row>
    <row r="8" spans="2:24">
      <c r="B8" s="77" t="s">
        <v>231</v>
      </c>
      <c r="C8" s="89">
        <f t="shared" si="0"/>
        <v>924614.6177372688</v>
      </c>
      <c r="D8" s="148">
        <f t="shared" si="1"/>
        <v>1.5764081594865659E-2</v>
      </c>
      <c r="E8" s="148"/>
      <c r="F8" s="140">
        <v>0.1</v>
      </c>
      <c r="G8" s="144">
        <f t="shared" si="6"/>
        <v>1.2500000000000002E-3</v>
      </c>
      <c r="H8" s="144">
        <f t="shared" si="6"/>
        <v>1E-3</v>
      </c>
      <c r="I8" s="144">
        <f t="shared" si="6"/>
        <v>7.5000000000000002E-4</v>
      </c>
      <c r="J8" s="89">
        <f t="shared" si="6"/>
        <v>0</v>
      </c>
      <c r="K8" s="89">
        <f t="shared" si="4"/>
        <v>0</v>
      </c>
      <c r="L8" s="89">
        <f t="shared" si="4"/>
        <v>429835.52083333343</v>
      </c>
      <c r="M8" s="89">
        <f t="shared" si="4"/>
        <v>494779.09690393531</v>
      </c>
      <c r="N8" s="89">
        <f t="shared" si="4"/>
        <v>0</v>
      </c>
      <c r="O8" s="89">
        <f t="shared" si="4"/>
        <v>0</v>
      </c>
      <c r="P8" s="89">
        <f t="shared" si="4"/>
        <v>0</v>
      </c>
      <c r="Q8" s="89">
        <f t="shared" si="4"/>
        <v>0</v>
      </c>
      <c r="R8" s="89">
        <f t="shared" si="4"/>
        <v>0</v>
      </c>
      <c r="S8" s="89">
        <f t="shared" si="4"/>
        <v>0</v>
      </c>
      <c r="T8" s="89">
        <f t="shared" si="5"/>
        <v>924614.6177372688</v>
      </c>
      <c r="V8" s="148"/>
      <c r="W8" s="148"/>
      <c r="X8" s="148"/>
    </row>
    <row r="9" spans="2:24" s="71" customFormat="1">
      <c r="B9" s="71" t="s">
        <v>221</v>
      </c>
      <c r="C9" s="92">
        <f t="shared" si="0"/>
        <v>24244568.545544758</v>
      </c>
      <c r="D9" s="147">
        <f t="shared" si="1"/>
        <v>0.41335422288649354</v>
      </c>
      <c r="E9" s="147"/>
      <c r="F9" s="139">
        <f>SUM(F10:F12)</f>
        <v>1</v>
      </c>
      <c r="G9" s="142">
        <v>3.2500000000000001E-2</v>
      </c>
      <c r="H9" s="142">
        <v>2.75E-2</v>
      </c>
      <c r="I9" s="142">
        <v>2.5000000000000001E-2</v>
      </c>
      <c r="J9" s="92">
        <f>J36*J38</f>
        <v>0</v>
      </c>
      <c r="K9" s="92">
        <f t="shared" ref="K9:S9" si="7">K36*K38</f>
        <v>0</v>
      </c>
      <c r="L9" s="92">
        <f t="shared" si="7"/>
        <v>5253545.2546296306</v>
      </c>
      <c r="M9" s="92">
        <f t="shared" si="7"/>
        <v>11874698.325694446</v>
      </c>
      <c r="N9" s="92">
        <f t="shared" si="7"/>
        <v>7116324.9652206805</v>
      </c>
      <c r="O9" s="92">
        <f t="shared" si="7"/>
        <v>0</v>
      </c>
      <c r="P9" s="92">
        <f t="shared" si="7"/>
        <v>0</v>
      </c>
      <c r="Q9" s="92">
        <f t="shared" si="7"/>
        <v>0</v>
      </c>
      <c r="R9" s="92">
        <f t="shared" si="7"/>
        <v>0</v>
      </c>
      <c r="S9" s="92">
        <f t="shared" si="7"/>
        <v>0</v>
      </c>
      <c r="T9" s="92">
        <f t="shared" si="5"/>
        <v>24244568.545544758</v>
      </c>
      <c r="V9" s="147"/>
      <c r="W9" s="147"/>
      <c r="X9" s="147"/>
    </row>
    <row r="10" spans="2:24">
      <c r="B10" s="77" t="s">
        <v>232</v>
      </c>
      <c r="C10" s="89">
        <f t="shared" si="0"/>
        <v>9697827.418217903</v>
      </c>
      <c r="D10" s="148">
        <f t="shared" si="1"/>
        <v>0.1653416891545974</v>
      </c>
      <c r="E10" s="148"/>
      <c r="F10" s="141">
        <v>0.4</v>
      </c>
      <c r="G10" s="144">
        <f>G$5*$F10</f>
        <v>5.000000000000001E-3</v>
      </c>
      <c r="H10" s="144">
        <f t="shared" ref="H10:I10" si="8">H$5*$F10</f>
        <v>4.0000000000000001E-3</v>
      </c>
      <c r="I10" s="144">
        <f t="shared" si="8"/>
        <v>3.0000000000000001E-3</v>
      </c>
      <c r="J10" s="89">
        <f>J$9*$F10</f>
        <v>0</v>
      </c>
      <c r="K10" s="89">
        <f t="shared" ref="K10:S12" si="9">K$9*$F10</f>
        <v>0</v>
      </c>
      <c r="L10" s="89">
        <f t="shared" si="9"/>
        <v>2101418.1018518521</v>
      </c>
      <c r="M10" s="89">
        <f t="shared" si="9"/>
        <v>4749879.3302777782</v>
      </c>
      <c r="N10" s="89">
        <f t="shared" si="9"/>
        <v>2846529.9860882722</v>
      </c>
      <c r="O10" s="89">
        <f t="shared" si="9"/>
        <v>0</v>
      </c>
      <c r="P10" s="89">
        <f t="shared" si="9"/>
        <v>0</v>
      </c>
      <c r="Q10" s="89">
        <f t="shared" si="9"/>
        <v>0</v>
      </c>
      <c r="R10" s="89">
        <f t="shared" si="9"/>
        <v>0</v>
      </c>
      <c r="S10" s="89">
        <f t="shared" si="9"/>
        <v>0</v>
      </c>
      <c r="T10" s="89">
        <f t="shared" si="5"/>
        <v>9697827.418217903</v>
      </c>
      <c r="V10" s="148"/>
      <c r="W10" s="148"/>
      <c r="X10" s="148"/>
    </row>
    <row r="11" spans="2:24">
      <c r="B11" s="77" t="s">
        <v>233</v>
      </c>
      <c r="C11" s="89">
        <f t="shared" si="0"/>
        <v>7273370.5636634268</v>
      </c>
      <c r="D11" s="148">
        <f t="shared" si="1"/>
        <v>0.12400626686594805</v>
      </c>
      <c r="E11" s="148"/>
      <c r="F11" s="141">
        <v>0.3</v>
      </c>
      <c r="G11" s="144">
        <f t="shared" ref="G11:I12" si="10">G$5*$F11</f>
        <v>3.7499999999999999E-3</v>
      </c>
      <c r="H11" s="144">
        <f t="shared" si="10"/>
        <v>3.0000000000000001E-3</v>
      </c>
      <c r="I11" s="144">
        <f t="shared" si="10"/>
        <v>2.2499999999999998E-3</v>
      </c>
      <c r="J11" s="89">
        <f t="shared" ref="J11:J12" si="11">J$9*$F11</f>
        <v>0</v>
      </c>
      <c r="K11" s="89">
        <f t="shared" si="9"/>
        <v>0</v>
      </c>
      <c r="L11" s="89">
        <f t="shared" si="9"/>
        <v>1576063.5763888892</v>
      </c>
      <c r="M11" s="89">
        <f t="shared" si="9"/>
        <v>3562409.4977083337</v>
      </c>
      <c r="N11" s="89">
        <f t="shared" si="9"/>
        <v>2134897.4895662041</v>
      </c>
      <c r="O11" s="89">
        <f t="shared" si="9"/>
        <v>0</v>
      </c>
      <c r="P11" s="89">
        <f t="shared" si="9"/>
        <v>0</v>
      </c>
      <c r="Q11" s="89">
        <f t="shared" si="9"/>
        <v>0</v>
      </c>
      <c r="R11" s="89">
        <f t="shared" si="9"/>
        <v>0</v>
      </c>
      <c r="S11" s="89">
        <f t="shared" si="9"/>
        <v>0</v>
      </c>
      <c r="T11" s="89">
        <f t="shared" si="5"/>
        <v>7273370.5636634268</v>
      </c>
      <c r="V11" s="148"/>
      <c r="W11" s="148"/>
      <c r="X11" s="148"/>
    </row>
    <row r="12" spans="2:24">
      <c r="B12" s="77" t="s">
        <v>240</v>
      </c>
      <c r="C12" s="89">
        <f t="shared" si="0"/>
        <v>7273370.5636634268</v>
      </c>
      <c r="D12" s="148">
        <f t="shared" si="1"/>
        <v>0.12400626686594805</v>
      </c>
      <c r="E12" s="148"/>
      <c r="F12" s="140">
        <v>0.3</v>
      </c>
      <c r="G12" s="144">
        <f t="shared" si="10"/>
        <v>3.7499999999999999E-3</v>
      </c>
      <c r="H12" s="144">
        <f t="shared" si="10"/>
        <v>3.0000000000000001E-3</v>
      </c>
      <c r="I12" s="144">
        <f t="shared" si="10"/>
        <v>2.2499999999999998E-3</v>
      </c>
      <c r="J12" s="89">
        <f t="shared" si="11"/>
        <v>0</v>
      </c>
      <c r="K12" s="89">
        <f t="shared" si="9"/>
        <v>0</v>
      </c>
      <c r="L12" s="89">
        <f t="shared" si="9"/>
        <v>1576063.5763888892</v>
      </c>
      <c r="M12" s="89">
        <f t="shared" si="9"/>
        <v>3562409.4977083337</v>
      </c>
      <c r="N12" s="89">
        <f t="shared" si="9"/>
        <v>2134897.4895662041</v>
      </c>
      <c r="O12" s="89">
        <f t="shared" si="9"/>
        <v>0</v>
      </c>
      <c r="P12" s="89">
        <f t="shared" si="9"/>
        <v>0</v>
      </c>
      <c r="Q12" s="89">
        <f t="shared" si="9"/>
        <v>0</v>
      </c>
      <c r="R12" s="89">
        <f t="shared" si="9"/>
        <v>0</v>
      </c>
      <c r="S12" s="89">
        <f t="shared" si="9"/>
        <v>0</v>
      </c>
      <c r="T12" s="89">
        <f t="shared" si="5"/>
        <v>7273370.5636634268</v>
      </c>
      <c r="V12" s="148"/>
      <c r="W12" s="148"/>
      <c r="X12" s="148"/>
    </row>
    <row r="13" spans="2:24" s="71" customFormat="1">
      <c r="B13" s="71" t="s">
        <v>222</v>
      </c>
      <c r="C13" s="92">
        <f t="shared" si="0"/>
        <v>13722278.92200949</v>
      </c>
      <c r="D13" s="147">
        <f t="shared" si="1"/>
        <v>0.23395598603388112</v>
      </c>
      <c r="E13" s="147"/>
      <c r="F13" s="139">
        <f>SUM(F14:F16)</f>
        <v>1</v>
      </c>
      <c r="G13" s="142">
        <v>1.4999999999999999E-2</v>
      </c>
      <c r="H13" s="142">
        <v>1.2500000000000001E-2</v>
      </c>
      <c r="I13" s="142">
        <v>1.2500000000000001E-2</v>
      </c>
      <c r="J13" s="92">
        <f>J36*J39</f>
        <v>0</v>
      </c>
      <c r="K13" s="92">
        <f t="shared" ref="K13:S13" si="12">K36*K39</f>
        <v>3024423.3450911231</v>
      </c>
      <c r="L13" s="92">
        <f t="shared" si="12"/>
        <v>0</v>
      </c>
      <c r="M13" s="92">
        <f t="shared" si="12"/>
        <v>1979116.3876157412</v>
      </c>
      <c r="N13" s="92">
        <f t="shared" si="12"/>
        <v>8132942.817395065</v>
      </c>
      <c r="O13" s="92">
        <f t="shared" si="12"/>
        <v>585796.3719075619</v>
      </c>
      <c r="P13" s="92">
        <f t="shared" si="12"/>
        <v>0</v>
      </c>
      <c r="Q13" s="92">
        <f t="shared" si="12"/>
        <v>0</v>
      </c>
      <c r="R13" s="92">
        <f t="shared" si="12"/>
        <v>0</v>
      </c>
      <c r="S13" s="92">
        <f t="shared" si="12"/>
        <v>0</v>
      </c>
      <c r="T13" s="92">
        <f t="shared" si="5"/>
        <v>13722278.92200949</v>
      </c>
      <c r="V13" s="147"/>
      <c r="W13" s="147"/>
      <c r="X13" s="147"/>
    </row>
    <row r="14" spans="2:24">
      <c r="B14" s="77" t="s">
        <v>234</v>
      </c>
      <c r="C14" s="89">
        <f t="shared" si="0"/>
        <v>2744455.7844018983</v>
      </c>
      <c r="D14" s="148">
        <f t="shared" si="1"/>
        <v>4.6791197206776228E-2</v>
      </c>
      <c r="E14" s="148"/>
      <c r="F14" s="141">
        <v>0.2</v>
      </c>
      <c r="G14" s="144">
        <f>G$5*$F14</f>
        <v>2.5000000000000005E-3</v>
      </c>
      <c r="H14" s="144">
        <f t="shared" ref="H14:I14" si="13">H$5*$F14</f>
        <v>2E-3</v>
      </c>
      <c r="I14" s="144">
        <f t="shared" si="13"/>
        <v>1.5E-3</v>
      </c>
      <c r="J14" s="89">
        <f>J$13*$F14</f>
        <v>0</v>
      </c>
      <c r="K14" s="89">
        <f t="shared" ref="K14:S16" si="14">K$13*$F14</f>
        <v>604884.6690182247</v>
      </c>
      <c r="L14" s="89">
        <f t="shared" si="14"/>
        <v>0</v>
      </c>
      <c r="M14" s="89">
        <f t="shared" si="14"/>
        <v>395823.27752314828</v>
      </c>
      <c r="N14" s="89">
        <f t="shared" si="14"/>
        <v>1626588.563479013</v>
      </c>
      <c r="O14" s="89">
        <f t="shared" si="14"/>
        <v>117159.27438151238</v>
      </c>
      <c r="P14" s="89">
        <f t="shared" si="14"/>
        <v>0</v>
      </c>
      <c r="Q14" s="89">
        <f t="shared" si="14"/>
        <v>0</v>
      </c>
      <c r="R14" s="89">
        <f t="shared" si="14"/>
        <v>0</v>
      </c>
      <c r="S14" s="89">
        <f t="shared" si="14"/>
        <v>0</v>
      </c>
      <c r="T14" s="89">
        <f t="shared" si="5"/>
        <v>2744455.7844018983</v>
      </c>
      <c r="V14" s="148"/>
      <c r="W14" s="148"/>
      <c r="X14" s="148"/>
    </row>
    <row r="15" spans="2:24">
      <c r="B15" s="77" t="s">
        <v>235</v>
      </c>
      <c r="C15" s="89">
        <f t="shared" si="0"/>
        <v>6861139.4610047452</v>
      </c>
      <c r="D15" s="148">
        <f t="shared" si="1"/>
        <v>0.11697799301694056</v>
      </c>
      <c r="E15" s="148"/>
      <c r="F15" s="141">
        <v>0.5</v>
      </c>
      <c r="G15" s="144">
        <f t="shared" ref="G15:I16" si="15">G$5*$F15</f>
        <v>6.2500000000000003E-3</v>
      </c>
      <c r="H15" s="144">
        <f t="shared" si="15"/>
        <v>5.0000000000000001E-3</v>
      </c>
      <c r="I15" s="144">
        <f t="shared" si="15"/>
        <v>3.7499999999999999E-3</v>
      </c>
      <c r="J15" s="89">
        <f t="shared" ref="J15:J16" si="16">J$13*$F15</f>
        <v>0</v>
      </c>
      <c r="K15" s="89">
        <f t="shared" si="14"/>
        <v>1512211.6725455616</v>
      </c>
      <c r="L15" s="89">
        <f t="shared" si="14"/>
        <v>0</v>
      </c>
      <c r="M15" s="89">
        <f t="shared" si="14"/>
        <v>989558.19380787062</v>
      </c>
      <c r="N15" s="89">
        <f t="shared" si="14"/>
        <v>4066471.4086975325</v>
      </c>
      <c r="O15" s="89">
        <f t="shared" si="14"/>
        <v>292898.18595378095</v>
      </c>
      <c r="P15" s="89">
        <f t="shared" si="14"/>
        <v>0</v>
      </c>
      <c r="Q15" s="89">
        <f t="shared" si="14"/>
        <v>0</v>
      </c>
      <c r="R15" s="89">
        <f t="shared" si="14"/>
        <v>0</v>
      </c>
      <c r="S15" s="89">
        <f t="shared" si="14"/>
        <v>0</v>
      </c>
      <c r="T15" s="89">
        <f t="shared" si="5"/>
        <v>6861139.4610047452</v>
      </c>
      <c r="V15" s="148"/>
      <c r="W15" s="148"/>
      <c r="X15" s="148"/>
    </row>
    <row r="16" spans="2:24">
      <c r="B16" s="77" t="s">
        <v>236</v>
      </c>
      <c r="C16" s="89">
        <f t="shared" si="0"/>
        <v>4116683.6766028474</v>
      </c>
      <c r="D16" s="148">
        <f t="shared" si="1"/>
        <v>7.0186795810164349E-2</v>
      </c>
      <c r="E16" s="148"/>
      <c r="F16" s="141">
        <v>0.3</v>
      </c>
      <c r="G16" s="144">
        <f t="shared" si="15"/>
        <v>3.7499999999999999E-3</v>
      </c>
      <c r="H16" s="144">
        <f t="shared" si="15"/>
        <v>3.0000000000000001E-3</v>
      </c>
      <c r="I16" s="144">
        <f t="shared" si="15"/>
        <v>2.2499999999999998E-3</v>
      </c>
      <c r="J16" s="89">
        <f t="shared" si="16"/>
        <v>0</v>
      </c>
      <c r="K16" s="89">
        <f t="shared" si="14"/>
        <v>907327.00352733687</v>
      </c>
      <c r="L16" s="89">
        <f t="shared" si="14"/>
        <v>0</v>
      </c>
      <c r="M16" s="89">
        <f t="shared" si="14"/>
        <v>593734.91628472239</v>
      </c>
      <c r="N16" s="89">
        <f t="shared" si="14"/>
        <v>2439882.8452185192</v>
      </c>
      <c r="O16" s="89">
        <f t="shared" si="14"/>
        <v>175738.91157226855</v>
      </c>
      <c r="P16" s="89">
        <f t="shared" si="14"/>
        <v>0</v>
      </c>
      <c r="Q16" s="89">
        <f t="shared" si="14"/>
        <v>0</v>
      </c>
      <c r="R16" s="89">
        <f t="shared" si="14"/>
        <v>0</v>
      </c>
      <c r="S16" s="89">
        <f t="shared" si="14"/>
        <v>0</v>
      </c>
      <c r="T16" s="89">
        <f t="shared" si="5"/>
        <v>4116683.6766028474</v>
      </c>
      <c r="V16" s="148"/>
      <c r="W16" s="148"/>
      <c r="X16" s="148"/>
    </row>
    <row r="17" spans="2:24" s="71" customFormat="1">
      <c r="B17" s="71" t="s">
        <v>223</v>
      </c>
      <c r="C17" s="92">
        <f t="shared" si="0"/>
        <v>11440256.287401156</v>
      </c>
      <c r="D17" s="147">
        <f t="shared" si="1"/>
        <v>0.19504897513096875</v>
      </c>
      <c r="E17" s="147"/>
      <c r="F17" s="139">
        <f>SUM(F18:F20)</f>
        <v>1</v>
      </c>
      <c r="G17" s="142">
        <v>1.2500000000000001E-2</v>
      </c>
      <c r="H17" s="142">
        <v>1.2500000000000001E-2</v>
      </c>
      <c r="I17" s="142">
        <v>0.01</v>
      </c>
      <c r="J17" s="92">
        <f>J36*J40</f>
        <v>0</v>
      </c>
      <c r="K17" s="92">
        <f t="shared" ref="K17:S17" si="17">K36*K40</f>
        <v>3024423.3450911231</v>
      </c>
      <c r="L17" s="92">
        <f t="shared" si="17"/>
        <v>0</v>
      </c>
      <c r="M17" s="92">
        <f t="shared" si="17"/>
        <v>989558.19380787062</v>
      </c>
      <c r="N17" s="92">
        <f t="shared" si="17"/>
        <v>5083089.2608719151</v>
      </c>
      <c r="O17" s="92">
        <f t="shared" si="17"/>
        <v>2343185.4876302476</v>
      </c>
      <c r="P17" s="92">
        <f t="shared" si="17"/>
        <v>0</v>
      </c>
      <c r="Q17" s="92">
        <f t="shared" si="17"/>
        <v>0</v>
      </c>
      <c r="R17" s="92">
        <f t="shared" si="17"/>
        <v>0</v>
      </c>
      <c r="S17" s="92">
        <f t="shared" si="17"/>
        <v>0</v>
      </c>
      <c r="T17" s="92">
        <f t="shared" si="5"/>
        <v>11440256.287401156</v>
      </c>
      <c r="V17" s="147"/>
      <c r="W17" s="147"/>
      <c r="X17" s="147"/>
    </row>
    <row r="18" spans="2:24">
      <c r="B18" s="77" t="s">
        <v>237</v>
      </c>
      <c r="C18" s="89">
        <f t="shared" si="0"/>
        <v>3432076.8862203467</v>
      </c>
      <c r="D18" s="148">
        <f t="shared" si="1"/>
        <v>5.8514692539290619E-2</v>
      </c>
      <c r="E18" s="148"/>
      <c r="F18" s="141">
        <v>0.3</v>
      </c>
      <c r="G18" s="144">
        <f>G$5*$F18</f>
        <v>3.7499999999999999E-3</v>
      </c>
      <c r="H18" s="144">
        <f t="shared" ref="H18:I18" si="18">H$5*$F18</f>
        <v>3.0000000000000001E-3</v>
      </c>
      <c r="I18" s="144">
        <f t="shared" si="18"/>
        <v>2.2499999999999998E-3</v>
      </c>
      <c r="J18" s="89">
        <f>J$17*$F18</f>
        <v>0</v>
      </c>
      <c r="K18" s="89">
        <f t="shared" ref="K18:S20" si="19">K$17*$F18</f>
        <v>907327.00352733687</v>
      </c>
      <c r="L18" s="89">
        <f t="shared" si="19"/>
        <v>0</v>
      </c>
      <c r="M18" s="89">
        <f t="shared" si="19"/>
        <v>296867.4581423612</v>
      </c>
      <c r="N18" s="89">
        <f t="shared" si="19"/>
        <v>1524926.7782615745</v>
      </c>
      <c r="O18" s="89">
        <f t="shared" si="19"/>
        <v>702955.64628907421</v>
      </c>
      <c r="P18" s="89">
        <f t="shared" si="19"/>
        <v>0</v>
      </c>
      <c r="Q18" s="89">
        <f t="shared" si="19"/>
        <v>0</v>
      </c>
      <c r="R18" s="89">
        <f t="shared" si="19"/>
        <v>0</v>
      </c>
      <c r="S18" s="89">
        <f t="shared" si="19"/>
        <v>0</v>
      </c>
      <c r="T18" s="89">
        <f t="shared" si="5"/>
        <v>3432076.8862203467</v>
      </c>
      <c r="V18" s="148"/>
      <c r="W18" s="148"/>
      <c r="X18" s="148"/>
    </row>
    <row r="19" spans="2:24">
      <c r="B19" s="77" t="s">
        <v>238</v>
      </c>
      <c r="C19" s="89">
        <f t="shared" si="0"/>
        <v>5720128.1437005782</v>
      </c>
      <c r="D19" s="148">
        <f t="shared" si="1"/>
        <v>9.7524487565484375E-2</v>
      </c>
      <c r="E19" s="148"/>
      <c r="F19" s="141">
        <v>0.5</v>
      </c>
      <c r="G19" s="144">
        <f t="shared" ref="G19:I20" si="20">G$5*$F19</f>
        <v>6.2500000000000003E-3</v>
      </c>
      <c r="H19" s="144">
        <f t="shared" si="20"/>
        <v>5.0000000000000001E-3</v>
      </c>
      <c r="I19" s="144">
        <f t="shared" si="20"/>
        <v>3.7499999999999999E-3</v>
      </c>
      <c r="J19" s="89">
        <f t="shared" ref="J19:J20" si="21">J$17*$F19</f>
        <v>0</v>
      </c>
      <c r="K19" s="89">
        <f t="shared" si="19"/>
        <v>1512211.6725455616</v>
      </c>
      <c r="L19" s="89">
        <f t="shared" si="19"/>
        <v>0</v>
      </c>
      <c r="M19" s="89">
        <f t="shared" si="19"/>
        <v>494779.09690393531</v>
      </c>
      <c r="N19" s="89">
        <f t="shared" si="19"/>
        <v>2541544.6304359576</v>
      </c>
      <c r="O19" s="89">
        <f t="shared" si="19"/>
        <v>1171592.7438151238</v>
      </c>
      <c r="P19" s="89">
        <f t="shared" si="19"/>
        <v>0</v>
      </c>
      <c r="Q19" s="89">
        <f t="shared" si="19"/>
        <v>0</v>
      </c>
      <c r="R19" s="89">
        <f t="shared" si="19"/>
        <v>0</v>
      </c>
      <c r="S19" s="89">
        <f t="shared" si="19"/>
        <v>0</v>
      </c>
      <c r="T19" s="89">
        <f t="shared" si="5"/>
        <v>5720128.1437005782</v>
      </c>
      <c r="V19" s="148"/>
      <c r="W19" s="148"/>
      <c r="X19" s="148"/>
    </row>
    <row r="20" spans="2:24">
      <c r="B20" s="77" t="s">
        <v>239</v>
      </c>
      <c r="C20" s="89">
        <f t="shared" si="0"/>
        <v>2288051.2574802316</v>
      </c>
      <c r="D20" s="148">
        <f t="shared" si="1"/>
        <v>3.9009795026193755E-2</v>
      </c>
      <c r="E20" s="148"/>
      <c r="F20" s="141">
        <v>0.2</v>
      </c>
      <c r="G20" s="144">
        <f t="shared" si="20"/>
        <v>2.5000000000000005E-3</v>
      </c>
      <c r="H20" s="144">
        <f t="shared" si="20"/>
        <v>2E-3</v>
      </c>
      <c r="I20" s="144">
        <f t="shared" si="20"/>
        <v>1.5E-3</v>
      </c>
      <c r="J20" s="89">
        <f t="shared" si="21"/>
        <v>0</v>
      </c>
      <c r="K20" s="89">
        <f t="shared" si="19"/>
        <v>604884.6690182247</v>
      </c>
      <c r="L20" s="89">
        <f t="shared" si="19"/>
        <v>0</v>
      </c>
      <c r="M20" s="89">
        <f t="shared" si="19"/>
        <v>197911.63876157414</v>
      </c>
      <c r="N20" s="89">
        <f t="shared" si="19"/>
        <v>1016617.8521743831</v>
      </c>
      <c r="O20" s="89">
        <f t="shared" si="19"/>
        <v>468637.09752604953</v>
      </c>
      <c r="P20" s="89">
        <f t="shared" si="19"/>
        <v>0</v>
      </c>
      <c r="Q20" s="89">
        <f t="shared" si="19"/>
        <v>0</v>
      </c>
      <c r="R20" s="89">
        <f t="shared" si="19"/>
        <v>0</v>
      </c>
      <c r="S20" s="89">
        <f t="shared" si="19"/>
        <v>0</v>
      </c>
      <c r="T20" s="89">
        <f t="shared" si="5"/>
        <v>2288051.2574802316</v>
      </c>
      <c r="V20" s="148"/>
      <c r="W20" s="148"/>
      <c r="X20" s="148"/>
    </row>
    <row r="21" spans="2:24" s="71" customFormat="1">
      <c r="B21" s="71" t="s">
        <v>200</v>
      </c>
      <c r="C21" s="92">
        <f t="shared" si="0"/>
        <v>58653249.93232809</v>
      </c>
      <c r="D21" s="147">
        <f t="shared" si="1"/>
        <v>1</v>
      </c>
      <c r="E21" s="147"/>
      <c r="F21" s="136"/>
      <c r="G21" s="145">
        <f>G5+G9+G13+G17</f>
        <v>7.2499999999999995E-2</v>
      </c>
      <c r="H21" s="145">
        <f t="shared" ref="H21:I21" si="22">H5+H9+H13+H17</f>
        <v>6.25E-2</v>
      </c>
      <c r="I21" s="145">
        <f t="shared" si="22"/>
        <v>5.5E-2</v>
      </c>
      <c r="J21" s="92">
        <f>J5+J9+J13+J17</f>
        <v>0</v>
      </c>
      <c r="K21" s="92">
        <f t="shared" ref="K21:S21" si="23">K5+K9+K13+K17</f>
        <v>6048846.6901822463</v>
      </c>
      <c r="L21" s="92">
        <f t="shared" si="23"/>
        <v>9551900.4629629645</v>
      </c>
      <c r="M21" s="92">
        <f t="shared" si="23"/>
        <v>19791163.87615741</v>
      </c>
      <c r="N21" s="92">
        <f t="shared" si="23"/>
        <v>20332357.043487661</v>
      </c>
      <c r="O21" s="92">
        <f t="shared" si="23"/>
        <v>2928981.8595378096</v>
      </c>
      <c r="P21" s="92">
        <f t="shared" si="23"/>
        <v>0</v>
      </c>
      <c r="Q21" s="92">
        <f t="shared" si="23"/>
        <v>0</v>
      </c>
      <c r="R21" s="92">
        <f t="shared" si="23"/>
        <v>0</v>
      </c>
      <c r="S21" s="92">
        <f t="shared" si="23"/>
        <v>0</v>
      </c>
      <c r="T21" s="92">
        <f t="shared" si="5"/>
        <v>58653249.93232809</v>
      </c>
      <c r="V21" s="147"/>
      <c r="W21" s="147"/>
      <c r="X21" s="147"/>
    </row>
    <row r="22" spans="2:24" s="71" customFormat="1">
      <c r="B22" s="71" t="s">
        <v>227</v>
      </c>
      <c r="G22" s="138">
        <v>1</v>
      </c>
      <c r="H22" s="138">
        <v>2</v>
      </c>
      <c r="I22" s="138">
        <v>3</v>
      </c>
      <c r="J22" s="146">
        <f>J36-J21</f>
        <v>0</v>
      </c>
      <c r="K22" s="146">
        <f t="shared" ref="K22:S22" si="24">K36-K21</f>
        <v>0</v>
      </c>
      <c r="L22" s="146">
        <f t="shared" si="24"/>
        <v>0</v>
      </c>
      <c r="M22" s="146">
        <f t="shared" si="24"/>
        <v>0</v>
      </c>
      <c r="N22" s="146">
        <f t="shared" si="24"/>
        <v>0</v>
      </c>
      <c r="O22" s="146">
        <f t="shared" si="24"/>
        <v>0</v>
      </c>
      <c r="P22" s="146">
        <f t="shared" si="24"/>
        <v>0</v>
      </c>
      <c r="Q22" s="146">
        <f t="shared" si="24"/>
        <v>0</v>
      </c>
      <c r="R22" s="146">
        <f t="shared" si="24"/>
        <v>0</v>
      </c>
      <c r="S22" s="146">
        <f t="shared" si="24"/>
        <v>0</v>
      </c>
    </row>
    <row r="24" spans="2:24">
      <c r="J24" s="45" t="s">
        <v>2</v>
      </c>
      <c r="K24" s="45" t="s">
        <v>3</v>
      </c>
      <c r="L24" s="45" t="s">
        <v>4</v>
      </c>
      <c r="M24" s="45" t="s">
        <v>5</v>
      </c>
      <c r="N24" s="45" t="s">
        <v>6</v>
      </c>
      <c r="O24" s="45" t="s">
        <v>7</v>
      </c>
      <c r="P24" s="45" t="s">
        <v>8</v>
      </c>
      <c r="Q24" s="45" t="s">
        <v>9</v>
      </c>
      <c r="R24" s="45" t="s">
        <v>10</v>
      </c>
      <c r="S24" s="45" t="s">
        <v>11</v>
      </c>
      <c r="T24" s="45"/>
    </row>
    <row r="25" spans="2:24" s="71" customFormat="1" ht="45">
      <c r="B25" s="135"/>
      <c r="C25" s="73" t="s">
        <v>173</v>
      </c>
      <c r="D25" s="74" t="s">
        <v>174</v>
      </c>
      <c r="E25" s="149"/>
      <c r="F25" s="143" t="s">
        <v>225</v>
      </c>
      <c r="G25" s="143" t="s">
        <v>226</v>
      </c>
      <c r="H25" s="143" t="s">
        <v>224</v>
      </c>
      <c r="I25" s="136" t="s">
        <v>227</v>
      </c>
      <c r="J25" s="44" t="s">
        <v>138</v>
      </c>
      <c r="K25" s="44" t="s">
        <v>139</v>
      </c>
      <c r="L25" s="44" t="s">
        <v>140</v>
      </c>
      <c r="M25" s="44" t="s">
        <v>141</v>
      </c>
      <c r="N25" s="44" t="s">
        <v>142</v>
      </c>
      <c r="O25" s="44" t="s">
        <v>143</v>
      </c>
      <c r="P25" s="44" t="s">
        <v>144</v>
      </c>
      <c r="Q25" s="44" t="s">
        <v>145</v>
      </c>
      <c r="R25" s="44" t="s">
        <v>146</v>
      </c>
      <c r="S25" s="44" t="s">
        <v>147</v>
      </c>
      <c r="T25" s="44" t="s">
        <v>148</v>
      </c>
    </row>
    <row r="26" spans="2:24">
      <c r="B26" s="24" t="s">
        <v>151</v>
      </c>
      <c r="C26" s="89">
        <f>T26</f>
        <v>6250891.9753086418</v>
      </c>
      <c r="D26" s="148">
        <f>C26/C$36</f>
        <v>0.10657366782779616</v>
      </c>
      <c r="E26" s="148"/>
      <c r="F26" s="89">
        <f>'Capital Cost Proxy'!P27</f>
        <v>113459627.9773019</v>
      </c>
      <c r="G26" s="89">
        <f>F26*14</f>
        <v>1588434791.6822267</v>
      </c>
      <c r="H26" s="134">
        <v>1</v>
      </c>
      <c r="I26" s="137">
        <v>2</v>
      </c>
      <c r="J26" s="89">
        <f>'Detailed Budget_Revised'!H44</f>
        <v>0</v>
      </c>
      <c r="K26" s="89">
        <f>'Detailed Budget_Revised'!I44</f>
        <v>0</v>
      </c>
      <c r="L26" s="89">
        <f>'Detailed Budget_Revised'!J44</f>
        <v>3034413.5802469132</v>
      </c>
      <c r="M26" s="89">
        <f>'Detailed Budget_Revised'!K44</f>
        <v>3216478.3950617285</v>
      </c>
      <c r="N26" s="89">
        <f>'Detailed Budget_Revised'!L44</f>
        <v>0</v>
      </c>
      <c r="O26" s="89">
        <f>'Detailed Budget_Revised'!M44</f>
        <v>0</v>
      </c>
      <c r="P26" s="89">
        <f>'Detailed Budget_Revised'!N44</f>
        <v>0</v>
      </c>
      <c r="Q26" s="89">
        <f>'Detailed Budget_Revised'!O44</f>
        <v>0</v>
      </c>
      <c r="R26" s="89">
        <f>'Detailed Budget_Revised'!P44</f>
        <v>0</v>
      </c>
      <c r="S26" s="89">
        <f>'Detailed Budget_Revised'!Q44</f>
        <v>0</v>
      </c>
      <c r="T26" s="89">
        <f>'Detailed Budget_Revised'!R44</f>
        <v>6250891.9753086418</v>
      </c>
    </row>
    <row r="27" spans="2:24">
      <c r="B27" s="24" t="s">
        <v>152</v>
      </c>
      <c r="C27" s="89">
        <f t="shared" ref="C27:C35" si="25">T27</f>
        <v>8756425.4749999996</v>
      </c>
      <c r="D27" s="148">
        <f t="shared" ref="D27:D36" si="26">C27/C$36</f>
        <v>0.14929139451100892</v>
      </c>
      <c r="E27" s="148"/>
      <c r="F27" s="89">
        <f>'Capital Cost Proxy'!P28</f>
        <v>170775238.48477113</v>
      </c>
      <c r="G27" s="89">
        <f t="shared" ref="G27:G35" si="27">F27*14</f>
        <v>2390853338.7867956</v>
      </c>
      <c r="H27" s="134">
        <v>1</v>
      </c>
      <c r="I27" s="137">
        <v>3</v>
      </c>
      <c r="J27" s="89">
        <f>'Detailed Budget_Revised'!H45</f>
        <v>0</v>
      </c>
      <c r="K27" s="89">
        <f>'Detailed Budget_Revised'!I45</f>
        <v>0</v>
      </c>
      <c r="L27" s="89">
        <f>'Detailed Budget_Revised'!J45</f>
        <v>2750479.1666666665</v>
      </c>
      <c r="M27" s="89">
        <f>'Detailed Budget_Revised'!K45</f>
        <v>2915507.9166666665</v>
      </c>
      <c r="N27" s="89">
        <f>'Detailed Budget_Revised'!L45</f>
        <v>3090438.3916666666</v>
      </c>
      <c r="O27" s="89">
        <f>'Detailed Budget_Revised'!M45</f>
        <v>0</v>
      </c>
      <c r="P27" s="89">
        <f>'Detailed Budget_Revised'!N45</f>
        <v>0</v>
      </c>
      <c r="Q27" s="89">
        <f>'Detailed Budget_Revised'!O45</f>
        <v>0</v>
      </c>
      <c r="R27" s="89">
        <f>'Detailed Budget_Revised'!P45</f>
        <v>0</v>
      </c>
      <c r="S27" s="89">
        <f>'Detailed Budget_Revised'!Q45</f>
        <v>0</v>
      </c>
      <c r="T27" s="89">
        <f>'Detailed Budget_Revised'!R45</f>
        <v>8756425.4749999996</v>
      </c>
    </row>
    <row r="28" spans="2:24">
      <c r="B28" s="24" t="s">
        <v>153</v>
      </c>
      <c r="C28" s="89">
        <f t="shared" si="25"/>
        <v>7631669.3634259282</v>
      </c>
      <c r="D28" s="148">
        <f t="shared" si="26"/>
        <v>0.1301150298104719</v>
      </c>
      <c r="E28" s="148"/>
      <c r="F28" s="89">
        <f>'Capital Cost Proxy'!P29</f>
        <v>141817279.6300149</v>
      </c>
      <c r="G28" s="89">
        <f t="shared" si="27"/>
        <v>1985441914.8202085</v>
      </c>
      <c r="H28" s="134">
        <v>1</v>
      </c>
      <c r="I28" s="137">
        <v>2</v>
      </c>
      <c r="J28" s="89">
        <f>'Detailed Budget_Revised'!H46</f>
        <v>0</v>
      </c>
      <c r="K28" s="89">
        <f>'Detailed Budget_Revised'!I46</f>
        <v>0</v>
      </c>
      <c r="L28" s="89">
        <f>'Detailed Budget_Revised'!J46</f>
        <v>0</v>
      </c>
      <c r="M28" s="89">
        <f>'Detailed Budget_Revised'!K46</f>
        <v>3704693.8657407421</v>
      </c>
      <c r="N28" s="89">
        <f>'Detailed Budget_Revised'!L46</f>
        <v>3926975.4976851861</v>
      </c>
      <c r="O28" s="89">
        <f>'Detailed Budget_Revised'!M46</f>
        <v>0</v>
      </c>
      <c r="P28" s="89">
        <f>'Detailed Budget_Revised'!N46</f>
        <v>0</v>
      </c>
      <c r="Q28" s="89">
        <f>'Detailed Budget_Revised'!O46</f>
        <v>0</v>
      </c>
      <c r="R28" s="89">
        <f>'Detailed Budget_Revised'!P46</f>
        <v>0</v>
      </c>
      <c r="S28" s="89">
        <f>'Detailed Budget_Revised'!Q46</f>
        <v>0</v>
      </c>
      <c r="T28" s="89">
        <f>'Detailed Budget_Revised'!R46</f>
        <v>7631669.3634259282</v>
      </c>
    </row>
    <row r="29" spans="2:24">
      <c r="B29" s="24" t="s">
        <v>154</v>
      </c>
      <c r="C29" s="89">
        <f t="shared" si="25"/>
        <v>6217503.2823148156</v>
      </c>
      <c r="D29" s="148">
        <f t="shared" si="26"/>
        <v>0.10600441219349885</v>
      </c>
      <c r="E29" s="148"/>
      <c r="F29" s="89">
        <f>'Capital Cost Proxy'!P30</f>
        <v>99193724.483823478</v>
      </c>
      <c r="G29" s="89">
        <f t="shared" si="27"/>
        <v>1388712142.7735286</v>
      </c>
      <c r="H29" s="134">
        <v>1</v>
      </c>
      <c r="I29" s="137">
        <v>2</v>
      </c>
      <c r="J29" s="89">
        <f>'Detailed Budget_Revised'!H47</f>
        <v>0</v>
      </c>
      <c r="K29" s="89">
        <f>'Detailed Budget_Revised'!I47</f>
        <v>0</v>
      </c>
      <c r="L29" s="89">
        <f>'Detailed Budget_Revised'!J47</f>
        <v>0</v>
      </c>
      <c r="M29" s="89">
        <f>'Detailed Budget_Revised'!K47</f>
        <v>3018205.4768518521</v>
      </c>
      <c r="N29" s="89">
        <f>'Detailed Budget_Revised'!L47</f>
        <v>3199297.8054629634</v>
      </c>
      <c r="O29" s="89">
        <f>'Detailed Budget_Revised'!M47</f>
        <v>0</v>
      </c>
      <c r="P29" s="89">
        <f>'Detailed Budget_Revised'!N47</f>
        <v>0</v>
      </c>
      <c r="Q29" s="89">
        <f>'Detailed Budget_Revised'!O47</f>
        <v>0</v>
      </c>
      <c r="R29" s="89">
        <f>'Detailed Budget_Revised'!P47</f>
        <v>0</v>
      </c>
      <c r="S29" s="89">
        <f>'Detailed Budget_Revised'!Q47</f>
        <v>0</v>
      </c>
      <c r="T29" s="89">
        <f>'Detailed Budget_Revised'!R47</f>
        <v>6217503.2823148156</v>
      </c>
    </row>
    <row r="30" spans="2:24">
      <c r="B30" s="24" t="s">
        <v>155</v>
      </c>
      <c r="C30" s="89">
        <f t="shared" si="25"/>
        <v>11992645.76481482</v>
      </c>
      <c r="D30" s="148">
        <f t="shared" si="26"/>
        <v>0.20446685867622821</v>
      </c>
      <c r="E30" s="148"/>
      <c r="F30" s="89">
        <f>'Capital Cost Proxy'!P31</f>
        <v>267098462.12424567</v>
      </c>
      <c r="G30" s="89">
        <f t="shared" si="27"/>
        <v>3739378469.7394395</v>
      </c>
      <c r="H30" s="134">
        <v>1</v>
      </c>
      <c r="I30" s="137">
        <v>3</v>
      </c>
      <c r="J30" s="89">
        <f>'Detailed Budget_Revised'!H48</f>
        <v>0</v>
      </c>
      <c r="K30" s="89">
        <f>'Detailed Budget_Revised'!I48</f>
        <v>0</v>
      </c>
      <c r="L30" s="89">
        <f>'Detailed Budget_Revised'!J48</f>
        <v>3767007.7160493839</v>
      </c>
      <c r="M30" s="89">
        <f>'Detailed Budget_Revised'!K48</f>
        <v>3993028.179012347</v>
      </c>
      <c r="N30" s="89">
        <f>'Detailed Budget_Revised'!L48</f>
        <v>4232609.8697530879</v>
      </c>
      <c r="O30" s="89">
        <f>'Detailed Budget_Revised'!M48</f>
        <v>0</v>
      </c>
      <c r="P30" s="89">
        <f>'Detailed Budget_Revised'!N48</f>
        <v>0</v>
      </c>
      <c r="Q30" s="89">
        <f>'Detailed Budget_Revised'!O48</f>
        <v>0</v>
      </c>
      <c r="R30" s="89">
        <f>'Detailed Budget_Revised'!P48</f>
        <v>0</v>
      </c>
      <c r="S30" s="89">
        <f>'Detailed Budget_Revised'!Q48</f>
        <v>0</v>
      </c>
      <c r="T30" s="89">
        <f>'Detailed Budget_Revised'!R48</f>
        <v>11992645.76481482</v>
      </c>
    </row>
    <row r="31" spans="2:24">
      <c r="B31" s="24" t="s">
        <v>156</v>
      </c>
      <c r="C31" s="89">
        <f t="shared" si="25"/>
        <v>4140410.4761904767</v>
      </c>
      <c r="D31" s="148">
        <f t="shared" si="26"/>
        <v>7.0591322406985568E-2</v>
      </c>
      <c r="E31" s="148"/>
      <c r="F31" s="89">
        <f>'Capital Cost Proxy'!P32</f>
        <v>256788565.07848632</v>
      </c>
      <c r="G31" s="89">
        <f t="shared" si="27"/>
        <v>3595039911.0988083</v>
      </c>
      <c r="H31" s="134">
        <v>0.33333333333333331</v>
      </c>
      <c r="I31" s="137">
        <v>3</v>
      </c>
      <c r="J31" s="89">
        <f>'Detailed Budget_Revised'!H49</f>
        <v>0</v>
      </c>
      <c r="K31" s="89">
        <f>'Detailed Budget_Revised'!I49</f>
        <v>4140410.4761904767</v>
      </c>
      <c r="L31" s="89">
        <f>'Detailed Budget_Revised'!J49</f>
        <v>0</v>
      </c>
      <c r="M31" s="89">
        <f>'Detailed Budget_Revised'!K49</f>
        <v>0</v>
      </c>
      <c r="N31" s="89">
        <f>'Detailed Budget_Revised'!L49</f>
        <v>0</v>
      </c>
      <c r="O31" s="89">
        <f>'Detailed Budget_Revised'!M49</f>
        <v>0</v>
      </c>
      <c r="P31" s="89">
        <f>'Detailed Budget_Revised'!N49</f>
        <v>0</v>
      </c>
      <c r="Q31" s="89">
        <f>'Detailed Budget_Revised'!O49</f>
        <v>0</v>
      </c>
      <c r="R31" s="89">
        <f>'Detailed Budget_Revised'!P49</f>
        <v>0</v>
      </c>
      <c r="S31" s="89">
        <f>'Detailed Budget_Revised'!Q49</f>
        <v>0</v>
      </c>
      <c r="T31" s="89">
        <f>'Detailed Budget_Revised'!R49</f>
        <v>4140410.4761904767</v>
      </c>
    </row>
    <row r="32" spans="2:24">
      <c r="B32" s="24" t="s">
        <v>157</v>
      </c>
      <c r="C32" s="89">
        <f t="shared" si="25"/>
        <v>3551388.4642361114</v>
      </c>
      <c r="D32" s="148">
        <f t="shared" si="26"/>
        <v>6.054887782575679E-2</v>
      </c>
      <c r="E32" s="148"/>
      <c r="F32" s="89">
        <f>'Capital Cost Proxy'!P33</f>
        <v>56257651.650686987</v>
      </c>
      <c r="G32" s="89">
        <f t="shared" si="27"/>
        <v>787607123.10961783</v>
      </c>
      <c r="H32" s="134">
        <v>1</v>
      </c>
      <c r="I32" s="137">
        <v>1</v>
      </c>
      <c r="J32" s="89">
        <f>'Detailed Budget_Revised'!H50</f>
        <v>0</v>
      </c>
      <c r="K32" s="89">
        <f>'Detailed Budget_Revised'!I50</f>
        <v>0</v>
      </c>
      <c r="L32" s="89">
        <f>'Detailed Budget_Revised'!J50</f>
        <v>0</v>
      </c>
      <c r="M32" s="89">
        <f>'Detailed Budget_Revised'!K50</f>
        <v>1723974.9826388892</v>
      </c>
      <c r="N32" s="89">
        <f>'Detailed Budget_Revised'!L50</f>
        <v>1827413.4815972224</v>
      </c>
      <c r="O32" s="89">
        <f>'Detailed Budget_Revised'!M50</f>
        <v>0</v>
      </c>
      <c r="P32" s="89">
        <f>'Detailed Budget_Revised'!N50</f>
        <v>0</v>
      </c>
      <c r="Q32" s="89">
        <f>'Detailed Budget_Revised'!O50</f>
        <v>0</v>
      </c>
      <c r="R32" s="89">
        <f>'Detailed Budget_Revised'!P50</f>
        <v>0</v>
      </c>
      <c r="S32" s="89">
        <f>'Detailed Budget_Revised'!Q50</f>
        <v>0</v>
      </c>
      <c r="T32" s="89">
        <f>'Detailed Budget_Revised'!R50</f>
        <v>3551388.4642361114</v>
      </c>
    </row>
    <row r="33" spans="2:20">
      <c r="B33" s="24" t="s">
        <v>158</v>
      </c>
      <c r="C33" s="89">
        <f t="shared" si="25"/>
        <v>1908436.2139917694</v>
      </c>
      <c r="D33" s="148">
        <f t="shared" si="26"/>
        <v>3.2537603904193732E-2</v>
      </c>
      <c r="E33" s="148"/>
      <c r="F33" s="89">
        <f>'Capital Cost Proxy'!P34</f>
        <v>102785682.0422474</v>
      </c>
      <c r="G33" s="89">
        <f t="shared" si="27"/>
        <v>1438999548.5914636</v>
      </c>
      <c r="H33" s="134">
        <v>0.33333333333333331</v>
      </c>
      <c r="I33" s="137">
        <v>2</v>
      </c>
      <c r="J33" s="89">
        <f>'Detailed Budget_Revised'!H51</f>
        <v>0</v>
      </c>
      <c r="K33" s="89">
        <f>'Detailed Budget_Revised'!I51</f>
        <v>1908436.2139917694</v>
      </c>
      <c r="L33" s="89">
        <f>'Detailed Budget_Revised'!J51</f>
        <v>0</v>
      </c>
      <c r="M33" s="89">
        <f>'Detailed Budget_Revised'!K51</f>
        <v>0</v>
      </c>
      <c r="N33" s="89">
        <f>'Detailed Budget_Revised'!L51</f>
        <v>0</v>
      </c>
      <c r="O33" s="89">
        <f>'Detailed Budget_Revised'!M51</f>
        <v>0</v>
      </c>
      <c r="P33" s="89">
        <f>'Detailed Budget_Revised'!N51</f>
        <v>0</v>
      </c>
      <c r="Q33" s="89">
        <f>'Detailed Budget_Revised'!O51</f>
        <v>0</v>
      </c>
      <c r="R33" s="89">
        <f>'Detailed Budget_Revised'!P51</f>
        <v>0</v>
      </c>
      <c r="S33" s="89">
        <f>'Detailed Budget_Revised'!Q51</f>
        <v>0</v>
      </c>
      <c r="T33" s="89">
        <f>'Detailed Budget_Revised'!R51</f>
        <v>1908436.2139917694</v>
      </c>
    </row>
    <row r="34" spans="2:20">
      <c r="B34" s="24" t="s">
        <v>159</v>
      </c>
      <c r="C34" s="89">
        <f t="shared" si="25"/>
        <v>2511706.6239814823</v>
      </c>
      <c r="D34" s="148">
        <f t="shared" si="26"/>
        <v>4.2822974462274378E-2</v>
      </c>
      <c r="E34" s="148"/>
      <c r="F34" s="89">
        <f>'Capital Cost Proxy'!P35</f>
        <v>38153380.36577636</v>
      </c>
      <c r="G34" s="89">
        <f t="shared" si="27"/>
        <v>534147325.12086904</v>
      </c>
      <c r="H34" s="134">
        <v>1</v>
      </c>
      <c r="I34" s="137">
        <v>1</v>
      </c>
      <c r="J34" s="89">
        <f>'Detailed Budget_Revised'!H52</f>
        <v>0</v>
      </c>
      <c r="K34" s="89">
        <f>'Detailed Budget_Revised'!I52</f>
        <v>0</v>
      </c>
      <c r="L34" s="89">
        <f>'Detailed Budget_Revised'!J52</f>
        <v>0</v>
      </c>
      <c r="M34" s="89">
        <f>'Detailed Budget_Revised'!K52</f>
        <v>1219275.0601851856</v>
      </c>
      <c r="N34" s="89">
        <f>'Detailed Budget_Revised'!L52</f>
        <v>1292431.5637962967</v>
      </c>
      <c r="O34" s="89">
        <f>'Detailed Budget_Revised'!M52</f>
        <v>0</v>
      </c>
      <c r="P34" s="89">
        <f>'Detailed Budget_Revised'!N52</f>
        <v>0</v>
      </c>
      <c r="Q34" s="89">
        <f>'Detailed Budget_Revised'!O52</f>
        <v>0</v>
      </c>
      <c r="R34" s="89">
        <f>'Detailed Budget_Revised'!P52</f>
        <v>0</v>
      </c>
      <c r="S34" s="89">
        <f>'Detailed Budget_Revised'!Q52</f>
        <v>0</v>
      </c>
      <c r="T34" s="89">
        <f>'Detailed Budget_Revised'!R52</f>
        <v>2511706.6239814823</v>
      </c>
    </row>
    <row r="35" spans="2:20">
      <c r="B35" s="24" t="s">
        <v>160</v>
      </c>
      <c r="C35" s="89">
        <f t="shared" si="25"/>
        <v>5692172.2930640448</v>
      </c>
      <c r="D35" s="148">
        <f t="shared" si="26"/>
        <v>9.7047858381785465E-2</v>
      </c>
      <c r="E35" s="148"/>
      <c r="F35" s="89">
        <f>'Capital Cost Proxy'!P36</f>
        <v>90564605.798304185</v>
      </c>
      <c r="G35" s="89">
        <f t="shared" si="27"/>
        <v>1267904481.1762586</v>
      </c>
      <c r="H35" s="134">
        <v>1</v>
      </c>
      <c r="I35" s="137">
        <v>2</v>
      </c>
      <c r="J35" s="89">
        <f>'Detailed Budget_Revised'!H53</f>
        <v>0</v>
      </c>
      <c r="K35" s="89">
        <f>'Detailed Budget_Revised'!I53</f>
        <v>0</v>
      </c>
      <c r="L35" s="89">
        <f>'Detailed Budget_Revised'!J53</f>
        <v>0</v>
      </c>
      <c r="M35" s="89">
        <f>'Detailed Budget_Revised'!K53</f>
        <v>0</v>
      </c>
      <c r="N35" s="89">
        <f>'Detailed Budget_Revised'!L53</f>
        <v>2763190.4335262352</v>
      </c>
      <c r="O35" s="89">
        <f>'Detailed Budget_Revised'!M53</f>
        <v>2928981.8595378096</v>
      </c>
      <c r="P35" s="89">
        <f>'Detailed Budget_Revised'!N53</f>
        <v>0</v>
      </c>
      <c r="Q35" s="89">
        <f>'Detailed Budget_Revised'!O53</f>
        <v>0</v>
      </c>
      <c r="R35" s="89">
        <f>'Detailed Budget_Revised'!P53</f>
        <v>0</v>
      </c>
      <c r="S35" s="89">
        <f>'Detailed Budget_Revised'!Q53</f>
        <v>0</v>
      </c>
      <c r="T35" s="89">
        <f>'Detailed Budget_Revised'!R53</f>
        <v>5692172.2930640448</v>
      </c>
    </row>
    <row r="36" spans="2:20" s="71" customFormat="1">
      <c r="B36" s="71" t="s">
        <v>200</v>
      </c>
      <c r="C36" s="92">
        <f>SUM(C26:C35)</f>
        <v>58653249.93232809</v>
      </c>
      <c r="D36" s="147">
        <f t="shared" si="26"/>
        <v>1</v>
      </c>
      <c r="E36" s="147"/>
      <c r="J36" s="92">
        <f>'Detailed Budget_Revised'!H54</f>
        <v>0</v>
      </c>
      <c r="K36" s="92">
        <f>'Detailed Budget_Revised'!I54</f>
        <v>6048846.6901822463</v>
      </c>
      <c r="L36" s="92">
        <f>'Detailed Budget_Revised'!J54</f>
        <v>9551900.4629629645</v>
      </c>
      <c r="M36" s="92">
        <f>'Detailed Budget_Revised'!K54</f>
        <v>19791163.87615741</v>
      </c>
      <c r="N36" s="92">
        <f>'Detailed Budget_Revised'!L54</f>
        <v>20332357.043487661</v>
      </c>
      <c r="O36" s="92">
        <f>'Detailed Budget_Revised'!M54</f>
        <v>2928981.8595378096</v>
      </c>
      <c r="P36" s="92">
        <f>'Detailed Budget_Revised'!N54</f>
        <v>0</v>
      </c>
      <c r="Q36" s="92">
        <f>'Detailed Budget_Revised'!O54</f>
        <v>0</v>
      </c>
      <c r="R36" s="92">
        <f>'Detailed Budget_Revised'!P54</f>
        <v>0</v>
      </c>
      <c r="S36" s="92">
        <f>'Detailed Budget_Revised'!Q54</f>
        <v>0</v>
      </c>
      <c r="T36" s="92">
        <f>'Detailed Budget_Revised'!R54</f>
        <v>58653249.93232809</v>
      </c>
    </row>
    <row r="37" spans="2:20">
      <c r="I37" s="24">
        <v>1</v>
      </c>
      <c r="J37" s="24">
        <v>0</v>
      </c>
      <c r="K37" s="24">
        <v>0</v>
      </c>
      <c r="L37" s="24">
        <v>0.45</v>
      </c>
      <c r="M37" s="24">
        <v>0.25</v>
      </c>
      <c r="N37" s="24">
        <v>0</v>
      </c>
      <c r="O37" s="24">
        <v>0</v>
      </c>
      <c r="P37" s="24">
        <v>0</v>
      </c>
      <c r="Q37" s="24">
        <v>0</v>
      </c>
      <c r="R37" s="24">
        <v>0</v>
      </c>
      <c r="S37" s="24">
        <v>0</v>
      </c>
    </row>
    <row r="38" spans="2:20">
      <c r="I38" s="24">
        <v>2</v>
      </c>
      <c r="J38" s="24">
        <v>0</v>
      </c>
      <c r="K38" s="24">
        <v>0</v>
      </c>
      <c r="L38" s="24">
        <v>0.55000000000000004</v>
      </c>
      <c r="M38" s="24">
        <v>0.6</v>
      </c>
      <c r="N38" s="24">
        <v>0.35</v>
      </c>
      <c r="O38" s="24">
        <v>0</v>
      </c>
      <c r="P38" s="24">
        <v>0</v>
      </c>
      <c r="Q38" s="24">
        <v>0</v>
      </c>
      <c r="R38" s="24">
        <v>0</v>
      </c>
      <c r="S38" s="24">
        <v>0</v>
      </c>
    </row>
    <row r="39" spans="2:20">
      <c r="I39" s="24">
        <v>3</v>
      </c>
      <c r="J39" s="24">
        <v>0</v>
      </c>
      <c r="K39" s="24">
        <v>0.5</v>
      </c>
      <c r="L39" s="24">
        <v>0</v>
      </c>
      <c r="M39" s="24">
        <v>0.1</v>
      </c>
      <c r="N39" s="24">
        <v>0.4</v>
      </c>
      <c r="O39" s="24">
        <v>0.2</v>
      </c>
      <c r="P39" s="24">
        <v>0</v>
      </c>
      <c r="Q39" s="24">
        <v>0</v>
      </c>
      <c r="R39" s="24">
        <v>0</v>
      </c>
      <c r="S39" s="24">
        <v>0</v>
      </c>
    </row>
    <row r="40" spans="2:20">
      <c r="I40" s="24">
        <v>4</v>
      </c>
      <c r="J40" s="24">
        <v>0</v>
      </c>
      <c r="K40" s="24">
        <v>0.5</v>
      </c>
      <c r="L40" s="24">
        <v>0</v>
      </c>
      <c r="M40" s="24">
        <v>0.05</v>
      </c>
      <c r="N40" s="24">
        <v>0.25</v>
      </c>
      <c r="O40" s="24">
        <v>0.8</v>
      </c>
      <c r="P40" s="24">
        <v>0</v>
      </c>
      <c r="Q40" s="24">
        <v>0</v>
      </c>
      <c r="R40" s="24">
        <v>0</v>
      </c>
      <c r="S40" s="24">
        <v>0</v>
      </c>
    </row>
    <row r="51" s="71" customFormat="1"/>
  </sheetData>
  <mergeCells count="1">
    <mergeCell ref="B2:D2"/>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DCE530E6-2E5C-4BDD-A0A3-69E1F5E5C1DC}">
            <xm:f>NOT(ISERROR(SEARCH("N/A",G5)))</xm:f>
            <xm:f>"N/A"</xm:f>
            <x14:dxf>
              <font>
                <color auto="1"/>
              </font>
              <fill>
                <patternFill>
                  <bgColor theme="0"/>
                </patternFill>
              </fill>
            </x14:dxf>
          </x14:cfRule>
          <xm:sqref>G5:I5</xm:sqref>
        </x14:conditionalFormatting>
        <x14:conditionalFormatting xmlns:xm="http://schemas.microsoft.com/office/excel/2006/main">
          <x14:cfRule type="containsText" priority="3" operator="containsText" id="{FF43FB79-AF90-452E-9408-74D4410BCD00}">
            <xm:f>NOT(ISERROR(SEARCH("N/A",G9)))</xm:f>
            <xm:f>"N/A"</xm:f>
            <x14:dxf>
              <font>
                <color auto="1"/>
              </font>
              <fill>
                <patternFill>
                  <bgColor theme="0"/>
                </patternFill>
              </fill>
            </x14:dxf>
          </x14:cfRule>
          <xm:sqref>G9:I9</xm:sqref>
        </x14:conditionalFormatting>
        <x14:conditionalFormatting xmlns:xm="http://schemas.microsoft.com/office/excel/2006/main">
          <x14:cfRule type="containsText" priority="2" operator="containsText" id="{492F2A7B-1DA4-409B-B2F0-2CBA2AD4DE00}">
            <xm:f>NOT(ISERROR(SEARCH("N/A",G13)))</xm:f>
            <xm:f>"N/A"</xm:f>
            <x14:dxf>
              <font>
                <color auto="1"/>
              </font>
              <fill>
                <patternFill>
                  <bgColor theme="0"/>
                </patternFill>
              </fill>
            </x14:dxf>
          </x14:cfRule>
          <xm:sqref>G13:I13</xm:sqref>
        </x14:conditionalFormatting>
        <x14:conditionalFormatting xmlns:xm="http://schemas.microsoft.com/office/excel/2006/main">
          <x14:cfRule type="containsText" priority="1" operator="containsText" id="{B35DB54D-D0C0-4132-8A09-B9564CFAE80C}">
            <xm:f>NOT(ISERROR(SEARCH("N/A",G17)))</xm:f>
            <xm:f>"N/A"</xm:f>
            <x14:dxf>
              <font>
                <color auto="1"/>
              </font>
              <fill>
                <patternFill>
                  <bgColor theme="0"/>
                </patternFill>
              </fill>
            </x14:dxf>
          </x14:cfRule>
          <xm:sqref>G17:I17</xm:sqref>
        </x14:conditionalFormatting>
        <x14:conditionalFormatting xmlns:xm="http://schemas.microsoft.com/office/excel/2006/main">
          <x14:cfRule type="containsText" priority="5" operator="containsText" id="{87AE2366-689E-4871-94C4-DCDB32074BAF}">
            <xm:f>NOT(ISERROR(SEARCH("N/A",H26)))</xm:f>
            <xm:f>"N/A"</xm:f>
            <x14:dxf>
              <font>
                <color auto="1"/>
              </font>
              <fill>
                <patternFill>
                  <bgColor theme="0"/>
                </patternFill>
              </fill>
            </x14:dxf>
          </x14:cfRule>
          <xm:sqref>H26:H35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7CCAE6-A3CE-41F2-99BE-358E9F0FBD54}">
  <ds:schemaRefs>
    <ds:schemaRef ds:uri="http://purl.org/dc/elements/1.1/"/>
    <ds:schemaRef ds:uri="aac5f2d9-717c-420c-8a68-7cf87f77d420"/>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29822360-53e8-4f69-a02a-97e2ecc7e6b8"/>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505EC851-18F5-4F56-916A-EC42D4A3439D}">
  <ds:schemaRefs>
    <ds:schemaRef ds:uri="http://schemas.microsoft.com/sharepoint/v3/contenttype/forms"/>
  </ds:schemaRefs>
</ds:datastoreItem>
</file>

<file path=customXml/itemProps3.xml><?xml version="1.0" encoding="utf-8"?>
<ds:datastoreItem xmlns:ds="http://schemas.openxmlformats.org/officeDocument/2006/customXml" ds:itemID="{8905F314-BC0D-42F0-B45A-A844C6CBE0E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Detailed Budget</vt:lpstr>
      <vt:lpstr>Detailed Budget_Revised</vt:lpstr>
      <vt:lpstr>Notes and Assumptions</vt:lpstr>
      <vt:lpstr>Detailed Breakdown of Comp 1B</vt:lpstr>
      <vt:lpstr>Detailed Breakdown of Comp 3</vt:lpstr>
      <vt:lpstr>Capital Cost Proxy</vt:lpstr>
      <vt:lpstr>Project Prep Proxy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Mara Baviera</dc:creator>
  <cp:keywords/>
  <dc:description/>
  <cp:lastModifiedBy>Derek Weston</cp:lastModifiedBy>
  <cp:revision/>
  <dcterms:created xsi:type="dcterms:W3CDTF">2016-04-04T05:39:24Z</dcterms:created>
  <dcterms:modified xsi:type="dcterms:W3CDTF">2023-06-09T04:03:02Z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SIP_Label_b2b6f514-ee47-44b4-8126-44b29d0b4cbf_Enabled">
    <vt:lpwstr>true</vt:lpwstr>
  </property>
  <property fmtid="{D5CDD505-2E9C-101B-9397-08002B2CF9AE}" pid="4" name="MSIP_Label_b2b6f514-ee47-44b4-8126-44b29d0b4cbf_SetDate">
    <vt:lpwstr>2022-09-05T15:24:42Z</vt:lpwstr>
  </property>
  <property fmtid="{D5CDD505-2E9C-101B-9397-08002B2CF9AE}" pid="5" name="MSIP_Label_b2b6f514-ee47-44b4-8126-44b29d0b4cbf_Method">
    <vt:lpwstr>Standard</vt:lpwstr>
  </property>
  <property fmtid="{D5CDD505-2E9C-101B-9397-08002B2CF9AE}" pid="6" name="MSIP_Label_b2b6f514-ee47-44b4-8126-44b29d0b4cbf_Name">
    <vt:lpwstr>Internal</vt:lpwstr>
  </property>
  <property fmtid="{D5CDD505-2E9C-101B-9397-08002B2CF9AE}" pid="7" name="MSIP_Label_b2b6f514-ee47-44b4-8126-44b29d0b4cbf_SiteId">
    <vt:lpwstr>0fb364b1-02d4-4f4b-aee8-2c35f35166ee</vt:lpwstr>
  </property>
  <property fmtid="{D5CDD505-2E9C-101B-9397-08002B2CF9AE}" pid="8" name="MSIP_Label_b2b6f514-ee47-44b4-8126-44b29d0b4cbf_ActionId">
    <vt:lpwstr>20ef0bd9-98ed-4711-83ac-abc88cf51b34</vt:lpwstr>
  </property>
  <property fmtid="{D5CDD505-2E9C-101B-9397-08002B2CF9AE}" pid="9" name="MSIP_Label_b2b6f514-ee47-44b4-8126-44b29d0b4cbf_ContentBits">
    <vt:lpwstr>0</vt:lpwstr>
  </property>
</Properties>
</file>